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608" windowHeight="9432" tabRatio="954"/>
  </bookViews>
  <sheets>
    <sheet name="RE-POA CENDEPESCA" sheetId="1" r:id="rId1"/>
    <sheet name="RE-POA CENTA" sheetId="2" r:id="rId2"/>
    <sheet name="RE-POA CSC" sheetId="3" r:id="rId3"/>
    <sheet name="RE-POA DGDR" sheetId="4" r:id="rId4"/>
    <sheet name="RE-POA DGEA" sheetId="5" r:id="rId5"/>
    <sheet name="RE-POA DGFCR" sheetId="6" r:id="rId6"/>
    <sheet name="RE-POA DGG" sheetId="7" r:id="rId7"/>
    <sheet name="RE-POA DGSV" sheetId="8" r:id="rId8"/>
    <sheet name="RE-POA DL" sheetId="9" r:id="rId9"/>
    <sheet name="RE-POA DTIT" sheetId="10" r:id="rId10"/>
    <sheet name="RE-POA ENA" sheetId="11" r:id="rId11"/>
    <sheet name="RE-POA ISTA" sheetId="12" r:id="rId12"/>
    <sheet name="RE-POA OACI" sheetId="13" r:id="rId13"/>
    <sheet name="RE-POA OAI" sheetId="14" r:id="rId14"/>
    <sheet name="RE-POA ODC" sheetId="15" r:id="rId15"/>
    <sheet name="POA-OFACC" sheetId="16" r:id="rId16"/>
    <sheet name="RE-POA OFI" sheetId="17" r:id="rId17"/>
    <sheet name="RE-POA OGA" sheetId="18" r:id="rId18"/>
    <sheet name="RE-POA OIR" sheetId="19" r:id="rId19"/>
    <sheet name="POA-DIMAG" sheetId="20" r:id="rId20"/>
    <sheet name="RE-POA UG" sheetId="21" r:id="rId21"/>
  </sheets>
  <externalReferences>
    <externalReference r:id="rId22"/>
    <externalReference r:id="rId23"/>
    <externalReference r:id="rId24"/>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21" l="1"/>
  <c r="AI22" i="21"/>
  <c r="AH22" i="21"/>
  <c r="AE22" i="21" s="1"/>
  <c r="AE21" i="21" s="1"/>
  <c r="C22" i="21"/>
  <c r="AG22" i="21" s="1"/>
  <c r="AG21" i="21" s="1"/>
  <c r="AG18" i="21" s="1"/>
  <c r="AG17" i="21" s="1"/>
  <c r="AG10" i="21" s="1"/>
  <c r="AG23" i="21" s="1"/>
  <c r="AI21" i="21"/>
  <c r="AH20" i="21"/>
  <c r="AE20" i="21" s="1"/>
  <c r="AE19" i="21" s="1"/>
  <c r="AE18" i="21" s="1"/>
  <c r="AE17" i="21" s="1"/>
  <c r="AE10" i="21" s="1"/>
  <c r="AE23" i="21" s="1"/>
  <c r="N20" i="21"/>
  <c r="N19" i="21" s="1"/>
  <c r="AI19" i="21"/>
  <c r="AI18" i="21" s="1"/>
  <c r="AI17" i="21" s="1"/>
  <c r="AI10" i="21" s="1"/>
  <c r="AI23" i="21" s="1"/>
  <c r="AH19" i="21"/>
  <c r="AH16" i="21"/>
  <c r="AG16" i="21"/>
  <c r="AG15" i="21" s="1"/>
  <c r="AG12" i="21" s="1"/>
  <c r="U16" i="21"/>
  <c r="U15" i="21" s="1"/>
  <c r="U12" i="21" s="1"/>
  <c r="U11" i="21" s="1"/>
  <c r="AI15" i="21"/>
  <c r="AH15" i="21"/>
  <c r="AH14" i="21"/>
  <c r="AI13" i="21"/>
  <c r="AI12" i="21" s="1"/>
  <c r="AH13" i="21"/>
  <c r="AG13" i="21"/>
  <c r="AA13" i="21"/>
  <c r="U13" i="21"/>
  <c r="O13" i="21"/>
  <c r="O12" i="21" s="1"/>
  <c r="O11" i="21" s="1"/>
  <c r="O10" i="21" s="1"/>
  <c r="O23" i="21" s="1"/>
  <c r="AA12" i="21"/>
  <c r="AA11" i="21" s="1"/>
  <c r="AA10" i="21" s="1"/>
  <c r="AA23" i="21" s="1"/>
  <c r="N18" i="21" l="1"/>
  <c r="N17" i="21" s="1"/>
  <c r="N10" i="21" s="1"/>
  <c r="N23" i="21" s="1"/>
  <c r="N22" i="21"/>
  <c r="N21" i="21" s="1"/>
  <c r="AH12" i="21"/>
  <c r="T20" i="21"/>
  <c r="T19" i="21" s="1"/>
  <c r="T18" i="21" s="1"/>
  <c r="T17" i="21" s="1"/>
  <c r="T10" i="21" s="1"/>
  <c r="T23" i="21" s="1"/>
  <c r="S22" i="21"/>
  <c r="S21" i="21" s="1"/>
  <c r="S18" i="21" s="1"/>
  <c r="S17" i="21" s="1"/>
  <c r="S10" i="21" s="1"/>
  <c r="S23" i="21" s="1"/>
  <c r="Y20" i="21"/>
  <c r="Y19" i="21" s="1"/>
  <c r="Y18" i="21" s="1"/>
  <c r="Y17" i="21" s="1"/>
  <c r="Y10" i="21" s="1"/>
  <c r="Y23" i="21" s="1"/>
  <c r="U22" i="21"/>
  <c r="U21" i="21" s="1"/>
  <c r="U18" i="21" s="1"/>
  <c r="U17" i="21" s="1"/>
  <c r="U10" i="21" s="1"/>
  <c r="U23" i="21" s="1"/>
  <c r="Z22" i="21"/>
  <c r="Z21" i="21" s="1"/>
  <c r="Z18" i="21" s="1"/>
  <c r="Z17" i="21" s="1"/>
  <c r="Z10" i="21" s="1"/>
  <c r="Z23" i="21" s="1"/>
  <c r="AH21" i="21"/>
  <c r="AH18" i="21" l="1"/>
  <c r="AH17" i="21" l="1"/>
  <c r="AH10" i="21" l="1"/>
  <c r="AH23" i="21" s="1"/>
  <c r="G16" i="21" l="1"/>
  <c r="G20" i="21"/>
  <c r="G14" i="21"/>
  <c r="G13" i="21"/>
  <c r="G15" i="21"/>
  <c r="G19" i="21"/>
  <c r="G22" i="21"/>
  <c r="G21" i="21"/>
  <c r="G18" i="21"/>
  <c r="G17" i="21"/>
  <c r="AI114" i="20" l="1"/>
  <c r="AH114" i="20"/>
  <c r="AI113" i="20"/>
  <c r="AH113" i="20"/>
  <c r="AH112" i="20"/>
  <c r="AH111" i="20"/>
  <c r="AH110" i="20"/>
  <c r="AH109" i="20"/>
  <c r="AH108" i="20"/>
  <c r="AI107" i="20"/>
  <c r="AI106" i="20" s="1"/>
  <c r="AG107" i="20"/>
  <c r="AF107" i="20"/>
  <c r="AE107" i="20"/>
  <c r="AE106" i="20" s="1"/>
  <c r="AA107" i="20"/>
  <c r="AA106" i="20" s="1"/>
  <c r="AA92" i="20" s="1"/>
  <c r="AA91" i="20" s="1"/>
  <c r="Z107" i="20"/>
  <c r="Y107" i="20"/>
  <c r="Y106" i="20" s="1"/>
  <c r="Y92" i="20" s="1"/>
  <c r="Y91" i="20" s="1"/>
  <c r="AG106" i="20"/>
  <c r="AF106" i="20"/>
  <c r="Z106" i="20"/>
  <c r="Z92" i="20" s="1"/>
  <c r="Z91" i="20" s="1"/>
  <c r="AH104" i="20"/>
  <c r="AH103" i="20"/>
  <c r="AI102" i="20"/>
  <c r="AG102" i="20"/>
  <c r="AG101" i="20" s="1"/>
  <c r="AI101" i="20"/>
  <c r="AH99" i="20"/>
  <c r="AH98" i="20" s="1"/>
  <c r="AI98" i="20"/>
  <c r="AG98" i="20"/>
  <c r="AI97" i="20"/>
  <c r="AG97" i="20"/>
  <c r="AG92" i="20" s="1"/>
  <c r="AG91" i="20" s="1"/>
  <c r="AH96" i="20"/>
  <c r="AI96" i="20" s="1"/>
  <c r="AH95" i="20"/>
  <c r="AG94" i="20"/>
  <c r="AE94" i="20"/>
  <c r="AE93" i="20" s="1"/>
  <c r="AE92" i="20" s="1"/>
  <c r="AE91" i="20" s="1"/>
  <c r="AF92" i="20"/>
  <c r="AF91" i="20" s="1"/>
  <c r="AH90" i="20"/>
  <c r="AH89" i="20"/>
  <c r="AH88" i="20"/>
  <c r="AH87" i="20"/>
  <c r="AI86" i="20"/>
  <c r="AG86" i="20"/>
  <c r="AG85" i="20" s="1"/>
  <c r="AG84" i="20" s="1"/>
  <c r="AF86" i="20"/>
  <c r="AF85" i="20" s="1"/>
  <c r="AF84" i="20" s="1"/>
  <c r="AE86" i="20"/>
  <c r="AA86" i="20"/>
  <c r="AA85" i="20" s="1"/>
  <c r="AA84" i="20" s="1"/>
  <c r="Z86" i="20"/>
  <c r="Z85" i="20" s="1"/>
  <c r="Z84" i="20" s="1"/>
  <c r="Y86" i="20"/>
  <c r="Y85" i="20" s="1"/>
  <c r="Y84" i="20" s="1"/>
  <c r="AI85" i="20"/>
  <c r="AE85" i="20"/>
  <c r="AE84" i="20" s="1"/>
  <c r="AI84" i="20"/>
  <c r="AH83" i="20"/>
  <c r="AI82" i="20"/>
  <c r="AH82" i="20"/>
  <c r="AG82" i="20"/>
  <c r="AI81" i="20"/>
  <c r="AI80" i="20" s="1"/>
  <c r="AG81" i="20"/>
  <c r="AG80" i="20"/>
  <c r="AH79" i="20"/>
  <c r="AI78" i="20"/>
  <c r="AH78" i="20"/>
  <c r="AF78" i="20"/>
  <c r="Z78" i="20"/>
  <c r="AH77" i="20"/>
  <c r="AI76" i="20"/>
  <c r="AH76" i="20"/>
  <c r="AA76" i="20"/>
  <c r="AA73" i="20" s="1"/>
  <c r="AA72" i="20" s="1"/>
  <c r="AH75" i="20"/>
  <c r="AI74" i="20"/>
  <c r="AI73" i="20" s="1"/>
  <c r="AI72" i="20" s="1"/>
  <c r="AH74" i="20"/>
  <c r="AG74" i="20"/>
  <c r="AF74" i="20"/>
  <c r="AF73" i="20" s="1"/>
  <c r="AF72" i="20" s="1"/>
  <c r="Y74" i="20"/>
  <c r="AG73" i="20"/>
  <c r="AG72" i="20" s="1"/>
  <c r="Z73" i="20"/>
  <c r="Z72" i="20" s="1"/>
  <c r="AH71" i="20"/>
  <c r="AH70" i="20"/>
  <c r="AH69" i="20" s="1"/>
  <c r="AI69" i="20"/>
  <c r="AI68" i="20" s="1"/>
  <c r="AI67" i="20" s="1"/>
  <c r="AG69" i="20"/>
  <c r="AG68" i="20" s="1"/>
  <c r="AG67" i="20" s="1"/>
  <c r="AA69" i="20"/>
  <c r="AA68" i="20" s="1"/>
  <c r="AA67" i="20" s="1"/>
  <c r="AH66" i="20"/>
  <c r="I66" i="20" s="1"/>
  <c r="AH65" i="20"/>
  <c r="I65" i="20" s="1"/>
  <c r="AI64" i="20"/>
  <c r="AH64" i="20"/>
  <c r="I64" i="20" s="1"/>
  <c r="AH63" i="20"/>
  <c r="I63" i="20" s="1"/>
  <c r="AH62" i="20"/>
  <c r="AH61" i="20" s="1"/>
  <c r="AI61" i="20"/>
  <c r="AG61" i="20"/>
  <c r="AF61" i="20"/>
  <c r="AE61" i="20"/>
  <c r="AE52" i="20" s="1"/>
  <c r="AE51" i="20" s="1"/>
  <c r="AE50" i="20" s="1"/>
  <c r="AA61" i="20"/>
  <c r="Z61" i="20"/>
  <c r="Y61" i="20"/>
  <c r="AH60" i="20"/>
  <c r="AH59" i="20"/>
  <c r="AH58" i="20"/>
  <c r="AH57" i="20"/>
  <c r="AH56" i="20"/>
  <c r="AH55" i="20"/>
  <c r="AH54" i="20"/>
  <c r="AI53" i="20"/>
  <c r="AI52" i="20" s="1"/>
  <c r="AI51" i="20" s="1"/>
  <c r="AI50" i="20" s="1"/>
  <c r="AG53" i="20"/>
  <c r="AG52" i="20" s="1"/>
  <c r="AG51" i="20" s="1"/>
  <c r="AE53" i="20"/>
  <c r="AA53" i="20"/>
  <c r="AA52" i="20" s="1"/>
  <c r="AA51" i="20" s="1"/>
  <c r="AA50" i="20" s="1"/>
  <c r="Z53" i="20"/>
  <c r="AF52" i="20"/>
  <c r="Z52" i="20"/>
  <c r="Z51" i="20" s="1"/>
  <c r="Z50" i="20" s="1"/>
  <c r="Y52" i="20"/>
  <c r="Y51" i="20" s="1"/>
  <c r="Y50" i="20" s="1"/>
  <c r="AF51" i="20"/>
  <c r="AF50" i="20" s="1"/>
  <c r="AF115" i="20" s="1"/>
  <c r="AH49" i="20"/>
  <c r="AI48" i="20"/>
  <c r="AI47" i="20" s="1"/>
  <c r="AH48" i="20"/>
  <c r="AG48" i="20"/>
  <c r="AH47" i="20"/>
  <c r="AH46" i="20" s="1"/>
  <c r="AG47" i="20"/>
  <c r="AG46" i="20"/>
  <c r="AG45" i="20"/>
  <c r="AI43" i="20"/>
  <c r="AH43" i="20"/>
  <c r="Y43" i="20"/>
  <c r="AI42" i="20"/>
  <c r="AH42" i="20"/>
  <c r="Y42" i="20"/>
  <c r="Y41" i="20" s="1"/>
  <c r="AI41" i="20"/>
  <c r="AH40" i="20"/>
  <c r="AI39" i="20"/>
  <c r="AI38" i="20" s="1"/>
  <c r="AI37" i="20" s="1"/>
  <c r="Y39" i="20"/>
  <c r="Y38" i="20"/>
  <c r="Y37" i="20" s="1"/>
  <c r="AH36" i="20"/>
  <c r="AI35" i="20"/>
  <c r="AI34" i="20" s="1"/>
  <c r="AH35" i="20"/>
  <c r="Y35" i="20"/>
  <c r="Y34" i="20"/>
  <c r="AH33" i="20"/>
  <c r="AI32" i="20"/>
  <c r="Y32" i="20"/>
  <c r="AH31" i="20"/>
  <c r="AI30" i="20"/>
  <c r="AI29" i="20" s="1"/>
  <c r="Y30" i="20"/>
  <c r="Y29" i="20"/>
  <c r="AH28" i="20"/>
  <c r="AI27" i="20"/>
  <c r="AH27" i="20"/>
  <c r="Y27" i="20"/>
  <c r="Y26" i="20" s="1"/>
  <c r="AI26" i="20"/>
  <c r="AH26" i="20"/>
  <c r="AH25" i="20"/>
  <c r="AI24" i="20"/>
  <c r="AI23" i="20" s="1"/>
  <c r="AH24" i="20"/>
  <c r="Y24" i="20"/>
  <c r="Y23" i="20" s="1"/>
  <c r="AH22" i="20"/>
  <c r="AH21" i="20"/>
  <c r="AI20" i="20"/>
  <c r="AG20" i="20"/>
  <c r="Y20" i="20"/>
  <c r="Y19" i="20" s="1"/>
  <c r="Y10" i="20" s="1"/>
  <c r="Y9" i="20" s="1"/>
  <c r="AI19" i="20"/>
  <c r="AG19" i="20"/>
  <c r="AH18" i="20"/>
  <c r="AI17" i="20"/>
  <c r="AI16" i="20" s="1"/>
  <c r="Y17" i="20"/>
  <c r="Y16" i="20"/>
  <c r="AH15" i="20"/>
  <c r="AI14" i="20"/>
  <c r="AH14" i="20"/>
  <c r="AG14" i="20"/>
  <c r="AH13" i="20"/>
  <c r="AI12" i="20"/>
  <c r="AI11" i="20" s="1"/>
  <c r="Z12" i="20"/>
  <c r="AG11" i="20"/>
  <c r="AG10" i="20" s="1"/>
  <c r="AG9" i="20" s="1"/>
  <c r="Z11" i="20"/>
  <c r="Z10" i="20"/>
  <c r="Z9" i="20" s="1"/>
  <c r="Z115" i="20" s="1"/>
  <c r="I100" i="20" l="1"/>
  <c r="AH97" i="20"/>
  <c r="I99" i="20"/>
  <c r="Y115" i="20"/>
  <c r="I55" i="20"/>
  <c r="AE115" i="20"/>
  <c r="I95" i="20"/>
  <c r="I110" i="20"/>
  <c r="AH68" i="20"/>
  <c r="I87" i="20"/>
  <c r="I111" i="20"/>
  <c r="AI10" i="20"/>
  <c r="AI9" i="20" s="1"/>
  <c r="AI46" i="20"/>
  <c r="AI45" i="20"/>
  <c r="I89" i="20"/>
  <c r="I104" i="20"/>
  <c r="AG115" i="20"/>
  <c r="AA115" i="20"/>
  <c r="I88" i="20"/>
  <c r="I103" i="20"/>
  <c r="AG50" i="20"/>
  <c r="I62" i="20"/>
  <c r="AH45" i="20"/>
  <c r="AI95" i="20"/>
  <c r="AI94" i="20" s="1"/>
  <c r="AI93" i="20" s="1"/>
  <c r="AI92" i="20" s="1"/>
  <c r="AI91" i="20" s="1"/>
  <c r="AH34" i="20"/>
  <c r="AH81" i="20"/>
  <c r="AH20" i="20"/>
  <c r="AH32" i="20"/>
  <c r="AH102" i="20"/>
  <c r="AH41" i="20"/>
  <c r="AH53" i="20"/>
  <c r="AH12" i="20"/>
  <c r="AH73" i="20"/>
  <c r="AH86" i="20"/>
  <c r="AH94" i="20"/>
  <c r="AH23" i="20"/>
  <c r="AH17" i="20"/>
  <c r="AH30" i="20"/>
  <c r="AH39" i="20"/>
  <c r="AH107" i="20"/>
  <c r="I108" i="20" s="1"/>
  <c r="AH11" i="20" l="1"/>
  <c r="I56" i="20"/>
  <c r="AH52" i="20"/>
  <c r="I60" i="20"/>
  <c r="I59" i="20"/>
  <c r="I57" i="20"/>
  <c r="I58" i="20"/>
  <c r="AH93" i="20"/>
  <c r="I96" i="20"/>
  <c r="AH19" i="20"/>
  <c r="AI115" i="20"/>
  <c r="AH67" i="20"/>
  <c r="AH29" i="20"/>
  <c r="AH16" i="20"/>
  <c r="AH101" i="20"/>
  <c r="I105" i="20"/>
  <c r="I54" i="20"/>
  <c r="AH85" i="20"/>
  <c r="I90" i="20"/>
  <c r="AH106" i="20"/>
  <c r="I114" i="20"/>
  <c r="I109" i="20"/>
  <c r="I113" i="20"/>
  <c r="AH38" i="20"/>
  <c r="AH72" i="20"/>
  <c r="AH80" i="20"/>
  <c r="I112" i="20"/>
  <c r="AH37" i="20" l="1"/>
  <c r="AH84" i="20"/>
  <c r="AH51" i="20"/>
  <c r="AH92" i="20"/>
  <c r="AH10" i="20"/>
  <c r="AH50" i="20" l="1"/>
  <c r="AH9" i="20"/>
  <c r="AH91" i="20"/>
  <c r="AH115" i="20" l="1"/>
  <c r="G9" i="20"/>
  <c r="G113" i="20" l="1"/>
  <c r="G99" i="20"/>
  <c r="G90" i="20"/>
  <c r="G60" i="20"/>
  <c r="G47" i="20"/>
  <c r="H47" i="20" s="1"/>
  <c r="G44" i="20"/>
  <c r="G14" i="20"/>
  <c r="G70" i="20"/>
  <c r="G62" i="20"/>
  <c r="G43" i="20"/>
  <c r="G49" i="20"/>
  <c r="G27" i="20"/>
  <c r="G75" i="20"/>
  <c r="G28" i="20"/>
  <c r="G21" i="20"/>
  <c r="G15" i="20"/>
  <c r="G56" i="20"/>
  <c r="G36" i="20"/>
  <c r="G114" i="20"/>
  <c r="G109" i="20"/>
  <c r="G105" i="20"/>
  <c r="G100" i="20"/>
  <c r="G96" i="20"/>
  <c r="G108" i="20"/>
  <c r="G104" i="20"/>
  <c r="G83" i="20"/>
  <c r="G66" i="20"/>
  <c r="G55" i="20"/>
  <c r="G79" i="20"/>
  <c r="G69" i="20"/>
  <c r="G48" i="20"/>
  <c r="G78" i="20"/>
  <c r="G82" i="20"/>
  <c r="G13" i="20"/>
  <c r="G54" i="20"/>
  <c r="G110" i="20"/>
  <c r="G31" i="20"/>
  <c r="G58" i="20"/>
  <c r="G89" i="20"/>
  <c r="G65" i="20"/>
  <c r="G33" i="20"/>
  <c r="G64" i="20"/>
  <c r="G111" i="20"/>
  <c r="G98" i="20"/>
  <c r="G26" i="20"/>
  <c r="H26" i="20" s="1"/>
  <c r="G42" i="20"/>
  <c r="H42" i="20" s="1"/>
  <c r="G22" i="20"/>
  <c r="G18" i="20"/>
  <c r="G46" i="20"/>
  <c r="G71" i="20"/>
  <c r="G103" i="20"/>
  <c r="G87" i="20"/>
  <c r="G95" i="20"/>
  <c r="G88" i="20"/>
  <c r="G112" i="20"/>
  <c r="G57" i="20"/>
  <c r="G25" i="20"/>
  <c r="G76" i="20"/>
  <c r="G77" i="20"/>
  <c r="G63" i="20"/>
  <c r="G24" i="20"/>
  <c r="G35" i="20"/>
  <c r="G61" i="20"/>
  <c r="G40" i="20"/>
  <c r="G74" i="20"/>
  <c r="G59" i="20"/>
  <c r="G23" i="20"/>
  <c r="H23" i="20" s="1"/>
  <c r="G107" i="20"/>
  <c r="G94" i="20"/>
  <c r="G45" i="20"/>
  <c r="G53" i="20"/>
  <c r="G68" i="20"/>
  <c r="H68" i="20" s="1"/>
  <c r="G102" i="20"/>
  <c r="G81" i="20"/>
  <c r="H81" i="20" s="1"/>
  <c r="G30" i="20"/>
  <c r="G97" i="20"/>
  <c r="H97" i="20" s="1"/>
  <c r="G32" i="20"/>
  <c r="G34" i="20"/>
  <c r="H34" i="20" s="1"/>
  <c r="G86" i="20"/>
  <c r="G20" i="20"/>
  <c r="G17" i="20"/>
  <c r="G39" i="20"/>
  <c r="G12" i="20"/>
  <c r="G41" i="20"/>
  <c r="G73" i="20"/>
  <c r="H73" i="20" s="1"/>
  <c r="G93" i="20"/>
  <c r="H93" i="20" s="1"/>
  <c r="G85" i="20"/>
  <c r="H85" i="20" s="1"/>
  <c r="G72" i="20"/>
  <c r="G106" i="20"/>
  <c r="H106" i="20" s="1"/>
  <c r="G16" i="20"/>
  <c r="H16" i="20" s="1"/>
  <c r="G19" i="20"/>
  <c r="H19" i="20" s="1"/>
  <c r="G11" i="20"/>
  <c r="H11" i="20" s="1"/>
  <c r="G29" i="20"/>
  <c r="H29" i="20" s="1"/>
  <c r="G52" i="20"/>
  <c r="H52" i="20" s="1"/>
  <c r="G80" i="20"/>
  <c r="G101" i="20"/>
  <c r="H101" i="20" s="1"/>
  <c r="G38" i="20"/>
  <c r="H38" i="20" s="1"/>
  <c r="G67" i="20"/>
  <c r="G84" i="20"/>
  <c r="G10" i="20"/>
  <c r="G51" i="20"/>
  <c r="G92" i="20"/>
  <c r="G37" i="20"/>
  <c r="G91" i="20"/>
  <c r="G50" i="20"/>
  <c r="H115" i="20" l="1"/>
  <c r="J27" i="19" l="1"/>
  <c r="AG26" i="19"/>
  <c r="AF26" i="19"/>
  <c r="AE26" i="19"/>
  <c r="AA26" i="19"/>
  <c r="Z26" i="19"/>
  <c r="Y26" i="19"/>
  <c r="U26" i="19"/>
  <c r="T26" i="19"/>
  <c r="S26" i="19"/>
  <c r="AH26" i="19" s="1"/>
  <c r="O26" i="19"/>
  <c r="N26" i="19"/>
  <c r="M26" i="19"/>
  <c r="C26" i="19"/>
  <c r="AG25" i="19"/>
  <c r="AG19" i="19" s="1"/>
  <c r="AG18" i="19" s="1"/>
  <c r="AG17" i="19" s="1"/>
  <c r="AG11" i="19" s="1"/>
  <c r="AG27" i="19" s="1"/>
  <c r="AF25" i="19"/>
  <c r="AE25" i="19"/>
  <c r="AA25" i="19"/>
  <c r="Z25" i="19"/>
  <c r="Y25" i="19"/>
  <c r="U25" i="19"/>
  <c r="T25" i="19"/>
  <c r="S25" i="19"/>
  <c r="AH25" i="19" s="1"/>
  <c r="O25" i="19"/>
  <c r="N25" i="19"/>
  <c r="M25" i="19"/>
  <c r="C25" i="19"/>
  <c r="AH24" i="19"/>
  <c r="AI24" i="19" s="1"/>
  <c r="C24" i="19"/>
  <c r="Y23" i="19"/>
  <c r="M23" i="19"/>
  <c r="AH23" i="19" s="1"/>
  <c r="C23" i="19"/>
  <c r="AG22" i="19"/>
  <c r="AF22" i="19"/>
  <c r="AE22" i="19"/>
  <c r="AA22" i="19"/>
  <c r="Z22" i="19"/>
  <c r="Y22" i="19"/>
  <c r="U22" i="19"/>
  <c r="T22" i="19"/>
  <c r="S22" i="19"/>
  <c r="O22" i="19"/>
  <c r="N22" i="19"/>
  <c r="M22" i="19"/>
  <c r="AH22" i="19" s="1"/>
  <c r="C22" i="19"/>
  <c r="AG21" i="19"/>
  <c r="AF21" i="19"/>
  <c r="AE21" i="19"/>
  <c r="AA21" i="19"/>
  <c r="AA19" i="19" s="1"/>
  <c r="AA18" i="19" s="1"/>
  <c r="AA17" i="19" s="1"/>
  <c r="AA11" i="19" s="1"/>
  <c r="AA27" i="19" s="1"/>
  <c r="Z21" i="19"/>
  <c r="Y21" i="19"/>
  <c r="Y19" i="19" s="1"/>
  <c r="Y18" i="19" s="1"/>
  <c r="Y17" i="19" s="1"/>
  <c r="Y11" i="19" s="1"/>
  <c r="Y27" i="19" s="1"/>
  <c r="U21" i="19"/>
  <c r="U19" i="19" s="1"/>
  <c r="U18" i="19" s="1"/>
  <c r="U17" i="19" s="1"/>
  <c r="U11" i="19" s="1"/>
  <c r="U27" i="19" s="1"/>
  <c r="T21" i="19"/>
  <c r="T19" i="19" s="1"/>
  <c r="T18" i="19" s="1"/>
  <c r="T17" i="19" s="1"/>
  <c r="T11" i="19" s="1"/>
  <c r="T27" i="19" s="1"/>
  <c r="S21" i="19"/>
  <c r="O21" i="19"/>
  <c r="N21" i="19"/>
  <c r="M21" i="19"/>
  <c r="AH21" i="19" s="1"/>
  <c r="C21" i="19"/>
  <c r="AI20" i="19"/>
  <c r="AH20" i="19"/>
  <c r="AH19" i="19" s="1"/>
  <c r="M20" i="19"/>
  <c r="C20" i="19"/>
  <c r="AF19" i="19"/>
  <c r="AF18" i="19" s="1"/>
  <c r="AF17" i="19" s="1"/>
  <c r="AE19" i="19"/>
  <c r="Z19" i="19"/>
  <c r="Z18" i="19" s="1"/>
  <c r="Z17" i="19" s="1"/>
  <c r="Z11" i="19" s="1"/>
  <c r="Z27" i="19" s="1"/>
  <c r="O19" i="19"/>
  <c r="O18" i="19" s="1"/>
  <c r="O17" i="19" s="1"/>
  <c r="O11" i="19" s="1"/>
  <c r="O27" i="19" s="1"/>
  <c r="N19" i="19"/>
  <c r="AE18" i="19"/>
  <c r="N18" i="19"/>
  <c r="AE17" i="19"/>
  <c r="N17" i="19"/>
  <c r="AF16" i="19"/>
  <c r="AF14" i="19" s="1"/>
  <c r="AF13" i="19" s="1"/>
  <c r="AF12" i="19" s="1"/>
  <c r="AF11" i="19" s="1"/>
  <c r="AF27" i="19" s="1"/>
  <c r="AH15" i="19"/>
  <c r="N15" i="19"/>
  <c r="C15" i="19"/>
  <c r="N14" i="19"/>
  <c r="N13" i="19" s="1"/>
  <c r="N12" i="19" s="1"/>
  <c r="N11" i="19" s="1"/>
  <c r="N27" i="19" s="1"/>
  <c r="AE11" i="19"/>
  <c r="AE27" i="19" s="1"/>
  <c r="AI25" i="19" l="1"/>
  <c r="AI23" i="19"/>
  <c r="AH18" i="19"/>
  <c r="AI22" i="19"/>
  <c r="AI26" i="19"/>
  <c r="AI19" i="19" s="1"/>
  <c r="AI18" i="19" s="1"/>
  <c r="AI17" i="19" s="1"/>
  <c r="AI21" i="19"/>
  <c r="AH16" i="19"/>
  <c r="AH14" i="19" s="1"/>
  <c r="AI15" i="19"/>
  <c r="S19" i="19"/>
  <c r="S18" i="19" s="1"/>
  <c r="S17" i="19" s="1"/>
  <c r="S11" i="19" s="1"/>
  <c r="S27" i="19" s="1"/>
  <c r="M19" i="19"/>
  <c r="M18" i="19" s="1"/>
  <c r="M17" i="19" s="1"/>
  <c r="M11" i="19" s="1"/>
  <c r="M27" i="19" s="1"/>
  <c r="AH13" i="19" l="1"/>
  <c r="AI14" i="19"/>
  <c r="AI13" i="19" s="1"/>
  <c r="AI12" i="19" s="1"/>
  <c r="AI11" i="19" s="1"/>
  <c r="AI27" i="19" s="1"/>
  <c r="AI16" i="19"/>
  <c r="AH17" i="19"/>
  <c r="AH12" i="19" l="1"/>
  <c r="AH11" i="19" l="1"/>
  <c r="AH27" i="19" l="1"/>
  <c r="G11" i="19"/>
  <c r="G24" i="19" l="1"/>
  <c r="G15" i="19"/>
  <c r="G19" i="19"/>
  <c r="G21" i="19"/>
  <c r="G25" i="19"/>
  <c r="G26" i="19"/>
  <c r="G22" i="19"/>
  <c r="G20" i="19"/>
  <c r="G23" i="19"/>
  <c r="G16" i="19"/>
  <c r="G14" i="19"/>
  <c r="G18" i="19"/>
  <c r="H18" i="19" s="1"/>
  <c r="G17" i="19"/>
  <c r="G13" i="19"/>
  <c r="H13" i="19" s="1"/>
  <c r="H27" i="19" s="1"/>
  <c r="G12" i="19"/>
  <c r="AH78" i="18" l="1"/>
  <c r="C78" i="18"/>
  <c r="AH77" i="18"/>
  <c r="C77" i="18"/>
  <c r="AH76" i="18"/>
  <c r="C76" i="18"/>
  <c r="AH75" i="18"/>
  <c r="C75" i="18"/>
  <c r="AH74" i="18"/>
  <c r="C74" i="18"/>
  <c r="AH73" i="18"/>
  <c r="C73" i="18"/>
  <c r="AH72" i="18"/>
  <c r="C72" i="18"/>
  <c r="AH71" i="18"/>
  <c r="C71" i="18"/>
  <c r="AH70" i="18"/>
  <c r="C70" i="18"/>
  <c r="AH69" i="18"/>
  <c r="C69" i="18"/>
  <c r="AI68" i="18"/>
  <c r="AI67" i="18" s="1"/>
  <c r="AG68" i="18"/>
  <c r="AG67" i="18" s="1"/>
  <c r="AF68" i="18"/>
  <c r="AE68" i="18"/>
  <c r="AE67" i="18" s="1"/>
  <c r="AA68" i="18"/>
  <c r="AA67" i="18" s="1"/>
  <c r="Z68" i="18"/>
  <c r="Z67" i="18" s="1"/>
  <c r="Y68" i="18"/>
  <c r="U68" i="18"/>
  <c r="U67" i="18" s="1"/>
  <c r="T68" i="18"/>
  <c r="S68" i="18"/>
  <c r="S67" i="18" s="1"/>
  <c r="O68" i="18"/>
  <c r="N68" i="18"/>
  <c r="N67" i="18" s="1"/>
  <c r="M68" i="18"/>
  <c r="M67" i="18" s="1"/>
  <c r="AF67" i="18"/>
  <c r="Y67" i="18"/>
  <c r="T67" i="18"/>
  <c r="O67" i="18"/>
  <c r="AL66" i="18"/>
  <c r="AH66" i="18" s="1"/>
  <c r="C66" i="18"/>
  <c r="AL65" i="18"/>
  <c r="AH65" i="18" s="1"/>
  <c r="C65" i="18"/>
  <c r="AL64" i="18"/>
  <c r="AH64" i="18"/>
  <c r="O64" i="18" s="1"/>
  <c r="AG64" i="18"/>
  <c r="U64" i="18"/>
  <c r="C64" i="18"/>
  <c r="AL63" i="18"/>
  <c r="AH63" i="18"/>
  <c r="O63" i="18" s="1"/>
  <c r="AG63" i="18"/>
  <c r="U63" i="18"/>
  <c r="C63" i="18"/>
  <c r="AL62" i="18"/>
  <c r="AH62" i="18"/>
  <c r="O62" i="18" s="1"/>
  <c r="AG62" i="18"/>
  <c r="U62" i="18"/>
  <c r="C62" i="18"/>
  <c r="AL61" i="18"/>
  <c r="AH61" i="18"/>
  <c r="O61" i="18"/>
  <c r="C61" i="18"/>
  <c r="AL60" i="18"/>
  <c r="AH60" i="18"/>
  <c r="M60" i="18" s="1"/>
  <c r="C60" i="18"/>
  <c r="AL59" i="18"/>
  <c r="AH59" i="18" s="1"/>
  <c r="C59" i="18"/>
  <c r="AL58" i="18"/>
  <c r="AH58" i="18" s="1"/>
  <c r="C58" i="18"/>
  <c r="AL57" i="18"/>
  <c r="AH57" i="18" s="1"/>
  <c r="C57" i="18"/>
  <c r="AL56" i="18"/>
  <c r="AH56" i="18" s="1"/>
  <c r="C56" i="18"/>
  <c r="AL55" i="18"/>
  <c r="AH55" i="18" s="1"/>
  <c r="C55" i="18"/>
  <c r="AL54" i="18"/>
  <c r="AH54" i="18"/>
  <c r="O54" i="18"/>
  <c r="C54" i="18"/>
  <c r="AG54" i="18" s="1"/>
  <c r="AL53" i="18"/>
  <c r="AH53" i="18"/>
  <c r="AG53" i="18" s="1"/>
  <c r="C53" i="18"/>
  <c r="AL52" i="18"/>
  <c r="AL51" i="18" s="1"/>
  <c r="AL25" i="18" s="1"/>
  <c r="AL24" i="18" s="1"/>
  <c r="AL79" i="18" s="1"/>
  <c r="AI52" i="18"/>
  <c r="AI51" i="18"/>
  <c r="AH50" i="18"/>
  <c r="C50" i="18"/>
  <c r="AH49" i="18"/>
  <c r="C49" i="18"/>
  <c r="AH48" i="18"/>
  <c r="C48" i="18"/>
  <c r="AH47" i="18"/>
  <c r="C47" i="18"/>
  <c r="AH46" i="18"/>
  <c r="C46" i="18"/>
  <c r="AH45" i="18"/>
  <c r="C45" i="18"/>
  <c r="AI44" i="18"/>
  <c r="AI43" i="18" s="1"/>
  <c r="AG44" i="18"/>
  <c r="AG43" i="18" s="1"/>
  <c r="AF44" i="18"/>
  <c r="AE44" i="18"/>
  <c r="AE43" i="18" s="1"/>
  <c r="AA44" i="18"/>
  <c r="Z44" i="18"/>
  <c r="Z43" i="18" s="1"/>
  <c r="Y44" i="18"/>
  <c r="Y43" i="18" s="1"/>
  <c r="U44" i="18"/>
  <c r="U43" i="18" s="1"/>
  <c r="T44" i="18"/>
  <c r="S44" i="18"/>
  <c r="S43" i="18" s="1"/>
  <c r="O44" i="18"/>
  <c r="N44" i="18"/>
  <c r="N43" i="18" s="1"/>
  <c r="M44" i="18"/>
  <c r="AF43" i="18"/>
  <c r="AA43" i="18"/>
  <c r="T43" i="18"/>
  <c r="O43" i="18"/>
  <c r="M43" i="18"/>
  <c r="AH42" i="18"/>
  <c r="C42" i="18"/>
  <c r="AH41" i="18"/>
  <c r="C41" i="18"/>
  <c r="AI40" i="18"/>
  <c r="AF40" i="18"/>
  <c r="AF39" i="18" s="1"/>
  <c r="AE40" i="18"/>
  <c r="AA40" i="18"/>
  <c r="AA39" i="18" s="1"/>
  <c r="Z40" i="18"/>
  <c r="Y40" i="18"/>
  <c r="Y39" i="18" s="1"/>
  <c r="U40" i="18"/>
  <c r="T40" i="18"/>
  <c r="S40" i="18"/>
  <c r="O40" i="18"/>
  <c r="O39" i="18" s="1"/>
  <c r="N40" i="18"/>
  <c r="AI39" i="18"/>
  <c r="AE39" i="18"/>
  <c r="Z39" i="18"/>
  <c r="U39" i="18"/>
  <c r="T39" i="18"/>
  <c r="S39" i="18"/>
  <c r="N39" i="18"/>
  <c r="AH38" i="18"/>
  <c r="C38" i="18"/>
  <c r="AH37" i="18"/>
  <c r="C37" i="18"/>
  <c r="AI36" i="18"/>
  <c r="AI33" i="18" s="1"/>
  <c r="AH36" i="18"/>
  <c r="C36" i="18"/>
  <c r="AH35" i="18"/>
  <c r="C35" i="18"/>
  <c r="AH34" i="18"/>
  <c r="C34" i="18"/>
  <c r="AG33" i="18"/>
  <c r="AF33" i="18"/>
  <c r="AF26" i="18" s="1"/>
  <c r="AE33" i="18"/>
  <c r="AA33" i="18"/>
  <c r="Z33" i="18"/>
  <c r="Y33" i="18"/>
  <c r="U33" i="18"/>
  <c r="T33" i="18"/>
  <c r="S33" i="18"/>
  <c r="O33" i="18"/>
  <c r="O26" i="18" s="1"/>
  <c r="N33" i="18"/>
  <c r="M33" i="18"/>
  <c r="AH32" i="18"/>
  <c r="C32" i="18"/>
  <c r="AH31" i="18"/>
  <c r="C31" i="18"/>
  <c r="AH30" i="18"/>
  <c r="C30" i="18"/>
  <c r="AH29" i="18"/>
  <c r="C29" i="18"/>
  <c r="AH28" i="18"/>
  <c r="C28" i="18"/>
  <c r="AI27" i="18"/>
  <c r="AG27" i="18"/>
  <c r="AG26" i="18" s="1"/>
  <c r="AF27" i="18"/>
  <c r="AE27" i="18"/>
  <c r="AE26" i="18" s="1"/>
  <c r="AA27" i="18"/>
  <c r="Z27" i="18"/>
  <c r="Z26" i="18" s="1"/>
  <c r="Y27" i="18"/>
  <c r="U27" i="18"/>
  <c r="U26" i="18" s="1"/>
  <c r="T27" i="18"/>
  <c r="S27" i="18"/>
  <c r="S26" i="18" s="1"/>
  <c r="O27" i="18"/>
  <c r="N27" i="18"/>
  <c r="N26" i="18" s="1"/>
  <c r="M27" i="18"/>
  <c r="AA26" i="18"/>
  <c r="T26" i="18"/>
  <c r="M26" i="18"/>
  <c r="AH23" i="18"/>
  <c r="C23" i="18"/>
  <c r="AI22" i="18"/>
  <c r="AH22" i="18"/>
  <c r="AG22" i="18"/>
  <c r="AF22" i="18"/>
  <c r="AE22" i="18"/>
  <c r="AA22" i="18"/>
  <c r="Z22" i="18"/>
  <c r="Y22" i="18"/>
  <c r="U22" i="18"/>
  <c r="T22" i="18"/>
  <c r="S22" i="18"/>
  <c r="AH21" i="18"/>
  <c r="C21" i="18"/>
  <c r="AH20" i="18"/>
  <c r="C20" i="18"/>
  <c r="AI19" i="18"/>
  <c r="AG19" i="18"/>
  <c r="AF19" i="18"/>
  <c r="AE19" i="18"/>
  <c r="AA19" i="18"/>
  <c r="Z19" i="18"/>
  <c r="Y19" i="18"/>
  <c r="U19" i="18"/>
  <c r="T19" i="18"/>
  <c r="S19" i="18"/>
  <c r="O19" i="18"/>
  <c r="N19" i="18"/>
  <c r="M19" i="18"/>
  <c r="AH18" i="18"/>
  <c r="C18" i="18"/>
  <c r="AH17" i="18"/>
  <c r="C17" i="18"/>
  <c r="AH16" i="18"/>
  <c r="C16" i="18"/>
  <c r="AH15" i="18"/>
  <c r="AH14" i="18" s="1"/>
  <c r="C15" i="18"/>
  <c r="AI14" i="18"/>
  <c r="AI13" i="18" s="1"/>
  <c r="AI12" i="18" s="1"/>
  <c r="AI11" i="18" s="1"/>
  <c r="AG14" i="18"/>
  <c r="AF14" i="18"/>
  <c r="AF13" i="18" s="1"/>
  <c r="AF12" i="18" s="1"/>
  <c r="AF11" i="18" s="1"/>
  <c r="AE14" i="18"/>
  <c r="AE13" i="18" s="1"/>
  <c r="AE12" i="18" s="1"/>
  <c r="AE11" i="18" s="1"/>
  <c r="AA14" i="18"/>
  <c r="Z14" i="18"/>
  <c r="Z13" i="18" s="1"/>
  <c r="Y14" i="18"/>
  <c r="Y13" i="18" s="1"/>
  <c r="Y12" i="18" s="1"/>
  <c r="Y11" i="18" s="1"/>
  <c r="U14" i="18"/>
  <c r="T14" i="18"/>
  <c r="S14" i="18"/>
  <c r="O14" i="18"/>
  <c r="O13" i="18" s="1"/>
  <c r="O12" i="18" s="1"/>
  <c r="O11" i="18" s="1"/>
  <c r="N14" i="18"/>
  <c r="N13" i="18" s="1"/>
  <c r="N12" i="18" s="1"/>
  <c r="N11" i="18" s="1"/>
  <c r="M14" i="18"/>
  <c r="AA13" i="18"/>
  <c r="AA12" i="18" s="1"/>
  <c r="AA11" i="18" s="1"/>
  <c r="U13" i="18"/>
  <c r="U12" i="18" s="1"/>
  <c r="U11" i="18" s="1"/>
  <c r="T13" i="18"/>
  <c r="M13" i="18"/>
  <c r="M12" i="18" s="1"/>
  <c r="M11" i="18" s="1"/>
  <c r="Z12" i="18"/>
  <c r="Z11" i="18" s="1"/>
  <c r="T12" i="18"/>
  <c r="T11" i="18"/>
  <c r="AF58" i="18" l="1"/>
  <c r="O58" i="18"/>
  <c r="AE58" i="18"/>
  <c r="N58" i="18"/>
  <c r="AA58" i="18"/>
  <c r="M58" i="18"/>
  <c r="Y58" i="18"/>
  <c r="Z58" i="18"/>
  <c r="U58" i="18"/>
  <c r="T58" i="18"/>
  <c r="AG58" i="18"/>
  <c r="S58" i="18"/>
  <c r="AG13" i="18"/>
  <c r="AG12" i="18" s="1"/>
  <c r="AG11" i="18" s="1"/>
  <c r="I45" i="18"/>
  <c r="AH44" i="18"/>
  <c r="AF59" i="18"/>
  <c r="O59" i="18"/>
  <c r="AE59" i="18"/>
  <c r="N59" i="18"/>
  <c r="AA59" i="18"/>
  <c r="M59" i="18"/>
  <c r="Z59" i="18"/>
  <c r="Y59" i="18"/>
  <c r="U59" i="18"/>
  <c r="T59" i="18"/>
  <c r="AG59" i="18"/>
  <c r="S59" i="18"/>
  <c r="AH33" i="18"/>
  <c r="I38" i="18" s="1"/>
  <c r="I48" i="18"/>
  <c r="S13" i="18"/>
  <c r="S12" i="18" s="1"/>
  <c r="S11" i="18" s="1"/>
  <c r="I49" i="18"/>
  <c r="N55" i="18"/>
  <c r="U65" i="18"/>
  <c r="AG65" i="18"/>
  <c r="AI26" i="18"/>
  <c r="AI25" i="18" s="1"/>
  <c r="AI24" i="18" s="1"/>
  <c r="AI79" i="18" s="1"/>
  <c r="I46" i="18"/>
  <c r="I50" i="18"/>
  <c r="AF56" i="18"/>
  <c r="O56" i="18"/>
  <c r="O52" i="18" s="1"/>
  <c r="O51" i="18" s="1"/>
  <c r="O25" i="18" s="1"/>
  <c r="O24" i="18" s="1"/>
  <c r="O79" i="18" s="1"/>
  <c r="AE56" i="18"/>
  <c r="N56" i="18"/>
  <c r="AA56" i="18"/>
  <c r="M56" i="18"/>
  <c r="M52" i="18" s="1"/>
  <c r="M51" i="18" s="1"/>
  <c r="M25" i="18" s="1"/>
  <c r="M24" i="18" s="1"/>
  <c r="M79" i="18" s="1"/>
  <c r="Y56" i="18"/>
  <c r="Z56" i="18"/>
  <c r="U56" i="18"/>
  <c r="U52" i="18" s="1"/>
  <c r="U51" i="18" s="1"/>
  <c r="T56" i="18"/>
  <c r="AG56" i="18"/>
  <c r="AG52" i="18" s="1"/>
  <c r="AG51" i="18" s="1"/>
  <c r="AG25" i="18" s="1"/>
  <c r="AG24" i="18" s="1"/>
  <c r="S56" i="18"/>
  <c r="AF66" i="18"/>
  <c r="O66" i="18"/>
  <c r="AE66" i="18"/>
  <c r="N66" i="18"/>
  <c r="AA66" i="18"/>
  <c r="M66" i="18"/>
  <c r="Z66" i="18"/>
  <c r="Y66" i="18"/>
  <c r="U66" i="18"/>
  <c r="T66" i="18"/>
  <c r="AG66" i="18"/>
  <c r="S66" i="18"/>
  <c r="U25" i="18"/>
  <c r="U24" i="18" s="1"/>
  <c r="U79" i="18" s="1"/>
  <c r="AH19" i="18"/>
  <c r="AH13" i="18" s="1"/>
  <c r="Y26" i="18"/>
  <c r="AH27" i="18"/>
  <c r="I29" i="18" s="1"/>
  <c r="I32" i="18"/>
  <c r="I47" i="18"/>
  <c r="AF57" i="18"/>
  <c r="O57" i="18"/>
  <c r="AE57" i="18"/>
  <c r="N57" i="18"/>
  <c r="AA57" i="18"/>
  <c r="M57" i="18"/>
  <c r="Z57" i="18"/>
  <c r="Y57" i="18"/>
  <c r="U57" i="18"/>
  <c r="T57" i="18"/>
  <c r="AG57" i="18"/>
  <c r="S57" i="18"/>
  <c r="AH52" i="18"/>
  <c r="AA62" i="18"/>
  <c r="AA63" i="18"/>
  <c r="AA64" i="18"/>
  <c r="AH40" i="18"/>
  <c r="AH68" i="18"/>
  <c r="I74" i="18" s="1"/>
  <c r="AH12" i="18" l="1"/>
  <c r="I37" i="18"/>
  <c r="T52" i="18"/>
  <c r="T51" i="18" s="1"/>
  <c r="T25" i="18" s="1"/>
  <c r="T24" i="18" s="1"/>
  <c r="T79" i="18" s="1"/>
  <c r="AE52" i="18"/>
  <c r="AE51" i="18" s="1"/>
  <c r="AE25" i="18" s="1"/>
  <c r="AE24" i="18" s="1"/>
  <c r="AE79" i="18" s="1"/>
  <c r="AH43" i="18"/>
  <c r="I77" i="18"/>
  <c r="I75" i="18"/>
  <c r="I73" i="18"/>
  <c r="I71" i="18"/>
  <c r="I69" i="18"/>
  <c r="AH67" i="18"/>
  <c r="AH26" i="18"/>
  <c r="AF52" i="18"/>
  <c r="AF51" i="18" s="1"/>
  <c r="AF25" i="18" s="1"/>
  <c r="AF24" i="18" s="1"/>
  <c r="AF79" i="18" s="1"/>
  <c r="I78" i="18"/>
  <c r="I42" i="18"/>
  <c r="AH39" i="18"/>
  <c r="I76" i="18"/>
  <c r="Z52" i="18"/>
  <c r="Z51" i="18" s="1"/>
  <c r="Z25" i="18" s="1"/>
  <c r="Z24" i="18" s="1"/>
  <c r="Z79" i="18" s="1"/>
  <c r="I70" i="18"/>
  <c r="I72" i="18"/>
  <c r="AH51" i="18"/>
  <c r="I28" i="18"/>
  <c r="Y52" i="18"/>
  <c r="Y51" i="18" s="1"/>
  <c r="Y25" i="18" s="1"/>
  <c r="Y24" i="18" s="1"/>
  <c r="Y79" i="18" s="1"/>
  <c r="I41" i="18"/>
  <c r="I30" i="18"/>
  <c r="N52" i="18"/>
  <c r="N51" i="18" s="1"/>
  <c r="N25" i="18" s="1"/>
  <c r="N24" i="18" s="1"/>
  <c r="N79" i="18" s="1"/>
  <c r="I35" i="18"/>
  <c r="I36" i="18"/>
  <c r="I34" i="18"/>
  <c r="AG79" i="18"/>
  <c r="S52" i="18"/>
  <c r="S51" i="18" s="1"/>
  <c r="S25" i="18" s="1"/>
  <c r="S24" i="18" s="1"/>
  <c r="S79" i="18" s="1"/>
  <c r="AA52" i="18"/>
  <c r="AA51" i="18" s="1"/>
  <c r="AA25" i="18" s="1"/>
  <c r="AA24" i="18" s="1"/>
  <c r="AA79" i="18" s="1"/>
  <c r="I31" i="18"/>
  <c r="AH11" i="18" l="1"/>
  <c r="AH25" i="18"/>
  <c r="AH79" i="18" l="1"/>
  <c r="AH24" i="18"/>
  <c r="G36" i="18" l="1"/>
  <c r="G34" i="18"/>
  <c r="G78" i="18"/>
  <c r="G76" i="18"/>
  <c r="G74" i="18"/>
  <c r="G72" i="18"/>
  <c r="G70" i="18"/>
  <c r="G64" i="18"/>
  <c r="G63" i="18"/>
  <c r="G62" i="18"/>
  <c r="G35" i="18"/>
  <c r="G16" i="18"/>
  <c r="G23" i="18"/>
  <c r="G77" i="18"/>
  <c r="G75" i="18"/>
  <c r="G73" i="18"/>
  <c r="G71" i="18"/>
  <c r="G69" i="18"/>
  <c r="G15" i="18"/>
  <c r="G42" i="18"/>
  <c r="G41" i="18"/>
  <c r="G20" i="18"/>
  <c r="G17" i="18"/>
  <c r="G37" i="18"/>
  <c r="G61" i="18"/>
  <c r="G55" i="18"/>
  <c r="G66" i="18"/>
  <c r="G14" i="18"/>
  <c r="G21" i="18"/>
  <c r="G47" i="18"/>
  <c r="G57" i="18"/>
  <c r="G48" i="18"/>
  <c r="G53" i="18"/>
  <c r="G31" i="18"/>
  <c r="G38" i="18"/>
  <c r="G56" i="18"/>
  <c r="G30" i="18"/>
  <c r="G65" i="18"/>
  <c r="G28" i="18"/>
  <c r="G45" i="18"/>
  <c r="G50" i="18"/>
  <c r="G58" i="18"/>
  <c r="G59" i="18"/>
  <c r="G18" i="18"/>
  <c r="G32" i="18"/>
  <c r="G54" i="18"/>
  <c r="G60" i="18"/>
  <c r="G29" i="18"/>
  <c r="G49" i="18"/>
  <c r="G46" i="18"/>
  <c r="G52" i="18"/>
  <c r="G40" i="18"/>
  <c r="G44" i="18"/>
  <c r="G68" i="18"/>
  <c r="G27" i="18"/>
  <c r="G13" i="18"/>
  <c r="G33" i="18"/>
  <c r="G67" i="18"/>
  <c r="G26" i="18"/>
  <c r="G39" i="18"/>
  <c r="G12" i="18"/>
  <c r="G43" i="18"/>
  <c r="G51" i="18"/>
  <c r="G24" i="18"/>
  <c r="G25" i="18"/>
  <c r="G11" i="18"/>
  <c r="H35" i="17" l="1"/>
  <c r="AH34" i="17"/>
  <c r="AI34" i="17" s="1"/>
  <c r="C34" i="17"/>
  <c r="AH33" i="17"/>
  <c r="AI33" i="17" s="1"/>
  <c r="C33" i="17"/>
  <c r="AH32" i="17"/>
  <c r="AI32" i="17" s="1"/>
  <c r="I32" i="17"/>
  <c r="C32" i="17"/>
  <c r="AH31" i="17"/>
  <c r="AI31" i="17" s="1"/>
  <c r="C31" i="17"/>
  <c r="AG30" i="17"/>
  <c r="AF30" i="17"/>
  <c r="AF29" i="17" s="1"/>
  <c r="AE30" i="17"/>
  <c r="AE29" i="17" s="1"/>
  <c r="AA30" i="17"/>
  <c r="AA29" i="17" s="1"/>
  <c r="Z30" i="17"/>
  <c r="Y30" i="17"/>
  <c r="U30" i="17"/>
  <c r="U29" i="17" s="1"/>
  <c r="T30" i="17"/>
  <c r="T29" i="17" s="1"/>
  <c r="S30" i="17"/>
  <c r="O30" i="17"/>
  <c r="O29" i="17" s="1"/>
  <c r="N30" i="17"/>
  <c r="N29" i="17" s="1"/>
  <c r="M30" i="17"/>
  <c r="M29" i="17" s="1"/>
  <c r="AG29" i="17"/>
  <c r="Z29" i="17"/>
  <c r="Y29" i="17"/>
  <c r="S29" i="17"/>
  <c r="AI28" i="17"/>
  <c r="AH28" i="17"/>
  <c r="C28" i="17"/>
  <c r="AH27" i="17"/>
  <c r="AI27" i="17" s="1"/>
  <c r="I27" i="17"/>
  <c r="C27" i="17"/>
  <c r="AH26" i="17"/>
  <c r="AI26" i="17" s="1"/>
  <c r="AI25" i="17" s="1"/>
  <c r="AI24" i="17" s="1"/>
  <c r="C26" i="17"/>
  <c r="AL25" i="17"/>
  <c r="AH25" i="17"/>
  <c r="AG25" i="17"/>
  <c r="AF25" i="17"/>
  <c r="AE25" i="17"/>
  <c r="AA25" i="17"/>
  <c r="Z25" i="17"/>
  <c r="Y25" i="17"/>
  <c r="U25" i="17"/>
  <c r="T25" i="17"/>
  <c r="S25" i="17"/>
  <c r="O25" i="17"/>
  <c r="N25" i="17"/>
  <c r="M25" i="17"/>
  <c r="AL24" i="17"/>
  <c r="AG24" i="17"/>
  <c r="AF24" i="17"/>
  <c r="AE24" i="17"/>
  <c r="AA24" i="17"/>
  <c r="Z24" i="17"/>
  <c r="Y24" i="17"/>
  <c r="U24" i="17"/>
  <c r="T24" i="17"/>
  <c r="S24" i="17"/>
  <c r="O24" i="17"/>
  <c r="N24" i="17"/>
  <c r="M24" i="17"/>
  <c r="AH23" i="17"/>
  <c r="AI23" i="17" s="1"/>
  <c r="C23" i="17"/>
  <c r="AH22" i="17"/>
  <c r="AI22" i="17" s="1"/>
  <c r="C22" i="17"/>
  <c r="AH21" i="17"/>
  <c r="AI21" i="17" s="1"/>
  <c r="C21" i="17"/>
  <c r="AH20" i="17"/>
  <c r="AI20" i="17" s="1"/>
  <c r="C20" i="17"/>
  <c r="AH19" i="17"/>
  <c r="AI19" i="17" s="1"/>
  <c r="C19" i="17"/>
  <c r="AH18" i="17"/>
  <c r="AI18" i="17" s="1"/>
  <c r="I18" i="17"/>
  <c r="C18" i="17"/>
  <c r="AH17" i="17"/>
  <c r="AG17" i="17"/>
  <c r="AF17" i="17"/>
  <c r="AE17" i="17"/>
  <c r="AE16" i="17" s="1"/>
  <c r="AE15" i="17" s="1"/>
  <c r="AE14" i="17" s="1"/>
  <c r="AA17" i="17"/>
  <c r="AA16" i="17" s="1"/>
  <c r="AA15" i="17" s="1"/>
  <c r="AA14" i="17" s="1"/>
  <c r="Z17" i="17"/>
  <c r="Y17" i="17"/>
  <c r="Y16" i="17" s="1"/>
  <c r="Y15" i="17" s="1"/>
  <c r="Y14" i="17" s="1"/>
  <c r="U17" i="17"/>
  <c r="U16" i="17" s="1"/>
  <c r="U15" i="17" s="1"/>
  <c r="U14" i="17" s="1"/>
  <c r="T17" i="17"/>
  <c r="T16" i="17" s="1"/>
  <c r="T15" i="17" s="1"/>
  <c r="T14" i="17" s="1"/>
  <c r="T35" i="17" s="1"/>
  <c r="S17" i="17"/>
  <c r="O17" i="17"/>
  <c r="N17" i="17"/>
  <c r="N16" i="17" s="1"/>
  <c r="N15" i="17" s="1"/>
  <c r="N14" i="17" s="1"/>
  <c r="N35" i="17" s="1"/>
  <c r="M17" i="17"/>
  <c r="M16" i="17" s="1"/>
  <c r="M15" i="17" s="1"/>
  <c r="M14" i="17" s="1"/>
  <c r="M35" i="17" s="1"/>
  <c r="AG16" i="17"/>
  <c r="AG15" i="17" s="1"/>
  <c r="AG14" i="17" s="1"/>
  <c r="AG35" i="17" s="1"/>
  <c r="AF16" i="17"/>
  <c r="Z16" i="17"/>
  <c r="S16" i="17"/>
  <c r="S15" i="17" s="1"/>
  <c r="S14" i="17" s="1"/>
  <c r="O16" i="17"/>
  <c r="O15" i="17" s="1"/>
  <c r="O14" i="17" s="1"/>
  <c r="O35" i="17" s="1"/>
  <c r="AM15" i="17"/>
  <c r="AM14" i="17" s="1"/>
  <c r="AM35" i="17" s="1"/>
  <c r="AL15" i="17"/>
  <c r="AL14" i="17" s="1"/>
  <c r="AL35" i="17" s="1"/>
  <c r="AK15" i="17"/>
  <c r="AK14" i="17" s="1"/>
  <c r="AK35" i="17" s="1"/>
  <c r="AJ15" i="17"/>
  <c r="Z15" i="17"/>
  <c r="Z14" i="17" s="1"/>
  <c r="Z35" i="17" s="1"/>
  <c r="AJ14" i="17"/>
  <c r="AJ35" i="17" s="1"/>
  <c r="AI13" i="17"/>
  <c r="AH13" i="17"/>
  <c r="AI12" i="17"/>
  <c r="AI11" i="17" s="1"/>
  <c r="AI10" i="17" s="1"/>
  <c r="AI9" i="17" s="1"/>
  <c r="AH12" i="17"/>
  <c r="AH11" i="17" s="1"/>
  <c r="AE12" i="17"/>
  <c r="AA12" i="17"/>
  <c r="Y12" i="17"/>
  <c r="U12" i="17"/>
  <c r="S12" i="17"/>
  <c r="AE11" i="17"/>
  <c r="AE10" i="17" s="1"/>
  <c r="AE9" i="17" s="1"/>
  <c r="AE35" i="17" s="1"/>
  <c r="AA11" i="17"/>
  <c r="Y11" i="17"/>
  <c r="U11" i="17"/>
  <c r="U10" i="17" s="1"/>
  <c r="U9" i="17" s="1"/>
  <c r="U35" i="17" s="1"/>
  <c r="S11" i="17"/>
  <c r="AA10" i="17"/>
  <c r="Y10" i="17"/>
  <c r="S10" i="17"/>
  <c r="AA9" i="17"/>
  <c r="AA35" i="17" s="1"/>
  <c r="Y9" i="17"/>
  <c r="S9" i="17"/>
  <c r="AF15" i="17" l="1"/>
  <c r="AF14" i="17" s="1"/>
  <c r="AF35" i="17" s="1"/>
  <c r="AI30" i="17"/>
  <c r="AI29" i="17" s="1"/>
  <c r="AI17" i="17"/>
  <c r="AI16" i="17" s="1"/>
  <c r="AI15" i="17" s="1"/>
  <c r="AI14" i="17" s="1"/>
  <c r="AI35" i="17" s="1"/>
  <c r="S35" i="17"/>
  <c r="AH10" i="17"/>
  <c r="Y35" i="17"/>
  <c r="AH24" i="17"/>
  <c r="AH16" i="17"/>
  <c r="AH30" i="17"/>
  <c r="AH29" i="17" l="1"/>
  <c r="AH15" i="17" s="1"/>
  <c r="AH9" i="17"/>
  <c r="AH14" i="17" l="1"/>
  <c r="AH35" i="17"/>
  <c r="G33" i="17" l="1"/>
  <c r="G19" i="17"/>
  <c r="G28" i="17"/>
  <c r="G34" i="17"/>
  <c r="G26" i="17"/>
  <c r="G22" i="17"/>
  <c r="G21" i="17"/>
  <c r="G20" i="17"/>
  <c r="G27" i="17"/>
  <c r="G13" i="17"/>
  <c r="G23" i="17"/>
  <c r="G25" i="17"/>
  <c r="G12" i="17"/>
  <c r="G32" i="17"/>
  <c r="G18" i="17"/>
  <c r="G11" i="17"/>
  <c r="H11" i="17" s="1"/>
  <c r="G17" i="17"/>
  <c r="G31" i="17"/>
  <c r="G30" i="17"/>
  <c r="G10" i="17"/>
  <c r="G24" i="17"/>
  <c r="G16" i="17"/>
  <c r="H16" i="17" s="1"/>
  <c r="G29" i="17"/>
  <c r="G9" i="17"/>
  <c r="G35" i="17" s="1"/>
  <c r="G14" i="17"/>
  <c r="G15" i="17"/>
  <c r="AH47" i="16" l="1"/>
  <c r="AE46" i="16"/>
  <c r="AH45" i="16"/>
  <c r="AA44" i="16"/>
  <c r="AE43" i="16"/>
  <c r="AE42" i="16" s="1"/>
  <c r="AE35" i="16" s="1"/>
  <c r="AA43" i="16"/>
  <c r="AA42" i="16"/>
  <c r="AH41" i="16"/>
  <c r="AI41" i="16" s="1"/>
  <c r="AI40" i="16" s="1"/>
  <c r="I41" i="16"/>
  <c r="AH40" i="16"/>
  <c r="AF40" i="16"/>
  <c r="AF37" i="16" s="1"/>
  <c r="AF36" i="16" s="1"/>
  <c r="AF35" i="16" s="1"/>
  <c r="AH39" i="16"/>
  <c r="AI39" i="16" s="1"/>
  <c r="AI38" i="16" s="1"/>
  <c r="I39" i="16"/>
  <c r="AH38" i="16"/>
  <c r="AH37" i="16" s="1"/>
  <c r="AA38" i="16"/>
  <c r="AA37" i="16" s="1"/>
  <c r="AA36" i="16" s="1"/>
  <c r="AA35" i="16" s="1"/>
  <c r="AA48" i="16" s="1"/>
  <c r="AH34" i="16"/>
  <c r="AI34" i="16" s="1"/>
  <c r="AI33" i="16" s="1"/>
  <c r="AI32" i="16" s="1"/>
  <c r="AH33" i="16"/>
  <c r="AE33" i="16"/>
  <c r="AE32" i="16" s="1"/>
  <c r="AE26" i="16" s="1"/>
  <c r="AE25" i="16" s="1"/>
  <c r="AI31" i="16"/>
  <c r="AI30" i="16" s="1"/>
  <c r="AH31" i="16"/>
  <c r="AH30" i="16" s="1"/>
  <c r="AG30" i="16"/>
  <c r="AI29" i="16"/>
  <c r="AI28" i="16" s="1"/>
  <c r="AI27" i="16" s="1"/>
  <c r="AI26" i="16" s="1"/>
  <c r="AI25" i="16" s="1"/>
  <c r="AH29" i="16"/>
  <c r="AH28" i="16" s="1"/>
  <c r="AG28" i="16"/>
  <c r="AF28" i="16"/>
  <c r="AF27" i="16" s="1"/>
  <c r="AF26" i="16" s="1"/>
  <c r="AF25" i="16" s="1"/>
  <c r="AG27" i="16"/>
  <c r="AG26" i="16" s="1"/>
  <c r="AG25" i="16" s="1"/>
  <c r="AH24" i="16"/>
  <c r="AI24" i="16" s="1"/>
  <c r="AI23" i="16" s="1"/>
  <c r="AI22" i="16" s="1"/>
  <c r="AI21" i="16" s="1"/>
  <c r="AH23" i="16"/>
  <c r="AF23" i="16"/>
  <c r="AF22" i="16" s="1"/>
  <c r="AF21" i="16" s="1"/>
  <c r="AF11" i="16" s="1"/>
  <c r="AI20" i="16"/>
  <c r="AH20" i="16"/>
  <c r="AI19" i="16"/>
  <c r="AI18" i="16" s="1"/>
  <c r="AI17" i="16" s="1"/>
  <c r="AI16" i="16" s="1"/>
  <c r="AH19" i="16"/>
  <c r="AH18" i="16" s="1"/>
  <c r="AG18" i="16"/>
  <c r="AG17" i="16" s="1"/>
  <c r="AG16" i="16" s="1"/>
  <c r="AG11" i="16" s="1"/>
  <c r="AI14" i="16"/>
  <c r="AH14" i="16"/>
  <c r="I15" i="16" s="1"/>
  <c r="AE14" i="16"/>
  <c r="AI13" i="16"/>
  <c r="AI12" i="16" s="1"/>
  <c r="AI11" i="16" s="1"/>
  <c r="AH13" i="16"/>
  <c r="AE13" i="16"/>
  <c r="AE12" i="16"/>
  <c r="AE11" i="16"/>
  <c r="I29" i="16" l="1"/>
  <c r="AH27" i="16"/>
  <c r="AE48" i="16"/>
  <c r="I31" i="16"/>
  <c r="AI37" i="16"/>
  <c r="AI36" i="16" s="1"/>
  <c r="AG48" i="16"/>
  <c r="AH17" i="16"/>
  <c r="I19" i="16"/>
  <c r="I20" i="16"/>
  <c r="AH36" i="16"/>
  <c r="AF48" i="16"/>
  <c r="AI45" i="16"/>
  <c r="AI47" i="16"/>
  <c r="AI46" i="16" s="1"/>
  <c r="AH12" i="16"/>
  <c r="I24" i="16"/>
  <c r="AH22" i="16"/>
  <c r="I34" i="16"/>
  <c r="AH44" i="16"/>
  <c r="AH32" i="16"/>
  <c r="AH46" i="16"/>
  <c r="AH11" i="16" l="1"/>
  <c r="I47" i="16"/>
  <c r="AH43" i="16"/>
  <c r="I32" i="16"/>
  <c r="AI44" i="16"/>
  <c r="AI43" i="16"/>
  <c r="AI42" i="16" s="1"/>
  <c r="I45" i="16"/>
  <c r="AH16" i="16"/>
  <c r="AH21" i="16"/>
  <c r="AH26" i="16"/>
  <c r="AI35" i="16"/>
  <c r="AI48" i="16" s="1"/>
  <c r="AH42" i="16" l="1"/>
  <c r="AH25" i="16"/>
  <c r="AH35" i="16" l="1"/>
  <c r="AH48" i="16" l="1"/>
  <c r="G20" i="16" l="1"/>
  <c r="G31" i="16"/>
  <c r="G39" i="16"/>
  <c r="G15" i="16"/>
  <c r="G29" i="16"/>
  <c r="G19" i="16"/>
  <c r="G41" i="16"/>
  <c r="G40" i="16"/>
  <c r="G38" i="16"/>
  <c r="G13" i="16"/>
  <c r="H13" i="16" s="1"/>
  <c r="G34" i="16"/>
  <c r="G14" i="16"/>
  <c r="G24" i="16"/>
  <c r="G47" i="16"/>
  <c r="G28" i="16"/>
  <c r="G45" i="16"/>
  <c r="G37" i="16"/>
  <c r="H37" i="16" s="1"/>
  <c r="G23" i="16"/>
  <c r="G18" i="16"/>
  <c r="G33" i="16"/>
  <c r="G30" i="16"/>
  <c r="G36" i="16"/>
  <c r="G44" i="16"/>
  <c r="G46" i="16"/>
  <c r="G27" i="16"/>
  <c r="H27" i="16" s="1"/>
  <c r="G17" i="16"/>
  <c r="H17" i="16" s="1"/>
  <c r="G32" i="16"/>
  <c r="H32" i="16" s="1"/>
  <c r="G22" i="16"/>
  <c r="H22" i="16" s="1"/>
  <c r="G12" i="16"/>
  <c r="G16" i="16"/>
  <c r="G43" i="16"/>
  <c r="H43" i="16" s="1"/>
  <c r="G26" i="16"/>
  <c r="G11" i="16"/>
  <c r="G21" i="16"/>
  <c r="G25" i="16"/>
  <c r="G42" i="16"/>
  <c r="G35" i="16"/>
  <c r="H48" i="16" l="1"/>
  <c r="AH35" i="15" l="1"/>
  <c r="C35" i="15"/>
  <c r="AH34" i="15"/>
  <c r="C34" i="15"/>
  <c r="AH33" i="15"/>
  <c r="C33" i="15"/>
  <c r="AI32" i="15"/>
  <c r="AG32" i="15"/>
  <c r="AF32" i="15"/>
  <c r="AE32" i="15"/>
  <c r="AA32" i="15"/>
  <c r="Z32" i="15"/>
  <c r="Y32" i="15"/>
  <c r="U32" i="15"/>
  <c r="T32" i="15"/>
  <c r="S32" i="15"/>
  <c r="O32" i="15"/>
  <c r="N32" i="15"/>
  <c r="M32" i="15"/>
  <c r="AH31" i="15"/>
  <c r="C31" i="15"/>
  <c r="AH30" i="15"/>
  <c r="C30" i="15"/>
  <c r="AH29" i="15"/>
  <c r="C29" i="15"/>
  <c r="AG28" i="15"/>
  <c r="AG26" i="15" s="1"/>
  <c r="AF28" i="15"/>
  <c r="AF26" i="15" s="1"/>
  <c r="AE28" i="15"/>
  <c r="AE26" i="15" s="1"/>
  <c r="AA28" i="15"/>
  <c r="AA26" i="15" s="1"/>
  <c r="Y28" i="15"/>
  <c r="S28" i="15"/>
  <c r="S26" i="15" s="1"/>
  <c r="O28" i="15"/>
  <c r="O26" i="15" s="1"/>
  <c r="N28" i="15"/>
  <c r="N26" i="15" s="1"/>
  <c r="M28" i="15"/>
  <c r="M26" i="15" s="1"/>
  <c r="C28" i="15"/>
  <c r="Z28" i="15" s="1"/>
  <c r="Z26" i="15" s="1"/>
  <c r="AH27" i="15"/>
  <c r="C27" i="15"/>
  <c r="AI26" i="15"/>
  <c r="Y26" i="15"/>
  <c r="AH25" i="15"/>
  <c r="C25" i="15"/>
  <c r="AH24" i="15"/>
  <c r="C24" i="15"/>
  <c r="AH23" i="15"/>
  <c r="C23" i="15"/>
  <c r="AH22" i="15"/>
  <c r="C22" i="15"/>
  <c r="AG21" i="15"/>
  <c r="T21" i="15"/>
  <c r="S21" i="15"/>
  <c r="C21" i="15"/>
  <c r="U21" i="15" s="1"/>
  <c r="AG20" i="15"/>
  <c r="T20" i="15"/>
  <c r="S20" i="15"/>
  <c r="C20" i="15"/>
  <c r="U20" i="15" s="1"/>
  <c r="AG19" i="15"/>
  <c r="AG18" i="15" s="1"/>
  <c r="AG17" i="15" s="1"/>
  <c r="AG16" i="15" s="1"/>
  <c r="AG15" i="15" s="1"/>
  <c r="AG36" i="15" s="1"/>
  <c r="T19" i="15"/>
  <c r="S19" i="15"/>
  <c r="S18" i="15" s="1"/>
  <c r="C19" i="15"/>
  <c r="AF19" i="15" s="1"/>
  <c r="AI18" i="15"/>
  <c r="AI17" i="15" s="1"/>
  <c r="AI16" i="15" s="1"/>
  <c r="AI15" i="15" s="1"/>
  <c r="T18" i="15"/>
  <c r="AH14" i="15"/>
  <c r="AI13" i="15"/>
  <c r="AI12" i="15" s="1"/>
  <c r="AI11" i="15" s="1"/>
  <c r="AI10" i="15" s="1"/>
  <c r="AH13" i="15"/>
  <c r="U13" i="15"/>
  <c r="U12" i="15"/>
  <c r="U11" i="15"/>
  <c r="U10" i="15"/>
  <c r="AI36" i="15" l="1"/>
  <c r="S17" i="15"/>
  <c r="S16" i="15" s="1"/>
  <c r="S15" i="15" s="1"/>
  <c r="S36" i="15" s="1"/>
  <c r="I35" i="15"/>
  <c r="U19" i="15"/>
  <c r="U18" i="15" s="1"/>
  <c r="U17" i="15" s="1"/>
  <c r="U16" i="15" s="1"/>
  <c r="U15" i="15" s="1"/>
  <c r="U36" i="15" s="1"/>
  <c r="Y19" i="15"/>
  <c r="Y20" i="15"/>
  <c r="Y21" i="15"/>
  <c r="AH12" i="15"/>
  <c r="Z19" i="15"/>
  <c r="Z20" i="15"/>
  <c r="Z21" i="15"/>
  <c r="T28" i="15"/>
  <c r="T26" i="15" s="1"/>
  <c r="T17" i="15" s="1"/>
  <c r="T16" i="15" s="1"/>
  <c r="T15" i="15" s="1"/>
  <c r="T36" i="15" s="1"/>
  <c r="I14" i="15"/>
  <c r="M19" i="15"/>
  <c r="AA19" i="15"/>
  <c r="M20" i="15"/>
  <c r="AH20" i="15" s="1"/>
  <c r="AA20" i="15"/>
  <c r="M21" i="15"/>
  <c r="AH21" i="15" s="1"/>
  <c r="AA21" i="15"/>
  <c r="U28" i="15"/>
  <c r="U26" i="15" s="1"/>
  <c r="N19" i="15"/>
  <c r="AE19" i="15"/>
  <c r="N20" i="15"/>
  <c r="AE20" i="15"/>
  <c r="N21" i="15"/>
  <c r="AE21" i="15"/>
  <c r="AH32" i="15"/>
  <c r="O19" i="15"/>
  <c r="O20" i="15"/>
  <c r="AF20" i="15"/>
  <c r="AF18" i="15" s="1"/>
  <c r="AF17" i="15" s="1"/>
  <c r="AF16" i="15" s="1"/>
  <c r="AF15" i="15" s="1"/>
  <c r="AF36" i="15" s="1"/>
  <c r="O21" i="15"/>
  <c r="AF21" i="15"/>
  <c r="AA18" i="15" l="1"/>
  <c r="AA17" i="15" s="1"/>
  <c r="AA16" i="15" s="1"/>
  <c r="AA15" i="15" s="1"/>
  <c r="AA36" i="15" s="1"/>
  <c r="AH11" i="15"/>
  <c r="O18" i="15"/>
  <c r="O17" i="15" s="1"/>
  <c r="O16" i="15" s="1"/>
  <c r="O15" i="15" s="1"/>
  <c r="O36" i="15" s="1"/>
  <c r="AE18" i="15"/>
  <c r="AE17" i="15" s="1"/>
  <c r="AE16" i="15" s="1"/>
  <c r="AE15" i="15" s="1"/>
  <c r="AE36" i="15" s="1"/>
  <c r="AH19" i="15"/>
  <c r="M18" i="15"/>
  <c r="M17" i="15" s="1"/>
  <c r="M16" i="15" s="1"/>
  <c r="M15" i="15" s="1"/>
  <c r="M36" i="15" s="1"/>
  <c r="Z18" i="15"/>
  <c r="Z17" i="15" s="1"/>
  <c r="Z16" i="15" s="1"/>
  <c r="Z15" i="15" s="1"/>
  <c r="Z36" i="15" s="1"/>
  <c r="I34" i="15"/>
  <c r="I33" i="15"/>
  <c r="N18" i="15"/>
  <c r="N17" i="15" s="1"/>
  <c r="N16" i="15" s="1"/>
  <c r="N15" i="15" s="1"/>
  <c r="N36" i="15" s="1"/>
  <c r="AH28" i="15"/>
  <c r="Y18" i="15"/>
  <c r="Y17" i="15" s="1"/>
  <c r="Y16" i="15" s="1"/>
  <c r="Y15" i="15" s="1"/>
  <c r="Y36" i="15" s="1"/>
  <c r="I28" i="15" l="1"/>
  <c r="AH26" i="15"/>
  <c r="I19" i="15"/>
  <c r="AH18" i="15"/>
  <c r="AH10" i="15"/>
  <c r="I23" i="15" l="1"/>
  <c r="AH17" i="15"/>
  <c r="I25" i="15"/>
  <c r="I24" i="15"/>
  <c r="I22" i="15"/>
  <c r="I20" i="15"/>
  <c r="I21" i="15"/>
  <c r="I30" i="15"/>
  <c r="I27" i="15"/>
  <c r="I29" i="15"/>
  <c r="I31" i="15"/>
  <c r="AH16" i="15" l="1"/>
  <c r="AH15" i="15" l="1"/>
  <c r="AH36" i="15" l="1"/>
  <c r="G15" i="15"/>
  <c r="G30" i="15" l="1"/>
  <c r="G27" i="15"/>
  <c r="G14" i="15"/>
  <c r="G35" i="15"/>
  <c r="G33" i="15"/>
  <c r="G22" i="15"/>
  <c r="G24" i="15"/>
  <c r="G31" i="15"/>
  <c r="G25" i="15"/>
  <c r="G29" i="15"/>
  <c r="G23" i="15"/>
  <c r="G34" i="15"/>
  <c r="G13" i="15"/>
  <c r="G12" i="15"/>
  <c r="H12" i="15" s="1"/>
  <c r="G32" i="15"/>
  <c r="G21" i="15"/>
  <c r="G20" i="15"/>
  <c r="G28" i="15"/>
  <c r="G19" i="15"/>
  <c r="G11" i="15"/>
  <c r="G10" i="15"/>
  <c r="G26" i="15"/>
  <c r="G18" i="15"/>
  <c r="G17" i="15"/>
  <c r="H17" i="15" s="1"/>
  <c r="G16" i="15"/>
  <c r="H36" i="15" l="1"/>
  <c r="AI17" i="14" l="1"/>
  <c r="AG17" i="14"/>
  <c r="AF17" i="14"/>
  <c r="U17" i="14"/>
  <c r="S17" i="14"/>
  <c r="N17" i="14"/>
  <c r="M17" i="14"/>
  <c r="AH16" i="14"/>
  <c r="C16" i="14"/>
  <c r="AH15" i="14"/>
  <c r="AH17" i="14" s="1"/>
  <c r="C15" i="14"/>
  <c r="AI14" i="14"/>
  <c r="AG14" i="14"/>
  <c r="AF14" i="14"/>
  <c r="U14" i="14"/>
  <c r="U13" i="14" s="1"/>
  <c r="U12" i="14" s="1"/>
  <c r="U11" i="14" s="1"/>
  <c r="S14" i="14"/>
  <c r="N14" i="14"/>
  <c r="N13" i="14" s="1"/>
  <c r="N12" i="14" s="1"/>
  <c r="N11" i="14" s="1"/>
  <c r="M14" i="14"/>
  <c r="AI13" i="14"/>
  <c r="AG13" i="14"/>
  <c r="AF13" i="14"/>
  <c r="S13" i="14"/>
  <c r="M13" i="14"/>
  <c r="AI12" i="14"/>
  <c r="AG12" i="14"/>
  <c r="AG11" i="14" s="1"/>
  <c r="AF12" i="14"/>
  <c r="S12" i="14"/>
  <c r="M12" i="14"/>
  <c r="AI11" i="14"/>
  <c r="AF11" i="14"/>
  <c r="S11" i="14"/>
  <c r="M11" i="14"/>
  <c r="AH14" i="14" l="1"/>
  <c r="AH13" i="14" s="1"/>
  <c r="AH12" i="14" s="1"/>
  <c r="AH11" i="14" s="1"/>
  <c r="AH26" i="13" l="1"/>
  <c r="C26" i="13"/>
  <c r="AG25" i="13"/>
  <c r="AG24" i="13" s="1"/>
  <c r="AG20" i="13" s="1"/>
  <c r="AG19" i="13" s="1"/>
  <c r="AF25" i="13"/>
  <c r="AE25" i="13"/>
  <c r="AE24" i="13" s="1"/>
  <c r="AE20" i="13" s="1"/>
  <c r="AE19" i="13" s="1"/>
  <c r="AA25" i="13"/>
  <c r="Z25" i="13"/>
  <c r="Y25" i="13"/>
  <c r="Y24" i="13" s="1"/>
  <c r="Y20" i="13" s="1"/>
  <c r="Y19" i="13" s="1"/>
  <c r="U25" i="13"/>
  <c r="T25" i="13"/>
  <c r="S25" i="13"/>
  <c r="S24" i="13" s="1"/>
  <c r="S20" i="13" s="1"/>
  <c r="S19" i="13" s="1"/>
  <c r="O25" i="13"/>
  <c r="N25" i="13"/>
  <c r="N24" i="13" s="1"/>
  <c r="N20" i="13" s="1"/>
  <c r="N19" i="13" s="1"/>
  <c r="M25" i="13"/>
  <c r="AF24" i="13"/>
  <c r="AA24" i="13"/>
  <c r="AA20" i="13" s="1"/>
  <c r="AA19" i="13" s="1"/>
  <c r="Z24" i="13"/>
  <c r="U24" i="13"/>
  <c r="T24" i="13"/>
  <c r="O24" i="13"/>
  <c r="M24" i="13"/>
  <c r="M20" i="13" s="1"/>
  <c r="M19" i="13" s="1"/>
  <c r="AI23" i="13"/>
  <c r="AH23" i="13"/>
  <c r="AH22" i="13" s="1"/>
  <c r="C23" i="13"/>
  <c r="AI22" i="13"/>
  <c r="AI21" i="13" s="1"/>
  <c r="AG22" i="13"/>
  <c r="AF22" i="13"/>
  <c r="AF21" i="13" s="1"/>
  <c r="AF20" i="13" s="1"/>
  <c r="AF19" i="13" s="1"/>
  <c r="AF27" i="13" s="1"/>
  <c r="AE22" i="13"/>
  <c r="AA22" i="13"/>
  <c r="Z22" i="13"/>
  <c r="Z21" i="13" s="1"/>
  <c r="Z20" i="13" s="1"/>
  <c r="Z19" i="13" s="1"/>
  <c r="Z27" i="13" s="1"/>
  <c r="Y22" i="13"/>
  <c r="U22" i="13"/>
  <c r="U21" i="13" s="1"/>
  <c r="U20" i="13" s="1"/>
  <c r="U19" i="13" s="1"/>
  <c r="T22" i="13"/>
  <c r="S22" i="13"/>
  <c r="O22" i="13"/>
  <c r="O21" i="13" s="1"/>
  <c r="O20" i="13" s="1"/>
  <c r="O19" i="13" s="1"/>
  <c r="N22" i="13"/>
  <c r="M22" i="13"/>
  <c r="AG21" i="13"/>
  <c r="AE21" i="13"/>
  <c r="AA21" i="13"/>
  <c r="Y21" i="13"/>
  <c r="T21" i="13"/>
  <c r="T20" i="13" s="1"/>
  <c r="T19" i="13" s="1"/>
  <c r="T27" i="13" s="1"/>
  <c r="S21" i="13"/>
  <c r="N21" i="13"/>
  <c r="M21" i="13"/>
  <c r="AH18" i="13"/>
  <c r="AH17" i="13" s="1"/>
  <c r="C18" i="13"/>
  <c r="M17" i="13"/>
  <c r="M16" i="13"/>
  <c r="M15" i="13" s="1"/>
  <c r="AH14" i="13"/>
  <c r="C14" i="13"/>
  <c r="AG13" i="13"/>
  <c r="AG12" i="13" s="1"/>
  <c r="AG11" i="13" s="1"/>
  <c r="AG10" i="13" s="1"/>
  <c r="AF13" i="13"/>
  <c r="AE13" i="13"/>
  <c r="AE12" i="13" s="1"/>
  <c r="AE11" i="13" s="1"/>
  <c r="AE10" i="13" s="1"/>
  <c r="AA13" i="13"/>
  <c r="Z13" i="13"/>
  <c r="Y13" i="13"/>
  <c r="Y12" i="13" s="1"/>
  <c r="Y11" i="13" s="1"/>
  <c r="Y10" i="13" s="1"/>
  <c r="U13" i="13"/>
  <c r="T13" i="13"/>
  <c r="S13" i="13"/>
  <c r="S12" i="13" s="1"/>
  <c r="S11" i="13" s="1"/>
  <c r="S10" i="13" s="1"/>
  <c r="O13" i="13"/>
  <c r="N13" i="13"/>
  <c r="N12" i="13" s="1"/>
  <c r="N11" i="13" s="1"/>
  <c r="N10" i="13" s="1"/>
  <c r="M13" i="13"/>
  <c r="AF12" i="13"/>
  <c r="AA12" i="13"/>
  <c r="Z12" i="13"/>
  <c r="U12" i="13"/>
  <c r="T12" i="13"/>
  <c r="O12" i="13"/>
  <c r="M12" i="13"/>
  <c r="M11" i="13" s="1"/>
  <c r="AF11" i="13"/>
  <c r="AF10" i="13" s="1"/>
  <c r="AA11" i="13"/>
  <c r="AA10" i="13" s="1"/>
  <c r="Z11" i="13"/>
  <c r="U11" i="13"/>
  <c r="U10" i="13" s="1"/>
  <c r="T11" i="13"/>
  <c r="O11" i="13"/>
  <c r="O10" i="13" s="1"/>
  <c r="Z10" i="13"/>
  <c r="T10" i="13"/>
  <c r="O27" i="13" l="1"/>
  <c r="S27" i="13"/>
  <c r="U27" i="13"/>
  <c r="AA27" i="13"/>
  <c r="Y27" i="13"/>
  <c r="AG27" i="13"/>
  <c r="I14" i="13"/>
  <c r="M10" i="13"/>
  <c r="AH16" i="13"/>
  <c r="AH21" i="13"/>
  <c r="M27" i="13"/>
  <c r="N27" i="13"/>
  <c r="AE27" i="13"/>
  <c r="AI14" i="13"/>
  <c r="AI13" i="13" s="1"/>
  <c r="AI12" i="13" s="1"/>
  <c r="AI11" i="13" s="1"/>
  <c r="I18" i="13"/>
  <c r="AI26" i="13"/>
  <c r="AI25" i="13" s="1"/>
  <c r="AI24" i="13" s="1"/>
  <c r="AI20" i="13" s="1"/>
  <c r="AI19" i="13" s="1"/>
  <c r="AH13" i="13"/>
  <c r="AI18" i="13"/>
  <c r="AI17" i="13" s="1"/>
  <c r="AI16" i="13" s="1"/>
  <c r="AI15" i="13" s="1"/>
  <c r="I23" i="13"/>
  <c r="AH25" i="13"/>
  <c r="AI27" i="13" l="1"/>
  <c r="AH24" i="13"/>
  <c r="AH20" i="13"/>
  <c r="AH12" i="13"/>
  <c r="I26" i="13"/>
  <c r="AH15" i="13"/>
  <c r="AI10" i="13"/>
  <c r="AH11" i="13" l="1"/>
  <c r="AH19" i="13"/>
  <c r="AH10" i="13" l="1"/>
  <c r="AH27" i="13" l="1"/>
  <c r="G23" i="13" l="1"/>
  <c r="G18" i="13"/>
  <c r="G26" i="13"/>
  <c r="G17" i="13"/>
  <c r="G22" i="13"/>
  <c r="G14" i="13"/>
  <c r="G25" i="13"/>
  <c r="G21" i="13"/>
  <c r="H21" i="13" s="1"/>
  <c r="G13" i="13"/>
  <c r="G16" i="13"/>
  <c r="H16" i="13" s="1"/>
  <c r="G12" i="13"/>
  <c r="H12" i="13" s="1"/>
  <c r="G15" i="13"/>
  <c r="G20" i="13"/>
  <c r="G24" i="13"/>
  <c r="H24" i="13" s="1"/>
  <c r="G19" i="13"/>
  <c r="G11" i="13"/>
  <c r="G10" i="13"/>
  <c r="H27" i="13" l="1"/>
  <c r="H76" i="12" l="1"/>
  <c r="AH75" i="12"/>
  <c r="C75" i="12"/>
  <c r="AH74" i="12"/>
  <c r="C74" i="12"/>
  <c r="AI73" i="12"/>
  <c r="AI72" i="12" s="1"/>
  <c r="AG73" i="12"/>
  <c r="AG72" i="12" s="1"/>
  <c r="AF73" i="12"/>
  <c r="AE73" i="12"/>
  <c r="AA73" i="12"/>
  <c r="Z73" i="12"/>
  <c r="Y73" i="12"/>
  <c r="Y72" i="12" s="1"/>
  <c r="U73" i="12"/>
  <c r="U72" i="12" s="1"/>
  <c r="T73" i="12"/>
  <c r="S73" i="12"/>
  <c r="S72" i="12" s="1"/>
  <c r="O73" i="12"/>
  <c r="N73" i="12"/>
  <c r="M73" i="12"/>
  <c r="AF72" i="12"/>
  <c r="AE72" i="12"/>
  <c r="AA72" i="12"/>
  <c r="Z72" i="12"/>
  <c r="T72" i="12"/>
  <c r="O72" i="12"/>
  <c r="N72" i="12"/>
  <c r="M72" i="12"/>
  <c r="AH71" i="12"/>
  <c r="C71" i="12"/>
  <c r="AI70" i="12"/>
  <c r="AH70" i="12"/>
  <c r="AG70" i="12"/>
  <c r="AF70" i="12"/>
  <c r="AE70" i="12"/>
  <c r="AE69" i="12" s="1"/>
  <c r="AA70" i="12"/>
  <c r="Z70" i="12"/>
  <c r="Z69" i="12" s="1"/>
  <c r="Y70" i="12"/>
  <c r="Y69" i="12" s="1"/>
  <c r="U70" i="12"/>
  <c r="T70" i="12"/>
  <c r="T69" i="12" s="1"/>
  <c r="S70" i="12"/>
  <c r="O70" i="12"/>
  <c r="N70" i="12"/>
  <c r="N69" i="12" s="1"/>
  <c r="M70" i="12"/>
  <c r="AI69" i="12"/>
  <c r="AG69" i="12"/>
  <c r="AF69" i="12"/>
  <c r="AA69" i="12"/>
  <c r="U69" i="12"/>
  <c r="S69" i="12"/>
  <c r="O69" i="12"/>
  <c r="M69" i="12"/>
  <c r="AH68" i="12"/>
  <c r="AH67" i="12" s="1"/>
  <c r="C68" i="12"/>
  <c r="AI67" i="12"/>
  <c r="AI66" i="12" s="1"/>
  <c r="AG67" i="12"/>
  <c r="AF67" i="12"/>
  <c r="AE67" i="12"/>
  <c r="AA67" i="12"/>
  <c r="AA66" i="12" s="1"/>
  <c r="Z67" i="12"/>
  <c r="Z66" i="12" s="1"/>
  <c r="Y67" i="12"/>
  <c r="U67" i="12"/>
  <c r="U66" i="12" s="1"/>
  <c r="T67" i="12"/>
  <c r="S67" i="12"/>
  <c r="O67" i="12"/>
  <c r="N67" i="12"/>
  <c r="M67" i="12"/>
  <c r="M66" i="12" s="1"/>
  <c r="AG66" i="12"/>
  <c r="AF66" i="12"/>
  <c r="AE66" i="12"/>
  <c r="Y66" i="12"/>
  <c r="T66" i="12"/>
  <c r="S66" i="12"/>
  <c r="O66" i="12"/>
  <c r="N66" i="12"/>
  <c r="AH65" i="12"/>
  <c r="AH64" i="12" s="1"/>
  <c r="AG65" i="12"/>
  <c r="AF65" i="12"/>
  <c r="AE65" i="12"/>
  <c r="AA65" i="12"/>
  <c r="Z65" i="12"/>
  <c r="Y65" i="12"/>
  <c r="U65" i="12"/>
  <c r="T65" i="12"/>
  <c r="T64" i="12" s="1"/>
  <c r="T63" i="12" s="1"/>
  <c r="S65" i="12"/>
  <c r="O65" i="12"/>
  <c r="N65" i="12"/>
  <c r="M65" i="12"/>
  <c r="C65" i="12"/>
  <c r="AI64" i="12"/>
  <c r="AI63" i="12" s="1"/>
  <c r="AG64" i="12"/>
  <c r="AF64" i="12"/>
  <c r="AF63" i="12" s="1"/>
  <c r="AE64" i="12"/>
  <c r="AA64" i="12"/>
  <c r="Z64" i="12"/>
  <c r="Y64" i="12"/>
  <c r="Y63" i="12" s="1"/>
  <c r="U64" i="12"/>
  <c r="U63" i="12" s="1"/>
  <c r="S64" i="12"/>
  <c r="O64" i="12"/>
  <c r="O63" i="12" s="1"/>
  <c r="N64" i="12"/>
  <c r="M64" i="12"/>
  <c r="AG63" i="12"/>
  <c r="AE63" i="12"/>
  <c r="AA63" i="12"/>
  <c r="Z63" i="12"/>
  <c r="S63" i="12"/>
  <c r="N63" i="12"/>
  <c r="M63" i="12"/>
  <c r="AI62" i="12"/>
  <c r="AH62" i="12" s="1"/>
  <c r="C62" i="12"/>
  <c r="AG61" i="12"/>
  <c r="AF61" i="12"/>
  <c r="AE61" i="12"/>
  <c r="AE60" i="12" s="1"/>
  <c r="AA61" i="12"/>
  <c r="Z61" i="12"/>
  <c r="Z60" i="12" s="1"/>
  <c r="Y61" i="12"/>
  <c r="Y60" i="12" s="1"/>
  <c r="U61" i="12"/>
  <c r="T61" i="12"/>
  <c r="T60" i="12" s="1"/>
  <c r="S61" i="12"/>
  <c r="O61" i="12"/>
  <c r="N61" i="12"/>
  <c r="N60" i="12" s="1"/>
  <c r="M61" i="12"/>
  <c r="AG60" i="12"/>
  <c r="AF60" i="12"/>
  <c r="AA60" i="12"/>
  <c r="U60" i="12"/>
  <c r="S60" i="12"/>
  <c r="O60" i="12"/>
  <c r="M60" i="12"/>
  <c r="AI59" i="12"/>
  <c r="AH59" i="12"/>
  <c r="AG59" i="12"/>
  <c r="AF59" i="12"/>
  <c r="AE59" i="12"/>
  <c r="AA59" i="12"/>
  <c r="Z59" i="12"/>
  <c r="Y59" i="12"/>
  <c r="U59" i="12"/>
  <c r="T59" i="12"/>
  <c r="T58" i="12" s="1"/>
  <c r="T57" i="12" s="1"/>
  <c r="S59" i="12"/>
  <c r="O59" i="12"/>
  <c r="N59" i="12"/>
  <c r="M59" i="12"/>
  <c r="C59" i="12"/>
  <c r="AI58" i="12"/>
  <c r="AI57" i="12" s="1"/>
  <c r="AH58" i="12"/>
  <c r="AG58" i="12"/>
  <c r="AF58" i="12"/>
  <c r="AF57" i="12" s="1"/>
  <c r="AE58" i="12"/>
  <c r="AA58" i="12"/>
  <c r="Z58" i="12"/>
  <c r="Y58" i="12"/>
  <c r="U58" i="12"/>
  <c r="U57" i="12" s="1"/>
  <c r="S58" i="12"/>
  <c r="O58" i="12"/>
  <c r="O57" i="12" s="1"/>
  <c r="N58" i="12"/>
  <c r="M58" i="12"/>
  <c r="AG57" i="12"/>
  <c r="AE57" i="12"/>
  <c r="AA57" i="12"/>
  <c r="Z57" i="12"/>
  <c r="Y57" i="12"/>
  <c r="S57" i="12"/>
  <c r="N57" i="12"/>
  <c r="M57" i="12"/>
  <c r="AH56" i="12"/>
  <c r="C56" i="12"/>
  <c r="AI55" i="12"/>
  <c r="AI54" i="12" s="1"/>
  <c r="AG55" i="12"/>
  <c r="AG54" i="12" s="1"/>
  <c r="AF55" i="12"/>
  <c r="AE55" i="12"/>
  <c r="AA55" i="12"/>
  <c r="AA54" i="12" s="1"/>
  <c r="Z55" i="12"/>
  <c r="Y55" i="12"/>
  <c r="Y54" i="12" s="1"/>
  <c r="U55" i="12"/>
  <c r="U54" i="12" s="1"/>
  <c r="T55" i="12"/>
  <c r="S55" i="12"/>
  <c r="S54" i="12" s="1"/>
  <c r="O55" i="12"/>
  <c r="N55" i="12"/>
  <c r="M55" i="12"/>
  <c r="M54" i="12" s="1"/>
  <c r="AF54" i="12"/>
  <c r="AE54" i="12"/>
  <c r="Z54" i="12"/>
  <c r="T54" i="12"/>
  <c r="O54" i="12"/>
  <c r="N54" i="12"/>
  <c r="AH53" i="12"/>
  <c r="AH52" i="12" s="1"/>
  <c r="C53" i="12"/>
  <c r="AL52" i="12"/>
  <c r="AJ52" i="12"/>
  <c r="AJ51" i="12" s="1"/>
  <c r="AJ47" i="12" s="1"/>
  <c r="AJ46" i="12" s="1"/>
  <c r="AI52" i="12"/>
  <c r="AG52" i="12"/>
  <c r="AG51" i="12" s="1"/>
  <c r="AF52" i="12"/>
  <c r="AE52" i="12"/>
  <c r="AA52" i="12"/>
  <c r="AA51" i="12" s="1"/>
  <c r="Z52" i="12"/>
  <c r="Y52" i="12"/>
  <c r="Y51" i="12" s="1"/>
  <c r="U52" i="12"/>
  <c r="U51" i="12" s="1"/>
  <c r="T52" i="12"/>
  <c r="S52" i="12"/>
  <c r="S51" i="12" s="1"/>
  <c r="O52" i="12"/>
  <c r="N52" i="12"/>
  <c r="M52" i="12"/>
  <c r="M51" i="12" s="1"/>
  <c r="AL51" i="12"/>
  <c r="AL47" i="12" s="1"/>
  <c r="AL46" i="12" s="1"/>
  <c r="AL76" i="12" s="1"/>
  <c r="AI51" i="12"/>
  <c r="AF51" i="12"/>
  <c r="AE51" i="12"/>
  <c r="Z51" i="12"/>
  <c r="T51" i="12"/>
  <c r="O51" i="12"/>
  <c r="N51" i="12"/>
  <c r="AH50" i="12"/>
  <c r="C50" i="12"/>
  <c r="AI49" i="12"/>
  <c r="AH49" i="12"/>
  <c r="AG49" i="12"/>
  <c r="AG48" i="12" s="1"/>
  <c r="AG47" i="12" s="1"/>
  <c r="AG46" i="12" s="1"/>
  <c r="AF49" i="12"/>
  <c r="AE49" i="12"/>
  <c r="AE48" i="12" s="1"/>
  <c r="AA49" i="12"/>
  <c r="Z49" i="12"/>
  <c r="Y49" i="12"/>
  <c r="Y48" i="12" s="1"/>
  <c r="Y47" i="12" s="1"/>
  <c r="Y46" i="12" s="1"/>
  <c r="U49" i="12"/>
  <c r="T49" i="12"/>
  <c r="T48" i="12" s="1"/>
  <c r="S49" i="12"/>
  <c r="S48" i="12" s="1"/>
  <c r="S47" i="12" s="1"/>
  <c r="S46" i="12" s="1"/>
  <c r="O49" i="12"/>
  <c r="N49" i="12"/>
  <c r="N48" i="12" s="1"/>
  <c r="M49" i="12"/>
  <c r="AI48" i="12"/>
  <c r="AF48" i="12"/>
  <c r="AF47" i="12" s="1"/>
  <c r="AF46" i="12" s="1"/>
  <c r="AA48" i="12"/>
  <c r="Z48" i="12"/>
  <c r="U48" i="12"/>
  <c r="O48" i="12"/>
  <c r="M48" i="12"/>
  <c r="AH45" i="12"/>
  <c r="C45" i="12"/>
  <c r="AI44" i="12"/>
  <c r="AH44" i="12"/>
  <c r="AG44" i="12"/>
  <c r="AA44" i="12"/>
  <c r="U44" i="12"/>
  <c r="U43" i="12" s="1"/>
  <c r="U42" i="12" s="1"/>
  <c r="U41" i="12" s="1"/>
  <c r="O44" i="12"/>
  <c r="AI43" i="12"/>
  <c r="AI42" i="12" s="1"/>
  <c r="AI41" i="12" s="1"/>
  <c r="AG43" i="12"/>
  <c r="AG42" i="12" s="1"/>
  <c r="AG41" i="12" s="1"/>
  <c r="AA43" i="12"/>
  <c r="O43" i="12"/>
  <c r="O42" i="12" s="1"/>
  <c r="O41" i="12" s="1"/>
  <c r="AA42" i="12"/>
  <c r="AA41" i="12" s="1"/>
  <c r="AH40" i="12"/>
  <c r="C40" i="12"/>
  <c r="AH39" i="12"/>
  <c r="AH38" i="12" s="1"/>
  <c r="C39" i="12"/>
  <c r="AI38" i="12"/>
  <c r="AG38" i="12"/>
  <c r="AG37" i="12" s="1"/>
  <c r="AG36" i="12" s="1"/>
  <c r="AG16" i="12" s="1"/>
  <c r="AF38" i="12"/>
  <c r="AE38" i="12"/>
  <c r="AE37" i="12" s="1"/>
  <c r="AE36" i="12" s="1"/>
  <c r="AE16" i="12" s="1"/>
  <c r="AA38" i="12"/>
  <c r="AA37" i="12" s="1"/>
  <c r="AA36" i="12" s="1"/>
  <c r="AA16" i="12" s="1"/>
  <c r="Z38" i="12"/>
  <c r="Y38" i="12"/>
  <c r="Y37" i="12" s="1"/>
  <c r="Y36" i="12" s="1"/>
  <c r="U38" i="12"/>
  <c r="T38" i="12"/>
  <c r="S38" i="12"/>
  <c r="S37" i="12" s="1"/>
  <c r="S36" i="12" s="1"/>
  <c r="S16" i="12" s="1"/>
  <c r="S76" i="12" s="1"/>
  <c r="O38" i="12"/>
  <c r="N38" i="12"/>
  <c r="N37" i="12" s="1"/>
  <c r="N36" i="12" s="1"/>
  <c r="M38" i="12"/>
  <c r="M37" i="12" s="1"/>
  <c r="M36" i="12" s="1"/>
  <c r="M16" i="12" s="1"/>
  <c r="AI37" i="12"/>
  <c r="AI36" i="12" s="1"/>
  <c r="AI16" i="12" s="1"/>
  <c r="AF37" i="12"/>
  <c r="AF36" i="12" s="1"/>
  <c r="AF16" i="12" s="1"/>
  <c r="Z37" i="12"/>
  <c r="Z36" i="12" s="1"/>
  <c r="Z16" i="12" s="1"/>
  <c r="U37" i="12"/>
  <c r="U36" i="12" s="1"/>
  <c r="U16" i="12" s="1"/>
  <c r="T37" i="12"/>
  <c r="O37" i="12"/>
  <c r="O36" i="12" s="1"/>
  <c r="O16" i="12" s="1"/>
  <c r="T36" i="12"/>
  <c r="AH35" i="12"/>
  <c r="C35" i="12"/>
  <c r="AH34" i="12"/>
  <c r="C34" i="12"/>
  <c r="AH33" i="12"/>
  <c r="C33" i="12"/>
  <c r="AH32" i="12"/>
  <c r="C32" i="12"/>
  <c r="AH31" i="12"/>
  <c r="C31" i="12"/>
  <c r="AH30" i="12"/>
  <c r="C30" i="12"/>
  <c r="AH29" i="12"/>
  <c r="C29" i="12"/>
  <c r="AH28" i="12"/>
  <c r="C28" i="12"/>
  <c r="AH27" i="12"/>
  <c r="AH19" i="12" s="1"/>
  <c r="C27" i="12"/>
  <c r="AH26" i="12"/>
  <c r="C26" i="12"/>
  <c r="AH25" i="12"/>
  <c r="C25" i="12"/>
  <c r="AH24" i="12"/>
  <c r="C24" i="12"/>
  <c r="AH23" i="12"/>
  <c r="C23" i="12"/>
  <c r="AH22" i="12"/>
  <c r="C22" i="12"/>
  <c r="AH21" i="12"/>
  <c r="C21" i="12"/>
  <c r="AH20" i="12"/>
  <c r="C20" i="12"/>
  <c r="AJ19" i="12"/>
  <c r="AJ18" i="12" s="1"/>
  <c r="AJ17" i="12" s="1"/>
  <c r="AJ16" i="12" s="1"/>
  <c r="AJ76" i="12" s="1"/>
  <c r="AI19" i="12"/>
  <c r="AG19" i="12"/>
  <c r="AF19" i="12"/>
  <c r="AE19" i="12"/>
  <c r="AA19" i="12"/>
  <c r="Z19" i="12"/>
  <c r="Y19" i="12"/>
  <c r="U19" i="12"/>
  <c r="T19" i="12"/>
  <c r="T18" i="12" s="1"/>
  <c r="T17" i="12" s="1"/>
  <c r="T16" i="12" s="1"/>
  <c r="S19" i="12"/>
  <c r="O19" i="12"/>
  <c r="N19" i="12"/>
  <c r="M19" i="12"/>
  <c r="AI18" i="12"/>
  <c r="AG18" i="12"/>
  <c r="AF18" i="12"/>
  <c r="AE18" i="12"/>
  <c r="AA18" i="12"/>
  <c r="Z18" i="12"/>
  <c r="Y18" i="12"/>
  <c r="Y17" i="12" s="1"/>
  <c r="Y16" i="12" s="1"/>
  <c r="U18" i="12"/>
  <c r="S18" i="12"/>
  <c r="O18" i="12"/>
  <c r="N18" i="12"/>
  <c r="N17" i="12" s="1"/>
  <c r="M18" i="12"/>
  <c r="AI17" i="12"/>
  <c r="AG17" i="12"/>
  <c r="AF17" i="12"/>
  <c r="AE17" i="12"/>
  <c r="AA17" i="12"/>
  <c r="Z17" i="12"/>
  <c r="U17" i="12"/>
  <c r="S17" i="12"/>
  <c r="O17" i="12"/>
  <c r="M17" i="12"/>
  <c r="AH15" i="12"/>
  <c r="AH14" i="12" s="1"/>
  <c r="C15" i="12"/>
  <c r="AI14" i="12"/>
  <c r="AG14" i="12"/>
  <c r="AG13" i="12" s="1"/>
  <c r="AG12" i="12" s="1"/>
  <c r="AG11" i="12" s="1"/>
  <c r="AA14" i="12"/>
  <c r="U14" i="12"/>
  <c r="U13" i="12" s="1"/>
  <c r="U12" i="12" s="1"/>
  <c r="U11" i="12" s="1"/>
  <c r="O14" i="12"/>
  <c r="O13" i="12" s="1"/>
  <c r="O12" i="12" s="1"/>
  <c r="O11" i="12" s="1"/>
  <c r="AI13" i="12"/>
  <c r="AI12" i="12" s="1"/>
  <c r="AI11" i="12" s="1"/>
  <c r="AA13" i="12"/>
  <c r="AA12" i="12" s="1"/>
  <c r="AA11" i="12" s="1"/>
  <c r="AH61" i="12" l="1"/>
  <c r="AA76" i="12"/>
  <c r="Y76" i="12"/>
  <c r="AH63" i="12"/>
  <c r="AH51" i="12"/>
  <c r="AF76" i="12"/>
  <c r="AH37" i="12"/>
  <c r="N47" i="12"/>
  <c r="N46" i="12" s="1"/>
  <c r="AE47" i="12"/>
  <c r="AE46" i="12" s="1"/>
  <c r="T76" i="12"/>
  <c r="O47" i="12"/>
  <c r="O46" i="12" s="1"/>
  <c r="O76" i="12" s="1"/>
  <c r="AH66" i="12"/>
  <c r="M47" i="12"/>
  <c r="M46" i="12" s="1"/>
  <c r="N16" i="12"/>
  <c r="N76" i="12" s="1"/>
  <c r="AH18" i="12"/>
  <c r="M76" i="12"/>
  <c r="U47" i="12"/>
  <c r="U46" i="12" s="1"/>
  <c r="U76" i="12" s="1"/>
  <c r="AH13" i="12"/>
  <c r="AG76" i="12"/>
  <c r="AE76" i="12"/>
  <c r="Z47" i="12"/>
  <c r="Z46" i="12" s="1"/>
  <c r="Z76" i="12" s="1"/>
  <c r="T47" i="12"/>
  <c r="T46" i="12" s="1"/>
  <c r="AA47" i="12"/>
  <c r="AA46" i="12" s="1"/>
  <c r="AH43" i="12"/>
  <c r="AH55" i="12"/>
  <c r="AI61" i="12"/>
  <c r="AI60" i="12" s="1"/>
  <c r="AI47" i="12" s="1"/>
  <c r="AI46" i="12" s="1"/>
  <c r="AI76" i="12" s="1"/>
  <c r="AH69" i="12"/>
  <c r="AH73" i="12"/>
  <c r="AH57" i="12"/>
  <c r="AH48" i="12"/>
  <c r="AH60" i="12" l="1"/>
  <c r="AH54" i="12"/>
  <c r="AH47" i="12" s="1"/>
  <c r="AH42" i="12"/>
  <c r="AH17" i="12"/>
  <c r="AH72" i="12"/>
  <c r="AH12" i="12"/>
  <c r="AH36" i="12"/>
  <c r="AH46" i="12" l="1"/>
  <c r="AH16" i="12"/>
  <c r="AH41" i="12"/>
  <c r="AH11" i="12"/>
  <c r="G46" i="12" l="1"/>
  <c r="G41" i="12"/>
  <c r="AH76" i="12"/>
  <c r="G32" i="12" l="1"/>
  <c r="G24" i="12"/>
  <c r="G68" i="12"/>
  <c r="G31" i="12"/>
  <c r="G23" i="12"/>
  <c r="G30" i="12"/>
  <c r="G71" i="12"/>
  <c r="G53" i="12"/>
  <c r="G45" i="12"/>
  <c r="G33" i="12"/>
  <c r="G25" i="12"/>
  <c r="G22" i="12"/>
  <c r="G70" i="12"/>
  <c r="G15" i="12"/>
  <c r="G38" i="12"/>
  <c r="G67" i="12"/>
  <c r="G49" i="12"/>
  <c r="G27" i="12"/>
  <c r="G34" i="12"/>
  <c r="G74" i="12"/>
  <c r="G50" i="12"/>
  <c r="G19" i="12"/>
  <c r="G14" i="12"/>
  <c r="G20" i="12"/>
  <c r="G39" i="12"/>
  <c r="G65" i="12"/>
  <c r="G58" i="12"/>
  <c r="G59" i="12"/>
  <c r="G35" i="12"/>
  <c r="G44" i="12"/>
  <c r="G52" i="12"/>
  <c r="G26" i="12"/>
  <c r="G64" i="12"/>
  <c r="G21" i="12"/>
  <c r="G28" i="12"/>
  <c r="G29" i="12"/>
  <c r="G62" i="12"/>
  <c r="G40" i="12"/>
  <c r="G56" i="12"/>
  <c r="G69" i="12"/>
  <c r="G66" i="12"/>
  <c r="G55" i="12"/>
  <c r="G73" i="12"/>
  <c r="G51" i="12"/>
  <c r="G37" i="12"/>
  <c r="G61" i="12"/>
  <c r="G63" i="12"/>
  <c r="G48" i="12"/>
  <c r="G13" i="12"/>
  <c r="G57" i="12"/>
  <c r="G43" i="12"/>
  <c r="G18" i="12"/>
  <c r="G17" i="12"/>
  <c r="G54" i="12"/>
  <c r="G42" i="12"/>
  <c r="G60" i="12"/>
  <c r="G36" i="12"/>
  <c r="G47" i="12"/>
  <c r="G72" i="12"/>
  <c r="G12" i="12"/>
  <c r="G11" i="12"/>
  <c r="G16" i="12"/>
  <c r="AH62" i="11" l="1"/>
  <c r="AI61" i="11"/>
  <c r="AG61" i="11"/>
  <c r="AF61" i="11"/>
  <c r="AE61" i="11"/>
  <c r="AA61" i="11"/>
  <c r="Z61" i="11"/>
  <c r="Y61" i="11"/>
  <c r="U61" i="11"/>
  <c r="T61" i="11"/>
  <c r="S61" i="11"/>
  <c r="O61" i="11"/>
  <c r="N61" i="11"/>
  <c r="M61" i="11"/>
  <c r="AH61" i="11" s="1"/>
  <c r="L61" i="11"/>
  <c r="K61" i="11"/>
  <c r="J61" i="11"/>
  <c r="AI60" i="11"/>
  <c r="AG60" i="11"/>
  <c r="N60" i="11"/>
  <c r="AH60" i="11" s="1"/>
  <c r="L60" i="11"/>
  <c r="K60" i="11"/>
  <c r="K59" i="11" s="1"/>
  <c r="J60" i="11"/>
  <c r="AI59" i="11"/>
  <c r="AG59" i="11"/>
  <c r="N59" i="11"/>
  <c r="AH59" i="11" s="1"/>
  <c r="L59" i="11"/>
  <c r="J59" i="11"/>
  <c r="AI58" i="11"/>
  <c r="AH58" i="11"/>
  <c r="AM57" i="11"/>
  <c r="AI57" i="11"/>
  <c r="AH57" i="11"/>
  <c r="AH56" i="11" s="1"/>
  <c r="AH55" i="11" s="1"/>
  <c r="AH54" i="11" s="1"/>
  <c r="AG57" i="11"/>
  <c r="AF57" i="11"/>
  <c r="AF56" i="11" s="1"/>
  <c r="AF55" i="11" s="1"/>
  <c r="AF54" i="11" s="1"/>
  <c r="N57" i="11"/>
  <c r="L57" i="11"/>
  <c r="L56" i="11" s="1"/>
  <c r="L55" i="11" s="1"/>
  <c r="L54" i="11" s="1"/>
  <c r="K57" i="11"/>
  <c r="J57" i="11"/>
  <c r="AM56" i="11"/>
  <c r="AI56" i="11"/>
  <c r="AI55" i="11" s="1"/>
  <c r="AI54" i="11" s="1"/>
  <c r="AG56" i="11"/>
  <c r="AG55" i="11" s="1"/>
  <c r="AG54" i="11" s="1"/>
  <c r="N56" i="11"/>
  <c r="N55" i="11" s="1"/>
  <c r="N54" i="11" s="1"/>
  <c r="N63" i="11" s="1"/>
  <c r="K56" i="11"/>
  <c r="J56" i="11"/>
  <c r="AM55" i="11"/>
  <c r="AM54" i="11" s="1"/>
  <c r="AM63" i="11" s="1"/>
  <c r="K55" i="11"/>
  <c r="J55" i="11"/>
  <c r="J54" i="11" s="1"/>
  <c r="K54" i="11"/>
  <c r="AH53" i="11"/>
  <c r="AI52" i="11"/>
  <c r="AG52" i="11"/>
  <c r="AF52" i="11"/>
  <c r="AH52" i="11" s="1"/>
  <c r="N52" i="11"/>
  <c r="L52" i="11"/>
  <c r="L51" i="11" s="1"/>
  <c r="L50" i="11" s="1"/>
  <c r="K52" i="11"/>
  <c r="J52" i="11"/>
  <c r="J51" i="11" s="1"/>
  <c r="J50" i="11" s="1"/>
  <c r="AI51" i="11"/>
  <c r="AG51" i="11"/>
  <c r="AG50" i="11" s="1"/>
  <c r="N51" i="11"/>
  <c r="N50" i="11" s="1"/>
  <c r="K51" i="11"/>
  <c r="AI50" i="11"/>
  <c r="K50" i="11"/>
  <c r="AH49" i="11"/>
  <c r="AI48" i="11"/>
  <c r="AE48" i="11"/>
  <c r="N48" i="11"/>
  <c r="AH48" i="11" s="1"/>
  <c r="L48" i="11"/>
  <c r="K48" i="11"/>
  <c r="J48" i="11"/>
  <c r="AH47" i="11"/>
  <c r="AI46" i="11"/>
  <c r="N46" i="11"/>
  <c r="M46" i="11"/>
  <c r="AH46" i="11" s="1"/>
  <c r="L46" i="11"/>
  <c r="K46" i="11"/>
  <c r="AH45" i="11"/>
  <c r="AL44" i="11"/>
  <c r="AE44" i="11"/>
  <c r="AE41" i="11" s="1"/>
  <c r="AE40" i="11" s="1"/>
  <c r="AE39" i="11" s="1"/>
  <c r="AE63" i="11" s="1"/>
  <c r="N44" i="11"/>
  <c r="AH44" i="11" s="1"/>
  <c r="L44" i="11"/>
  <c r="K44" i="11"/>
  <c r="J44" i="11"/>
  <c r="AH43" i="11"/>
  <c r="AI43" i="11" s="1"/>
  <c r="AL42" i="11"/>
  <c r="AL41" i="11" s="1"/>
  <c r="AL40" i="11" s="1"/>
  <c r="AL39" i="11" s="1"/>
  <c r="AG42" i="11"/>
  <c r="AG41" i="11" s="1"/>
  <c r="AG40" i="11" s="1"/>
  <c r="AF42" i="11"/>
  <c r="AE42" i="11"/>
  <c r="AA42" i="11"/>
  <c r="Z42" i="11"/>
  <c r="Y42" i="11"/>
  <c r="Y41" i="11" s="1"/>
  <c r="Y40" i="11" s="1"/>
  <c r="Y39" i="11" s="1"/>
  <c r="Y63" i="11" s="1"/>
  <c r="U42" i="11"/>
  <c r="U41" i="11" s="1"/>
  <c r="U40" i="11" s="1"/>
  <c r="U39" i="11" s="1"/>
  <c r="T42" i="11"/>
  <c r="S42" i="11"/>
  <c r="S41" i="11" s="1"/>
  <c r="S40" i="11" s="1"/>
  <c r="S39" i="11" s="1"/>
  <c r="O42" i="11"/>
  <c r="N42" i="11"/>
  <c r="AH42" i="11" s="1"/>
  <c r="K42" i="11"/>
  <c r="J42" i="11"/>
  <c r="AF41" i="11"/>
  <c r="AA41" i="11"/>
  <c r="AA40" i="11" s="1"/>
  <c r="AA39" i="11" s="1"/>
  <c r="Z41" i="11"/>
  <c r="Z40" i="11" s="1"/>
  <c r="Z39" i="11" s="1"/>
  <c r="Z63" i="11" s="1"/>
  <c r="T41" i="11"/>
  <c r="O41" i="11"/>
  <c r="T40" i="11"/>
  <c r="O40" i="11"/>
  <c r="N40" i="11"/>
  <c r="N39" i="11" s="1"/>
  <c r="L40" i="11"/>
  <c r="L39" i="11" s="1"/>
  <c r="K40" i="11"/>
  <c r="K39" i="11" s="1"/>
  <c r="J40" i="11"/>
  <c r="T39" i="11"/>
  <c r="T63" i="11" s="1"/>
  <c r="O39" i="11"/>
  <c r="J39" i="11"/>
  <c r="AH38" i="11"/>
  <c r="AL37" i="11"/>
  <c r="AL36" i="11" s="1"/>
  <c r="AL35" i="11" s="1"/>
  <c r="AI37" i="11"/>
  <c r="AE37" i="11"/>
  <c r="N37" i="11"/>
  <c r="AH37" i="11" s="1"/>
  <c r="L37" i="11"/>
  <c r="K37" i="11"/>
  <c r="J37" i="11"/>
  <c r="J36" i="11" s="1"/>
  <c r="J35" i="11" s="1"/>
  <c r="AI36" i="11"/>
  <c r="AE36" i="11"/>
  <c r="N36" i="11"/>
  <c r="L36" i="11"/>
  <c r="L35" i="11" s="1"/>
  <c r="K36" i="11"/>
  <c r="K35" i="11" s="1"/>
  <c r="AI35" i="11"/>
  <c r="AE35" i="11"/>
  <c r="N35" i="11"/>
  <c r="AH34" i="11"/>
  <c r="AL33" i="11"/>
  <c r="AL32" i="11" s="1"/>
  <c r="AL31" i="11" s="1"/>
  <c r="AH33" i="11"/>
  <c r="AH32" i="11" s="1"/>
  <c r="AE33" i="11"/>
  <c r="L33" i="11"/>
  <c r="J33" i="11"/>
  <c r="J32" i="11" s="1"/>
  <c r="J31" i="11" s="1"/>
  <c r="AE32" i="11"/>
  <c r="AE31" i="11" s="1"/>
  <c r="N32" i="11"/>
  <c r="L32" i="11"/>
  <c r="N31" i="11"/>
  <c r="L31" i="11"/>
  <c r="AH30" i="11"/>
  <c r="AI29" i="11"/>
  <c r="AG29" i="11"/>
  <c r="AH29" i="11" s="1"/>
  <c r="N29" i="11"/>
  <c r="L29" i="11"/>
  <c r="K29" i="11"/>
  <c r="J29" i="11"/>
  <c r="AH28" i="11"/>
  <c r="AH27" i="11"/>
  <c r="AH26" i="11"/>
  <c r="AL25" i="11"/>
  <c r="AI25" i="11"/>
  <c r="AI24" i="11" s="1"/>
  <c r="AI23" i="11" s="1"/>
  <c r="AI22" i="11" s="1"/>
  <c r="AG25" i="11"/>
  <c r="AG24" i="11" s="1"/>
  <c r="AG23" i="11" s="1"/>
  <c r="AG22" i="11" s="1"/>
  <c r="AA25" i="11"/>
  <c r="AH25" i="11" s="1"/>
  <c r="U25" i="11"/>
  <c r="T25" i="11"/>
  <c r="S25" i="11"/>
  <c r="O25" i="11"/>
  <c r="N25" i="11"/>
  <c r="K25" i="11"/>
  <c r="K24" i="11" s="1"/>
  <c r="K23" i="11" s="1"/>
  <c r="K22" i="11" s="1"/>
  <c r="J25" i="11"/>
  <c r="J24" i="11" s="1"/>
  <c r="J23" i="11" s="1"/>
  <c r="AL24" i="11"/>
  <c r="U24" i="11"/>
  <c r="U23" i="11" s="1"/>
  <c r="U22" i="11" s="1"/>
  <c r="O24" i="11"/>
  <c r="O23" i="11" s="1"/>
  <c r="O22" i="11" s="1"/>
  <c r="N24" i="11"/>
  <c r="N23" i="11" s="1"/>
  <c r="N22" i="11" s="1"/>
  <c r="L24" i="11"/>
  <c r="AL23" i="11"/>
  <c r="L23" i="11"/>
  <c r="AI21" i="11"/>
  <c r="AH21" i="11"/>
  <c r="AL20" i="11"/>
  <c r="AH20" i="11"/>
  <c r="AH19" i="11" s="1"/>
  <c r="Y20" i="11"/>
  <c r="Y19" i="11" s="1"/>
  <c r="Y18" i="11" s="1"/>
  <c r="Y11" i="11" s="1"/>
  <c r="N20" i="11"/>
  <c r="L20" i="11"/>
  <c r="L19" i="11" s="1"/>
  <c r="L18" i="11" s="1"/>
  <c r="K20" i="11"/>
  <c r="J20" i="11"/>
  <c r="AL19" i="11"/>
  <c r="AL18" i="11" s="1"/>
  <c r="N19" i="11"/>
  <c r="K19" i="11"/>
  <c r="J19" i="11"/>
  <c r="N18" i="11"/>
  <c r="K18" i="11"/>
  <c r="J18" i="11"/>
  <c r="AH17" i="11"/>
  <c r="AI17" i="11" s="1"/>
  <c r="AL16" i="11"/>
  <c r="O16" i="11"/>
  <c r="AH16" i="11" s="1"/>
  <c r="J16" i="11"/>
  <c r="AI15" i="11"/>
  <c r="AH15" i="11"/>
  <c r="AL14" i="11"/>
  <c r="AH14" i="11"/>
  <c r="S14" i="11"/>
  <c r="O14" i="11"/>
  <c r="N14" i="11"/>
  <c r="N13" i="11" s="1"/>
  <c r="N12" i="11" s="1"/>
  <c r="N11" i="11" s="1"/>
  <c r="L14" i="11"/>
  <c r="K14" i="11"/>
  <c r="J14" i="11"/>
  <c r="AL13" i="11"/>
  <c r="AL12" i="11" s="1"/>
  <c r="AL11" i="11" s="1"/>
  <c r="S13" i="11"/>
  <c r="L13" i="11"/>
  <c r="L12" i="11" s="1"/>
  <c r="L11" i="11" s="1"/>
  <c r="K13" i="11"/>
  <c r="K12" i="11" s="1"/>
  <c r="K11" i="11" s="1"/>
  <c r="J13" i="11"/>
  <c r="J12" i="11" s="1"/>
  <c r="J11" i="11" s="1"/>
  <c r="S12" i="11"/>
  <c r="S11" i="11" s="1"/>
  <c r="AH18" i="11" l="1"/>
  <c r="AI19" i="11"/>
  <c r="AH24" i="11"/>
  <c r="AI42" i="11"/>
  <c r="AI41" i="11" s="1"/>
  <c r="AI40" i="11" s="1"/>
  <c r="AI39" i="11" s="1"/>
  <c r="O63" i="11"/>
  <c r="AG39" i="11"/>
  <c r="AH36" i="11"/>
  <c r="AL63" i="11"/>
  <c r="AH51" i="11"/>
  <c r="S63" i="11"/>
  <c r="U63" i="11"/>
  <c r="AH31" i="11"/>
  <c r="AI16" i="11"/>
  <c r="AG63" i="11"/>
  <c r="AI14" i="11"/>
  <c r="AI13" i="11" s="1"/>
  <c r="AI12" i="11" s="1"/>
  <c r="AI20" i="11"/>
  <c r="AA24" i="11"/>
  <c r="AA23" i="11" s="1"/>
  <c r="AA22" i="11" s="1"/>
  <c r="AA63" i="11" s="1"/>
  <c r="O13" i="11"/>
  <c r="O12" i="11" s="1"/>
  <c r="O11" i="11" s="1"/>
  <c r="AH13" i="11"/>
  <c r="AF51" i="11"/>
  <c r="M41" i="11"/>
  <c r="AH12" i="11" l="1"/>
  <c r="AH50" i="11"/>
  <c r="AH23" i="11"/>
  <c r="AH22" i="11" s="1"/>
  <c r="M40" i="11"/>
  <c r="AH41" i="11"/>
  <c r="AI18" i="11"/>
  <c r="AI11" i="11" s="1"/>
  <c r="AI63" i="11" s="1"/>
  <c r="AH35" i="11"/>
  <c r="AF50" i="11"/>
  <c r="AF40" i="11"/>
  <c r="AF39" i="11" s="1"/>
  <c r="AF63" i="11" s="1"/>
  <c r="M39" i="11" l="1"/>
  <c r="AH40" i="11"/>
  <c r="AH11" i="11"/>
  <c r="M63" i="11" l="1"/>
  <c r="AH39" i="11"/>
  <c r="AH63" i="11" l="1"/>
  <c r="G15" i="11" l="1"/>
  <c r="G62" i="11"/>
  <c r="G43" i="11"/>
  <c r="G28" i="11"/>
  <c r="G34" i="11"/>
  <c r="G38" i="11"/>
  <c r="G53" i="11"/>
  <c r="G47" i="11"/>
  <c r="G26" i="11"/>
  <c r="G30" i="11"/>
  <c r="G21" i="11"/>
  <c r="G19" i="11"/>
  <c r="H19" i="11" s="1"/>
  <c r="G54" i="11"/>
  <c r="G61" i="11"/>
  <c r="G48" i="11"/>
  <c r="G32" i="11"/>
  <c r="H32" i="11" s="1"/>
  <c r="G42" i="11"/>
  <c r="G37" i="11"/>
  <c r="G27" i="11"/>
  <c r="G20" i="11"/>
  <c r="G25" i="11"/>
  <c r="G44" i="11"/>
  <c r="G16" i="11"/>
  <c r="G52" i="11"/>
  <c r="G59" i="11"/>
  <c r="G49" i="11"/>
  <c r="G45" i="11"/>
  <c r="H60" i="11"/>
  <c r="G46" i="11"/>
  <c r="G17" i="11"/>
  <c r="G14" i="11"/>
  <c r="G60" i="11"/>
  <c r="G33" i="11"/>
  <c r="G29" i="11"/>
  <c r="G23" i="11"/>
  <c r="G36" i="11"/>
  <c r="G13" i="11"/>
  <c r="H13" i="11" s="1"/>
  <c r="G51" i="11"/>
  <c r="G31" i="11"/>
  <c r="H36" i="11"/>
  <c r="H51" i="11"/>
  <c r="G24" i="11"/>
  <c r="H24" i="11" s="1"/>
  <c r="G18" i="11"/>
  <c r="H41" i="11"/>
  <c r="G41" i="11"/>
  <c r="G50" i="11"/>
  <c r="G12" i="11"/>
  <c r="G35" i="11"/>
  <c r="G22" i="11"/>
  <c r="G11" i="11"/>
  <c r="G40" i="11"/>
  <c r="G39" i="11"/>
  <c r="G63" i="11" l="1"/>
  <c r="H39" i="10" l="1"/>
  <c r="AH38" i="10"/>
  <c r="I38" i="10" s="1"/>
  <c r="C38" i="10"/>
  <c r="AH37" i="10"/>
  <c r="I37" i="10"/>
  <c r="C37" i="10"/>
  <c r="AH36" i="10"/>
  <c r="I36" i="10" s="1"/>
  <c r="C36" i="10"/>
  <c r="AH35" i="10"/>
  <c r="I35" i="10"/>
  <c r="C35" i="10"/>
  <c r="AH34" i="10"/>
  <c r="I34" i="10" s="1"/>
  <c r="C34" i="10"/>
  <c r="AH33" i="10"/>
  <c r="I33" i="10"/>
  <c r="C33" i="10"/>
  <c r="AH32" i="10"/>
  <c r="I32" i="10" s="1"/>
  <c r="C32" i="10"/>
  <c r="AH31" i="10"/>
  <c r="AG31" i="10"/>
  <c r="AA31" i="10"/>
  <c r="AA30" i="10" s="1"/>
  <c r="AA29" i="10" s="1"/>
  <c r="AA28" i="10" s="1"/>
  <c r="U31" i="10"/>
  <c r="O31" i="10"/>
  <c r="AH30" i="10"/>
  <c r="AG30" i="10"/>
  <c r="AG29" i="10" s="1"/>
  <c r="AG28" i="10" s="1"/>
  <c r="AG39" i="10" s="1"/>
  <c r="U30" i="10"/>
  <c r="U29" i="10" s="1"/>
  <c r="U28" i="10" s="1"/>
  <c r="O30" i="10"/>
  <c r="O29" i="10" s="1"/>
  <c r="O28" i="10" s="1"/>
  <c r="AI29" i="10"/>
  <c r="AI28" i="10"/>
  <c r="AH27" i="10"/>
  <c r="AH26" i="10"/>
  <c r="AI25" i="10"/>
  <c r="AI24" i="10" s="1"/>
  <c r="AI23" i="10" s="1"/>
  <c r="AF25" i="10"/>
  <c r="AF24" i="10" s="1"/>
  <c r="AF23" i="10" s="1"/>
  <c r="AF11" i="10" s="1"/>
  <c r="AF39" i="10" s="1"/>
  <c r="O25" i="10"/>
  <c r="O24" i="10" s="1"/>
  <c r="O23" i="10" s="1"/>
  <c r="O11" i="10" s="1"/>
  <c r="O39" i="10" s="1"/>
  <c r="AH22" i="10"/>
  <c r="AH21" i="10" s="1"/>
  <c r="C22" i="10"/>
  <c r="AI21" i="10"/>
  <c r="N21" i="10"/>
  <c r="AI20" i="10"/>
  <c r="AI19" i="10" s="1"/>
  <c r="N20" i="10"/>
  <c r="N19" i="10" s="1"/>
  <c r="N11" i="10" s="1"/>
  <c r="N39" i="10" s="1"/>
  <c r="AH18" i="10"/>
  <c r="I18" i="10" s="1"/>
  <c r="AH17" i="10"/>
  <c r="AA17" i="10"/>
  <c r="U17" i="10"/>
  <c r="AH16" i="10"/>
  <c r="C16" i="10"/>
  <c r="AH15" i="10"/>
  <c r="I15" i="10" s="1"/>
  <c r="C15" i="10"/>
  <c r="AI14" i="10"/>
  <c r="AI13" i="10" s="1"/>
  <c r="AI12" i="10" s="1"/>
  <c r="AH14" i="10"/>
  <c r="AH13" i="10" s="1"/>
  <c r="AA14" i="10"/>
  <c r="AA13" i="10" s="1"/>
  <c r="AA12" i="10" s="1"/>
  <c r="AA11" i="10" s="1"/>
  <c r="AA39" i="10" s="1"/>
  <c r="U14" i="10"/>
  <c r="U13" i="10" s="1"/>
  <c r="U12" i="10" s="1"/>
  <c r="U11" i="10" s="1"/>
  <c r="U39" i="10" s="1"/>
  <c r="AH20" i="10" l="1"/>
  <c r="AH12" i="10"/>
  <c r="AI11" i="10"/>
  <c r="AI39" i="10" s="1"/>
  <c r="AH25" i="10"/>
  <c r="I22" i="10"/>
  <c r="AH29" i="10"/>
  <c r="I16" i="10"/>
  <c r="AH28" i="10" l="1"/>
  <c r="AH24" i="10"/>
  <c r="I26" i="10"/>
  <c r="AH19" i="10"/>
  <c r="I27" i="10"/>
  <c r="AH23" i="10" l="1"/>
  <c r="AH11" i="10" l="1"/>
  <c r="AH39" i="10" l="1"/>
  <c r="G33" i="10" l="1"/>
  <c r="G14" i="10"/>
  <c r="G32" i="10"/>
  <c r="G26" i="10"/>
  <c r="G38" i="10"/>
  <c r="G36" i="10"/>
  <c r="G34" i="10"/>
  <c r="G37" i="10"/>
  <c r="G35" i="10"/>
  <c r="G16" i="10"/>
  <c r="G17" i="10"/>
  <c r="G15" i="10"/>
  <c r="G13" i="10"/>
  <c r="G27" i="10"/>
  <c r="G21" i="10"/>
  <c r="G18" i="10"/>
  <c r="G22" i="10"/>
  <c r="G31" i="10"/>
  <c r="G30" i="10"/>
  <c r="G25" i="10"/>
  <c r="G12" i="10"/>
  <c r="G29" i="10"/>
  <c r="G20" i="10"/>
  <c r="G24" i="10"/>
  <c r="G28" i="10"/>
  <c r="G19" i="10"/>
  <c r="G23" i="10"/>
  <c r="G11" i="10"/>
  <c r="AI17" i="9" l="1"/>
  <c r="AH17" i="9"/>
  <c r="C17" i="9"/>
  <c r="AH16" i="9"/>
  <c r="AI16" i="9" s="1"/>
  <c r="C16" i="9"/>
  <c r="AI15" i="9"/>
  <c r="AI14" i="9" s="1"/>
  <c r="AI13" i="9" s="1"/>
  <c r="AI12" i="9" s="1"/>
  <c r="AI11" i="9" s="1"/>
  <c r="AI18" i="9" s="1"/>
  <c r="AH15" i="9"/>
  <c r="C15" i="9"/>
  <c r="AG14" i="9"/>
  <c r="AF14" i="9"/>
  <c r="AF13" i="9" s="1"/>
  <c r="AF12" i="9" s="1"/>
  <c r="AF11" i="9" s="1"/>
  <c r="AF18" i="9" s="1"/>
  <c r="AE14" i="9"/>
  <c r="AA14" i="9"/>
  <c r="Z14" i="9"/>
  <c r="Z13" i="9" s="1"/>
  <c r="Z12" i="9" s="1"/>
  <c r="Z11" i="9" s="1"/>
  <c r="Z18" i="9" s="1"/>
  <c r="Y14" i="9"/>
  <c r="Y13" i="9" s="1"/>
  <c r="Y12" i="9" s="1"/>
  <c r="Y11" i="9" s="1"/>
  <c r="Y18" i="9" s="1"/>
  <c r="U14" i="9"/>
  <c r="T14" i="9"/>
  <c r="T13" i="9" s="1"/>
  <c r="T12" i="9" s="1"/>
  <c r="T11" i="9" s="1"/>
  <c r="T18" i="9" s="1"/>
  <c r="S14" i="9"/>
  <c r="O14" i="9"/>
  <c r="O13" i="9" s="1"/>
  <c r="O12" i="9" s="1"/>
  <c r="O11" i="9" s="1"/>
  <c r="O18" i="9" s="1"/>
  <c r="N14" i="9"/>
  <c r="M14" i="9"/>
  <c r="AG13" i="9"/>
  <c r="AE13" i="9"/>
  <c r="AA13" i="9"/>
  <c r="U13" i="9"/>
  <c r="S13" i="9"/>
  <c r="N13" i="9"/>
  <c r="M13" i="9"/>
  <c r="AG12" i="9"/>
  <c r="AG11" i="9" s="1"/>
  <c r="AG18" i="9" s="1"/>
  <c r="AE12" i="9"/>
  <c r="AE11" i="9" s="1"/>
  <c r="AE18" i="9" s="1"/>
  <c r="AA12" i="9"/>
  <c r="U12" i="9"/>
  <c r="U11" i="9" s="1"/>
  <c r="U18" i="9" s="1"/>
  <c r="S12" i="9"/>
  <c r="S11" i="9" s="1"/>
  <c r="S18" i="9" s="1"/>
  <c r="N12" i="9"/>
  <c r="N11" i="9" s="1"/>
  <c r="N18" i="9" s="1"/>
  <c r="M12" i="9"/>
  <c r="AA11" i="9"/>
  <c r="AA18" i="9" s="1"/>
  <c r="M11" i="9"/>
  <c r="M18" i="9" s="1"/>
  <c r="AH14" i="9" l="1"/>
  <c r="I16" i="9" s="1"/>
  <c r="I17" i="9" l="1"/>
  <c r="I15" i="9"/>
  <c r="AH13" i="9"/>
  <c r="AH12" i="9" l="1"/>
  <c r="I18" i="9"/>
  <c r="I72" i="8"/>
  <c r="AL71" i="8"/>
  <c r="AL70" i="8" s="1"/>
  <c r="AL69" i="8" s="1"/>
  <c r="AL68" i="8" s="1"/>
  <c r="AH71" i="8"/>
  <c r="AG71" i="8"/>
  <c r="AH70" i="8"/>
  <c r="AG70" i="8"/>
  <c r="AG69" i="8"/>
  <c r="AG68" i="8" s="1"/>
  <c r="C67" i="8"/>
  <c r="Y67" i="8" s="1"/>
  <c r="Y66" i="8" s="1"/>
  <c r="Y65" i="8" s="1"/>
  <c r="Y64" i="8" s="1"/>
  <c r="Y56" i="8" s="1"/>
  <c r="AL66" i="8"/>
  <c r="AL65" i="8" s="1"/>
  <c r="AL64" i="8" s="1"/>
  <c r="AI66" i="8"/>
  <c r="AH66" i="8"/>
  <c r="AI65" i="8"/>
  <c r="AI64" i="8" s="1"/>
  <c r="U63" i="8"/>
  <c r="C63" i="8"/>
  <c r="C62" i="8"/>
  <c r="U62" i="8" s="1"/>
  <c r="U61" i="8"/>
  <c r="U59" i="8" s="1"/>
  <c r="U58" i="8" s="1"/>
  <c r="U57" i="8" s="1"/>
  <c r="U56" i="8" s="1"/>
  <c r="C61" i="8"/>
  <c r="C60" i="8"/>
  <c r="S60" i="8" s="1"/>
  <c r="S59" i="8" s="1"/>
  <c r="S58" i="8" s="1"/>
  <c r="S57" i="8" s="1"/>
  <c r="S56" i="8" s="1"/>
  <c r="AL59" i="8"/>
  <c r="AI59" i="8"/>
  <c r="AI58" i="8" s="1"/>
  <c r="AH59" i="8"/>
  <c r="AL58" i="8"/>
  <c r="AL57" i="8" s="1"/>
  <c r="AI57" i="8"/>
  <c r="AA55" i="8"/>
  <c r="AA54" i="8" s="1"/>
  <c r="Y55" i="8"/>
  <c r="Y54" i="8" s="1"/>
  <c r="O55" i="8"/>
  <c r="O54" i="8" s="1"/>
  <c r="O53" i="8" s="1"/>
  <c r="O52" i="8" s="1"/>
  <c r="O51" i="8" s="1"/>
  <c r="I55" i="8"/>
  <c r="C55" i="8"/>
  <c r="Z55" i="8" s="1"/>
  <c r="Z54" i="8" s="1"/>
  <c r="Z53" i="8" s="1"/>
  <c r="Z52" i="8" s="1"/>
  <c r="Z51" i="8" s="1"/>
  <c r="AL54" i="8"/>
  <c r="AL53" i="8" s="1"/>
  <c r="AL52" i="8" s="1"/>
  <c r="AL51" i="8" s="1"/>
  <c r="AI54" i="8"/>
  <c r="AH54" i="8"/>
  <c r="AI53" i="8"/>
  <c r="AH53" i="8"/>
  <c r="AA53" i="8"/>
  <c r="AA52" i="8" s="1"/>
  <c r="AA51" i="8" s="1"/>
  <c r="Y53" i="8"/>
  <c r="Y52" i="8" s="1"/>
  <c r="Y51" i="8" s="1"/>
  <c r="AI52" i="8"/>
  <c r="AI51" i="8" s="1"/>
  <c r="AH52" i="8"/>
  <c r="AH51" i="8"/>
  <c r="AF50" i="8"/>
  <c r="AE50" i="8"/>
  <c r="AA50" i="8"/>
  <c r="T50" i="8"/>
  <c r="T47" i="8" s="1"/>
  <c r="T44" i="8" s="1"/>
  <c r="T43" i="8" s="1"/>
  <c r="O50" i="8"/>
  <c r="N50" i="8"/>
  <c r="M50" i="8"/>
  <c r="C50" i="8"/>
  <c r="Z50" i="8" s="1"/>
  <c r="AG49" i="8"/>
  <c r="AE49" i="8"/>
  <c r="AA49" i="8"/>
  <c r="Z49" i="8"/>
  <c r="T49" i="8"/>
  <c r="S49" i="8"/>
  <c r="N49" i="8"/>
  <c r="M49" i="8"/>
  <c r="I49" i="8"/>
  <c r="C49" i="8"/>
  <c r="Y49" i="8" s="1"/>
  <c r="AG48" i="8"/>
  <c r="AF48" i="8"/>
  <c r="AA48" i="8"/>
  <c r="AA47" i="8" s="1"/>
  <c r="Z48" i="8"/>
  <c r="Y48" i="8"/>
  <c r="T48" i="8"/>
  <c r="S48" i="8"/>
  <c r="O48" i="8"/>
  <c r="M48" i="8"/>
  <c r="C48" i="8"/>
  <c r="U48" i="8" s="1"/>
  <c r="AL47" i="8"/>
  <c r="AI47" i="8"/>
  <c r="AH47" i="8"/>
  <c r="M47" i="8"/>
  <c r="Z46" i="8"/>
  <c r="S46" i="8"/>
  <c r="I46" i="8"/>
  <c r="C46" i="8"/>
  <c r="AL45" i="8"/>
  <c r="AL44" i="8" s="1"/>
  <c r="AL43" i="8" s="1"/>
  <c r="AI45" i="8"/>
  <c r="AI44" i="8" s="1"/>
  <c r="AI43" i="8" s="1"/>
  <c r="AH45" i="8"/>
  <c r="Z45" i="8"/>
  <c r="S45" i="8"/>
  <c r="AH44" i="8"/>
  <c r="AH43" i="8"/>
  <c r="AG42" i="8"/>
  <c r="AF42" i="8"/>
  <c r="AF41" i="8" s="1"/>
  <c r="AF40" i="8" s="1"/>
  <c r="AF39" i="8" s="1"/>
  <c r="AE42" i="8"/>
  <c r="AE41" i="8" s="1"/>
  <c r="AE40" i="8" s="1"/>
  <c r="AE39" i="8" s="1"/>
  <c r="T42" i="8"/>
  <c r="T41" i="8" s="1"/>
  <c r="T40" i="8" s="1"/>
  <c r="T39" i="8" s="1"/>
  <c r="O42" i="8"/>
  <c r="N42" i="8"/>
  <c r="N41" i="8" s="1"/>
  <c r="N40" i="8" s="1"/>
  <c r="N39" i="8" s="1"/>
  <c r="M42" i="8"/>
  <c r="M41" i="8" s="1"/>
  <c r="M40" i="8" s="1"/>
  <c r="M39" i="8" s="1"/>
  <c r="C42" i="8"/>
  <c r="AA42" i="8" s="1"/>
  <c r="AA41" i="8" s="1"/>
  <c r="AA40" i="8" s="1"/>
  <c r="AA39" i="8" s="1"/>
  <c r="AL41" i="8"/>
  <c r="AL40" i="8" s="1"/>
  <c r="AL39" i="8" s="1"/>
  <c r="AI41" i="8"/>
  <c r="AH41" i="8"/>
  <c r="AG41" i="8"/>
  <c r="AG40" i="8" s="1"/>
  <c r="AG39" i="8" s="1"/>
  <c r="O41" i="8"/>
  <c r="O40" i="8" s="1"/>
  <c r="O39" i="8" s="1"/>
  <c r="AI40" i="8"/>
  <c r="AI39" i="8"/>
  <c r="I38" i="8"/>
  <c r="C38" i="8"/>
  <c r="AL37" i="8"/>
  <c r="AL25" i="8" s="1"/>
  <c r="AI37" i="8"/>
  <c r="AH37" i="8"/>
  <c r="AE36" i="8"/>
  <c r="AA36" i="8"/>
  <c r="U36" i="8"/>
  <c r="O36" i="8"/>
  <c r="N36" i="8"/>
  <c r="M36" i="8"/>
  <c r="C36" i="8"/>
  <c r="AG35" i="8"/>
  <c r="AE35" i="8"/>
  <c r="AA35" i="8"/>
  <c r="Z35" i="8"/>
  <c r="T35" i="8"/>
  <c r="S35" i="8"/>
  <c r="N35" i="8"/>
  <c r="M35" i="8"/>
  <c r="C35" i="8"/>
  <c r="Y35" i="8" s="1"/>
  <c r="AG34" i="8"/>
  <c r="AF34" i="8"/>
  <c r="AA34" i="8"/>
  <c r="Z34" i="8"/>
  <c r="Y34" i="8"/>
  <c r="T34" i="8"/>
  <c r="S34" i="8"/>
  <c r="O34" i="8"/>
  <c r="M34" i="8"/>
  <c r="C34" i="8"/>
  <c r="U34" i="8" s="1"/>
  <c r="AF33" i="8"/>
  <c r="AE33" i="8"/>
  <c r="Y33" i="8"/>
  <c r="T33" i="8"/>
  <c r="N33" i="8"/>
  <c r="C33" i="8"/>
  <c r="AE32" i="8"/>
  <c r="AA32" i="8"/>
  <c r="S32" i="8"/>
  <c r="N32" i="8"/>
  <c r="C32" i="8"/>
  <c r="AG32" i="8" s="1"/>
  <c r="AA31" i="8"/>
  <c r="Z31" i="8"/>
  <c r="T31" i="8"/>
  <c r="S31" i="8"/>
  <c r="M31" i="8"/>
  <c r="C31" i="8"/>
  <c r="U31" i="8" s="1"/>
  <c r="AG30" i="8"/>
  <c r="AF30" i="8"/>
  <c r="AE30" i="8"/>
  <c r="Z30" i="8"/>
  <c r="Y30" i="8"/>
  <c r="U30" i="8"/>
  <c r="T30" i="8"/>
  <c r="S30" i="8"/>
  <c r="O30" i="8"/>
  <c r="N30" i="8"/>
  <c r="AG29" i="8"/>
  <c r="AF29" i="8"/>
  <c r="AE29" i="8"/>
  <c r="AA29" i="8"/>
  <c r="Z29" i="8"/>
  <c r="Y29" i="8"/>
  <c r="U29" i="8"/>
  <c r="T29" i="8"/>
  <c r="S29" i="8"/>
  <c r="O29" i="8"/>
  <c r="AG28" i="8"/>
  <c r="AF28" i="8"/>
  <c r="AA28" i="8"/>
  <c r="Z28" i="8"/>
  <c r="Y28" i="8"/>
  <c r="T28" i="8"/>
  <c r="S28" i="8"/>
  <c r="O28" i="8"/>
  <c r="M28" i="8"/>
  <c r="C28" i="8"/>
  <c r="AE28" i="8" s="1"/>
  <c r="AG27" i="8"/>
  <c r="AE27" i="8"/>
  <c r="Y27" i="8"/>
  <c r="U27" i="8"/>
  <c r="O27" i="8"/>
  <c r="N27" i="8"/>
  <c r="C27" i="8"/>
  <c r="AL26" i="8"/>
  <c r="AI26" i="8"/>
  <c r="AI25" i="8" s="1"/>
  <c r="AH26" i="8"/>
  <c r="I35" i="8" s="1"/>
  <c r="AF24" i="8"/>
  <c r="C24" i="8"/>
  <c r="AG24" i="8" s="1"/>
  <c r="AG23" i="8"/>
  <c r="Y23" i="8"/>
  <c r="T23" i="8"/>
  <c r="C23" i="8"/>
  <c r="AF23" i="8" s="1"/>
  <c r="AF21" i="8" s="1"/>
  <c r="AG22" i="8"/>
  <c r="AF22" i="8"/>
  <c r="AE22" i="8"/>
  <c r="AA22" i="8"/>
  <c r="Z22" i="8"/>
  <c r="Z21" i="8" s="1"/>
  <c r="Y22" i="8"/>
  <c r="T22" i="8"/>
  <c r="S22" i="8"/>
  <c r="S21" i="8" s="1"/>
  <c r="O22" i="8"/>
  <c r="O21" i="8" s="1"/>
  <c r="N22" i="8"/>
  <c r="M22" i="8"/>
  <c r="I22" i="8"/>
  <c r="C22" i="8"/>
  <c r="U22" i="8" s="1"/>
  <c r="AL21" i="8"/>
  <c r="AI21" i="8"/>
  <c r="AH21" i="8"/>
  <c r="AE21" i="8"/>
  <c r="AA21" i="8"/>
  <c r="U21" i="8"/>
  <c r="N21" i="8"/>
  <c r="M21" i="8"/>
  <c r="U20" i="8"/>
  <c r="S20" i="8"/>
  <c r="O20" i="8"/>
  <c r="C20" i="8"/>
  <c r="Y20" i="8" s="1"/>
  <c r="AF19" i="8"/>
  <c r="AA19" i="8"/>
  <c r="Z19" i="8"/>
  <c r="T19" i="8"/>
  <c r="S19" i="8"/>
  <c r="N19" i="8"/>
  <c r="M19" i="8"/>
  <c r="C19" i="8"/>
  <c r="Y19" i="8" s="1"/>
  <c r="AG18" i="8"/>
  <c r="AF18" i="8"/>
  <c r="AA18" i="8"/>
  <c r="Z18" i="8"/>
  <c r="Z17" i="8" s="1"/>
  <c r="Z13" i="8" s="1"/>
  <c r="Y18" i="8"/>
  <c r="T18" i="8"/>
  <c r="S18" i="8"/>
  <c r="O18" i="8"/>
  <c r="M18" i="8"/>
  <c r="I18" i="8"/>
  <c r="C18" i="8"/>
  <c r="U18" i="8" s="1"/>
  <c r="AL17" i="8"/>
  <c r="AI17" i="8"/>
  <c r="AH17" i="8"/>
  <c r="AF17" i="8"/>
  <c r="Y16" i="8"/>
  <c r="U16" i="8"/>
  <c r="S16" i="8"/>
  <c r="O16" i="8"/>
  <c r="I16" i="8"/>
  <c r="C16" i="8"/>
  <c r="AA16" i="8" s="1"/>
  <c r="C15" i="8"/>
  <c r="U15" i="8" s="1"/>
  <c r="U14" i="8" s="1"/>
  <c r="AL14" i="8"/>
  <c r="AL13" i="8" s="1"/>
  <c r="AL12" i="8" s="1"/>
  <c r="AI14" i="8"/>
  <c r="AH14" i="8"/>
  <c r="AI13" i="8"/>
  <c r="AI12" i="8" s="1"/>
  <c r="AI11" i="8" s="1"/>
  <c r="AI73" i="8" s="1"/>
  <c r="AH11" i="9" l="1"/>
  <c r="O17" i="8"/>
  <c r="AL11" i="8"/>
  <c r="AL73" i="8" s="1"/>
  <c r="U17" i="8"/>
  <c r="U13" i="8"/>
  <c r="O38" i="8"/>
  <c r="O37" i="8" s="1"/>
  <c r="N38" i="8"/>
  <c r="N37" i="8" s="1"/>
  <c r="O15" i="8"/>
  <c r="O14" i="8" s="1"/>
  <c r="AG47" i="8"/>
  <c r="S15" i="8"/>
  <c r="S14" i="8" s="1"/>
  <c r="AG17" i="8"/>
  <c r="AG13" i="8" s="1"/>
  <c r="T24" i="8"/>
  <c r="T21" i="8" s="1"/>
  <c r="AA27" i="8"/>
  <c r="AA26" i="8" s="1"/>
  <c r="AA25" i="8" s="1"/>
  <c r="M27" i="8"/>
  <c r="M26" i="8" s="1"/>
  <c r="M25" i="8" s="1"/>
  <c r="Z27" i="8"/>
  <c r="T27" i="8"/>
  <c r="AF27" i="8"/>
  <c r="Z32" i="8"/>
  <c r="Z36" i="8"/>
  <c r="Y36" i="8"/>
  <c r="AG36" i="8"/>
  <c r="S36" i="8"/>
  <c r="AF36" i="8"/>
  <c r="Y46" i="8"/>
  <c r="Y45" i="8" s="1"/>
  <c r="O46" i="8"/>
  <c r="O45" i="8" s="1"/>
  <c r="M46" i="8"/>
  <c r="M45" i="8" s="1"/>
  <c r="M44" i="8" s="1"/>
  <c r="M43" i="8" s="1"/>
  <c r="AG46" i="8"/>
  <c r="AG45" i="8" s="1"/>
  <c r="AG44" i="8" s="1"/>
  <c r="AG43" i="8" s="1"/>
  <c r="N46" i="8"/>
  <c r="N45" i="8" s="1"/>
  <c r="N44" i="8" s="1"/>
  <c r="N43" i="8" s="1"/>
  <c r="AF46" i="8"/>
  <c r="AF45" i="8" s="1"/>
  <c r="AA46" i="8"/>
  <c r="AA45" i="8" s="1"/>
  <c r="AA44" i="8" s="1"/>
  <c r="AA43" i="8" s="1"/>
  <c r="AG21" i="8"/>
  <c r="AF13" i="8"/>
  <c r="I36" i="8"/>
  <c r="I33" i="8"/>
  <c r="I30" i="8"/>
  <c r="I27" i="8"/>
  <c r="I32" i="8"/>
  <c r="I29" i="8"/>
  <c r="I24" i="8"/>
  <c r="M20" i="8"/>
  <c r="M17" i="8" s="1"/>
  <c r="M13" i="8" s="1"/>
  <c r="M12" i="8" s="1"/>
  <c r="M11" i="8" s="1"/>
  <c r="M73" i="8" s="1"/>
  <c r="AA20" i="8"/>
  <c r="AA17" i="8" s="1"/>
  <c r="T20" i="8"/>
  <c r="T17" i="8" s="1"/>
  <c r="I48" i="8"/>
  <c r="I50" i="8"/>
  <c r="I15" i="8"/>
  <c r="AA15" i="8"/>
  <c r="AA14" i="8" s="1"/>
  <c r="I23" i="8"/>
  <c r="AH25" i="8"/>
  <c r="O26" i="8"/>
  <c r="AF31" i="8"/>
  <c r="O31" i="8"/>
  <c r="AE31" i="8"/>
  <c r="AE26" i="8" s="1"/>
  <c r="AE25" i="8" s="1"/>
  <c r="N31" i="8"/>
  <c r="Y31" i="8"/>
  <c r="Y26" i="8" s="1"/>
  <c r="Y25" i="8" s="1"/>
  <c r="AG31" i="8"/>
  <c r="AG26" i="8" s="1"/>
  <c r="AG25" i="8" s="1"/>
  <c r="I63" i="8"/>
  <c r="I61" i="8"/>
  <c r="I62" i="8"/>
  <c r="I60" i="8"/>
  <c r="AH58" i="8"/>
  <c r="I67" i="8"/>
  <c r="AH65" i="8"/>
  <c r="T15" i="8"/>
  <c r="Y15" i="8"/>
  <c r="Y14" i="8" s="1"/>
  <c r="I20" i="8"/>
  <c r="S17" i="8"/>
  <c r="I19" i="8"/>
  <c r="AH13" i="8"/>
  <c r="Y17" i="8"/>
  <c r="N20" i="8"/>
  <c r="Y21" i="8"/>
  <c r="S27" i="8"/>
  <c r="S26" i="8" s="1"/>
  <c r="S25" i="8" s="1"/>
  <c r="I28" i="8"/>
  <c r="I31" i="8"/>
  <c r="Y32" i="8"/>
  <c r="T32" i="8"/>
  <c r="AF32" i="8"/>
  <c r="AG33" i="8"/>
  <c r="Z33" i="8"/>
  <c r="I34" i="8"/>
  <c r="T36" i="8"/>
  <c r="AE46" i="8"/>
  <c r="AE45" i="8" s="1"/>
  <c r="AE44" i="8" s="1"/>
  <c r="AE43" i="8" s="1"/>
  <c r="Z47" i="8"/>
  <c r="Z44" i="8" s="1"/>
  <c r="Z43" i="8" s="1"/>
  <c r="I42" i="8"/>
  <c r="AH40" i="8"/>
  <c r="T16" i="8"/>
  <c r="N18" i="8"/>
  <c r="N17" i="8" s="1"/>
  <c r="N13" i="8" s="1"/>
  <c r="AE18" i="8"/>
  <c r="AE17" i="8" s="1"/>
  <c r="AE13" i="8" s="1"/>
  <c r="O19" i="8"/>
  <c r="AG19" i="8"/>
  <c r="U28" i="8"/>
  <c r="U26" i="8" s="1"/>
  <c r="U25" i="8" s="1"/>
  <c r="N34" i="8"/>
  <c r="AE34" i="8"/>
  <c r="O35" i="8"/>
  <c r="AF35" i="8"/>
  <c r="S42" i="8"/>
  <c r="S41" i="8" s="1"/>
  <c r="S40" i="8" s="1"/>
  <c r="S39" i="8" s="1"/>
  <c r="N48" i="8"/>
  <c r="N47" i="8" s="1"/>
  <c r="AE48" i="8"/>
  <c r="AE47" i="8" s="1"/>
  <c r="O49" i="8"/>
  <c r="O47" i="8" s="1"/>
  <c r="AF49" i="8"/>
  <c r="AF47" i="8" s="1"/>
  <c r="S50" i="8"/>
  <c r="S47" i="8" s="1"/>
  <c r="S44" i="8" s="1"/>
  <c r="S43" i="8" s="1"/>
  <c r="AG50" i="8"/>
  <c r="U50" i="8"/>
  <c r="S55" i="8"/>
  <c r="S54" i="8" s="1"/>
  <c r="S53" i="8" s="1"/>
  <c r="S52" i="8" s="1"/>
  <c r="S51" i="8" s="1"/>
  <c r="AH69" i="8"/>
  <c r="U19" i="8"/>
  <c r="U35" i="8"/>
  <c r="Z42" i="8"/>
  <c r="Z41" i="8" s="1"/>
  <c r="Z40" i="8" s="1"/>
  <c r="Z39" i="8" s="1"/>
  <c r="U49" i="8"/>
  <c r="U47" i="8" s="1"/>
  <c r="U44" i="8" s="1"/>
  <c r="U43" i="8" s="1"/>
  <c r="Y50" i="8"/>
  <c r="Y47" i="8" s="1"/>
  <c r="T55" i="8"/>
  <c r="T54" i="8" s="1"/>
  <c r="T53" i="8" s="1"/>
  <c r="T52" i="8" s="1"/>
  <c r="T51" i="8" s="1"/>
  <c r="U42" i="8"/>
  <c r="U41" i="8" s="1"/>
  <c r="U40" i="8" s="1"/>
  <c r="U39" i="8" s="1"/>
  <c r="N28" i="8"/>
  <c r="N26" i="8" s="1"/>
  <c r="N25" i="8" s="1"/>
  <c r="U55" i="8"/>
  <c r="U54" i="8" s="1"/>
  <c r="U53" i="8" s="1"/>
  <c r="U52" i="8" s="1"/>
  <c r="U51" i="8" s="1"/>
  <c r="AH18" i="9" l="1"/>
  <c r="G11" i="9"/>
  <c r="U12" i="8"/>
  <c r="U11" i="8" s="1"/>
  <c r="U73" i="8" s="1"/>
  <c r="AF12" i="8"/>
  <c r="AF26" i="8"/>
  <c r="AF25" i="8" s="1"/>
  <c r="AH68" i="8"/>
  <c r="Y13" i="8"/>
  <c r="Y12" i="8" s="1"/>
  <c r="Y11" i="8" s="1"/>
  <c r="Y73" i="8" s="1"/>
  <c r="Y44" i="8"/>
  <c r="Y43" i="8" s="1"/>
  <c r="T26" i="8"/>
  <c r="T25" i="8" s="1"/>
  <c r="AH39" i="8"/>
  <c r="AH57" i="8"/>
  <c r="AA13" i="8"/>
  <c r="AA12" i="8" s="1"/>
  <c r="AA11" i="8" s="1"/>
  <c r="AA73" i="8" s="1"/>
  <c r="AG12" i="8"/>
  <c r="AG11" i="8" s="1"/>
  <c r="AG73" i="8" s="1"/>
  <c r="S13" i="8"/>
  <c r="S12" i="8" s="1"/>
  <c r="S11" i="8" s="1"/>
  <c r="S73" i="8" s="1"/>
  <c r="O44" i="8"/>
  <c r="O43" i="8" s="1"/>
  <c r="AE12" i="8"/>
  <c r="AE11" i="8" s="1"/>
  <c r="AE73" i="8" s="1"/>
  <c r="T14" i="8"/>
  <c r="T13" i="8" s="1"/>
  <c r="Z26" i="8"/>
  <c r="Z25" i="8" s="1"/>
  <c r="Z12" i="8" s="1"/>
  <c r="Z11" i="8" s="1"/>
  <c r="Z73" i="8" s="1"/>
  <c r="N12" i="8"/>
  <c r="N11" i="8" s="1"/>
  <c r="N73" i="8" s="1"/>
  <c r="AH12" i="8"/>
  <c r="AH64" i="8"/>
  <c r="O25" i="8"/>
  <c r="O13" i="8"/>
  <c r="AF44" i="8"/>
  <c r="AF43" i="8" s="1"/>
  <c r="G15" i="9" l="1"/>
  <c r="G16" i="9"/>
  <c r="G17" i="9"/>
  <c r="G14" i="9"/>
  <c r="G13" i="9"/>
  <c r="H13" i="9" s="1"/>
  <c r="H18" i="9" s="1"/>
  <c r="G12" i="9"/>
  <c r="AH56" i="8"/>
  <c r="AH11" i="8"/>
  <c r="O12" i="8"/>
  <c r="O11" i="8" s="1"/>
  <c r="O73" i="8" s="1"/>
  <c r="T12" i="8"/>
  <c r="T11" i="8" s="1"/>
  <c r="T73" i="8" s="1"/>
  <c r="AF11" i="8"/>
  <c r="AF73" i="8" s="1"/>
  <c r="G56" i="8" l="1"/>
  <c r="AH73" i="8"/>
  <c r="G11" i="8"/>
  <c r="G52" i="8" l="1"/>
  <c r="G49" i="8"/>
  <c r="G35" i="8"/>
  <c r="G23" i="8"/>
  <c r="G19" i="8"/>
  <c r="G16" i="8"/>
  <c r="G15" i="8"/>
  <c r="G54" i="8"/>
  <c r="G50" i="8"/>
  <c r="G42" i="8"/>
  <c r="G36" i="8"/>
  <c r="G33" i="8"/>
  <c r="G30" i="8"/>
  <c r="G24" i="8"/>
  <c r="G46" i="8"/>
  <c r="G38" i="8"/>
  <c r="G31" i="8"/>
  <c r="G48" i="8"/>
  <c r="G29" i="8"/>
  <c r="G71" i="8"/>
  <c r="G32" i="8"/>
  <c r="G62" i="8"/>
  <c r="G27" i="8"/>
  <c r="G18" i="8"/>
  <c r="G22" i="8"/>
  <c r="G53" i="8"/>
  <c r="H53" i="8" s="1"/>
  <c r="G34" i="8"/>
  <c r="G28" i="8"/>
  <c r="G20" i="8"/>
  <c r="G72" i="8"/>
  <c r="G45" i="8"/>
  <c r="G37" i="8"/>
  <c r="G61" i="8"/>
  <c r="G55" i="8"/>
  <c r="G67" i="8"/>
  <c r="G60" i="8"/>
  <c r="G63" i="8"/>
  <c r="G70" i="8"/>
  <c r="H70" i="8" s="1"/>
  <c r="G21" i="8"/>
  <c r="G17" i="8"/>
  <c r="G41" i="8"/>
  <c r="G66" i="8"/>
  <c r="G43" i="8"/>
  <c r="G51" i="8"/>
  <c r="G44" i="8"/>
  <c r="H44" i="8" s="1"/>
  <c r="G47" i="8"/>
  <c r="G26" i="8"/>
  <c r="G14" i="8"/>
  <c r="G59" i="8"/>
  <c r="G40" i="8"/>
  <c r="H40" i="8" s="1"/>
  <c r="G58" i="8"/>
  <c r="H58" i="8" s="1"/>
  <c r="G25" i="8"/>
  <c r="H25" i="8" s="1"/>
  <c r="G69" i="8"/>
  <c r="G65" i="8"/>
  <c r="H65" i="8" s="1"/>
  <c r="G13" i="8"/>
  <c r="H13" i="8" s="1"/>
  <c r="G57" i="8"/>
  <c r="G12" i="8"/>
  <c r="G68" i="8"/>
  <c r="G64" i="8"/>
  <c r="G39" i="8"/>
  <c r="H73" i="8" l="1"/>
  <c r="AA288" i="7" l="1"/>
  <c r="AH288" i="7" s="1"/>
  <c r="O288" i="7"/>
  <c r="C288" i="7"/>
  <c r="AA287" i="7"/>
  <c r="O287" i="7"/>
  <c r="AH287" i="7" s="1"/>
  <c r="C287" i="7"/>
  <c r="AG286" i="7"/>
  <c r="AG276" i="7" s="1"/>
  <c r="AG275" i="7" s="1"/>
  <c r="AF286" i="7"/>
  <c r="AE286" i="7"/>
  <c r="AA286" i="7"/>
  <c r="Z286" i="7"/>
  <c r="Y286" i="7"/>
  <c r="U286" i="7"/>
  <c r="O286" i="7"/>
  <c r="N286" i="7"/>
  <c r="AH286" i="7" s="1"/>
  <c r="C286" i="7"/>
  <c r="AG285" i="7"/>
  <c r="AF285" i="7"/>
  <c r="AE285" i="7"/>
  <c r="AA285" i="7"/>
  <c r="AA276" i="7" s="1"/>
  <c r="AA275" i="7" s="1"/>
  <c r="Z285" i="7"/>
  <c r="Y285" i="7"/>
  <c r="U285" i="7"/>
  <c r="O285" i="7"/>
  <c r="AH285" i="7" s="1"/>
  <c r="N285" i="7"/>
  <c r="C285" i="7"/>
  <c r="AG284" i="7"/>
  <c r="AF284" i="7"/>
  <c r="AE284" i="7"/>
  <c r="AA284" i="7"/>
  <c r="Z284" i="7"/>
  <c r="Y284" i="7"/>
  <c r="U284" i="7"/>
  <c r="O284" i="7"/>
  <c r="N284" i="7"/>
  <c r="AH284" i="7" s="1"/>
  <c r="C284" i="7"/>
  <c r="AG283" i="7"/>
  <c r="AF283" i="7"/>
  <c r="AE283" i="7"/>
  <c r="AA283" i="7"/>
  <c r="Z283" i="7"/>
  <c r="Y283" i="7"/>
  <c r="U283" i="7"/>
  <c r="T283" i="7"/>
  <c r="S283" i="7"/>
  <c r="O283" i="7"/>
  <c r="N283" i="7"/>
  <c r="M283" i="7"/>
  <c r="C283" i="7"/>
  <c r="AG282" i="7"/>
  <c r="AF282" i="7"/>
  <c r="AE282" i="7"/>
  <c r="AA282" i="7"/>
  <c r="Z282" i="7"/>
  <c r="Y282" i="7"/>
  <c r="U282" i="7"/>
  <c r="T282" i="7"/>
  <c r="S282" i="7"/>
  <c r="O282" i="7"/>
  <c r="N282" i="7"/>
  <c r="M282" i="7"/>
  <c r="C282" i="7"/>
  <c r="AG281" i="7"/>
  <c r="Y281" i="7"/>
  <c r="AH281" i="7" s="1"/>
  <c r="S281" i="7"/>
  <c r="C281" i="7"/>
  <c r="AG280" i="7"/>
  <c r="AF280" i="7"/>
  <c r="AE280" i="7"/>
  <c r="AA280" i="7"/>
  <c r="Z280" i="7"/>
  <c r="Y280" i="7"/>
  <c r="U280" i="7"/>
  <c r="T280" i="7"/>
  <c r="O280" i="7"/>
  <c r="N280" i="7"/>
  <c r="C280" i="7"/>
  <c r="AG279" i="7"/>
  <c r="AF279" i="7"/>
  <c r="AE279" i="7"/>
  <c r="AA279" i="7"/>
  <c r="Z279" i="7"/>
  <c r="AH279" i="7" s="1"/>
  <c r="Y279" i="7"/>
  <c r="O279" i="7"/>
  <c r="C279" i="7"/>
  <c r="AF278" i="7"/>
  <c r="AE278" i="7"/>
  <c r="AE276" i="7" s="1"/>
  <c r="AE275" i="7" s="1"/>
  <c r="AA278" i="7"/>
  <c r="Z278" i="7"/>
  <c r="Y278" i="7"/>
  <c r="Y276" i="7" s="1"/>
  <c r="Y275" i="7" s="1"/>
  <c r="U278" i="7"/>
  <c r="T278" i="7"/>
  <c r="S278" i="7"/>
  <c r="O278" i="7"/>
  <c r="N278" i="7"/>
  <c r="M278" i="7"/>
  <c r="C278" i="7"/>
  <c r="AH277" i="7"/>
  <c r="C277" i="7"/>
  <c r="AL276" i="7"/>
  <c r="AI276" i="7"/>
  <c r="Z276" i="7"/>
  <c r="T276" i="7"/>
  <c r="S276" i="7"/>
  <c r="M276" i="7"/>
  <c r="AL275" i="7"/>
  <c r="AI275" i="7"/>
  <c r="Z275" i="7"/>
  <c r="T275" i="7"/>
  <c r="S275" i="7"/>
  <c r="M275" i="7"/>
  <c r="AG274" i="7"/>
  <c r="M274" i="7"/>
  <c r="AH274" i="7" s="1"/>
  <c r="C274" i="7"/>
  <c r="AH273" i="7"/>
  <c r="AG273" i="7"/>
  <c r="M273" i="7"/>
  <c r="C273" i="7"/>
  <c r="AH272" i="7"/>
  <c r="C272" i="7"/>
  <c r="AH271" i="7"/>
  <c r="C271" i="7"/>
  <c r="AG270" i="7"/>
  <c r="AA270" i="7"/>
  <c r="U270" i="7"/>
  <c r="O270" i="7"/>
  <c r="C270" i="7"/>
  <c r="AG269" i="7"/>
  <c r="AG266" i="7" s="1"/>
  <c r="AG265" i="7" s="1"/>
  <c r="AA269" i="7"/>
  <c r="O269" i="7"/>
  <c r="AH269" i="7" s="1"/>
  <c r="C269" i="7"/>
  <c r="AH268" i="7"/>
  <c r="C268" i="7"/>
  <c r="AF267" i="7"/>
  <c r="AH267" i="7" s="1"/>
  <c r="C267" i="7"/>
  <c r="AL266" i="7"/>
  <c r="AI266" i="7"/>
  <c r="AF266" i="7"/>
  <c r="AE266" i="7"/>
  <c r="Z266" i="7"/>
  <c r="Y266" i="7"/>
  <c r="U266" i="7"/>
  <c r="T266" i="7"/>
  <c r="S266" i="7"/>
  <c r="O266" i="7"/>
  <c r="N266" i="7"/>
  <c r="M266" i="7"/>
  <c r="AL265" i="7"/>
  <c r="AI265" i="7"/>
  <c r="AF265" i="7"/>
  <c r="AE265" i="7"/>
  <c r="Z265" i="7"/>
  <c r="Y265" i="7"/>
  <c r="U265" i="7"/>
  <c r="T265" i="7"/>
  <c r="S265" i="7"/>
  <c r="O265" i="7"/>
  <c r="N265" i="7"/>
  <c r="M265" i="7"/>
  <c r="AF264" i="7"/>
  <c r="AE264" i="7"/>
  <c r="AA264" i="7"/>
  <c r="Z264" i="7"/>
  <c r="Z259" i="7" s="1"/>
  <c r="Z258" i="7" s="1"/>
  <c r="Y264" i="7"/>
  <c r="Y259" i="7" s="1"/>
  <c r="Y258" i="7" s="1"/>
  <c r="U264" i="7"/>
  <c r="S264" i="7"/>
  <c r="C264" i="7"/>
  <c r="AH263" i="7"/>
  <c r="C263" i="7"/>
  <c r="AH262" i="7"/>
  <c r="C262" i="7"/>
  <c r="AG261" i="7"/>
  <c r="AG259" i="7" s="1"/>
  <c r="AG258" i="7" s="1"/>
  <c r="AF261" i="7"/>
  <c r="AH261" i="7" s="1"/>
  <c r="Z261" i="7"/>
  <c r="U261" i="7"/>
  <c r="C261" i="7"/>
  <c r="AH260" i="7"/>
  <c r="C260" i="7"/>
  <c r="AL259" i="7"/>
  <c r="AI259" i="7"/>
  <c r="AI258" i="7" s="1"/>
  <c r="AE259" i="7"/>
  <c r="AE258" i="7" s="1"/>
  <c r="AA259" i="7"/>
  <c r="AA258" i="7" s="1"/>
  <c r="U259" i="7"/>
  <c r="U258" i="7" s="1"/>
  <c r="T259" i="7"/>
  <c r="T258" i="7" s="1"/>
  <c r="S259" i="7"/>
  <c r="M259" i="7"/>
  <c r="AL258" i="7"/>
  <c r="S258" i="7"/>
  <c r="M258" i="7"/>
  <c r="AH257" i="7"/>
  <c r="AG257" i="7"/>
  <c r="AF257" i="7"/>
  <c r="S257" i="7"/>
  <c r="C257" i="7"/>
  <c r="AG256" i="7"/>
  <c r="AG252" i="7" s="1"/>
  <c r="AG251" i="7" s="1"/>
  <c r="AF256" i="7"/>
  <c r="AH256" i="7" s="1"/>
  <c r="S256" i="7"/>
  <c r="C256" i="7"/>
  <c r="AG255" i="7"/>
  <c r="AF255" i="7"/>
  <c r="S255" i="7"/>
  <c r="S252" i="7" s="1"/>
  <c r="S251" i="7" s="1"/>
  <c r="C255" i="7"/>
  <c r="AH254" i="7"/>
  <c r="AG254" i="7"/>
  <c r="AF254" i="7"/>
  <c r="Z254" i="7"/>
  <c r="O254" i="7"/>
  <c r="C254" i="7"/>
  <c r="AH253" i="7"/>
  <c r="C253" i="7"/>
  <c r="AL252" i="7"/>
  <c r="AI252" i="7"/>
  <c r="AF252" i="7"/>
  <c r="AF251" i="7" s="1"/>
  <c r="AE252" i="7"/>
  <c r="AA252" i="7"/>
  <c r="Z252" i="7"/>
  <c r="Y252" i="7"/>
  <c r="U252" i="7"/>
  <c r="T252" i="7"/>
  <c r="O252" i="7"/>
  <c r="O251" i="7" s="1"/>
  <c r="N252" i="7"/>
  <c r="M252" i="7"/>
  <c r="AL251" i="7"/>
  <c r="AI251" i="7"/>
  <c r="AE251" i="7"/>
  <c r="AA251" i="7"/>
  <c r="Z251" i="7"/>
  <c r="Y251" i="7"/>
  <c r="U251" i="7"/>
  <c r="T251" i="7"/>
  <c r="N251" i="7"/>
  <c r="M251" i="7"/>
  <c r="AG250" i="7"/>
  <c r="AF250" i="7"/>
  <c r="AE250" i="7"/>
  <c r="AA250" i="7"/>
  <c r="Z250" i="7"/>
  <c r="Y250" i="7"/>
  <c r="U250" i="7"/>
  <c r="T250" i="7"/>
  <c r="S250" i="7"/>
  <c r="O250" i="7"/>
  <c r="N250" i="7"/>
  <c r="AH250" i="7" s="1"/>
  <c r="M250" i="7"/>
  <c r="C250" i="7"/>
  <c r="AG249" i="7"/>
  <c r="AF249" i="7"/>
  <c r="AE249" i="7"/>
  <c r="AA249" i="7"/>
  <c r="Z249" i="7"/>
  <c r="Y249" i="7"/>
  <c r="U249" i="7"/>
  <c r="T249" i="7"/>
  <c r="S249" i="7"/>
  <c r="O249" i="7"/>
  <c r="N249" i="7"/>
  <c r="AH249" i="7" s="1"/>
  <c r="M249" i="7"/>
  <c r="C249" i="7"/>
  <c r="AG248" i="7"/>
  <c r="AF248" i="7"/>
  <c r="AF247" i="7" s="1"/>
  <c r="AF246" i="7" s="1"/>
  <c r="AE248" i="7"/>
  <c r="AA248" i="7"/>
  <c r="Z248" i="7"/>
  <c r="Y248" i="7"/>
  <c r="Y247" i="7" s="1"/>
  <c r="Y246" i="7" s="1"/>
  <c r="U248" i="7"/>
  <c r="U247" i="7" s="1"/>
  <c r="U246" i="7" s="1"/>
  <c r="T248" i="7"/>
  <c r="S248" i="7"/>
  <c r="O248" i="7"/>
  <c r="O247" i="7" s="1"/>
  <c r="O246" i="7" s="1"/>
  <c r="N248" i="7"/>
  <c r="M248" i="7"/>
  <c r="C248" i="7"/>
  <c r="AL247" i="7"/>
  <c r="AI247" i="7"/>
  <c r="AG247" i="7"/>
  <c r="AA247" i="7"/>
  <c r="Z247" i="7"/>
  <c r="T247" i="7"/>
  <c r="S247" i="7"/>
  <c r="M247" i="7"/>
  <c r="AL246" i="7"/>
  <c r="AI246" i="7"/>
  <c r="AG246" i="7"/>
  <c r="AA246" i="7"/>
  <c r="Z246" i="7"/>
  <c r="T246" i="7"/>
  <c r="S246" i="7"/>
  <c r="M246" i="7"/>
  <c r="AH245" i="7"/>
  <c r="C245" i="7"/>
  <c r="AG244" i="7"/>
  <c r="AF244" i="7"/>
  <c r="AE244" i="7"/>
  <c r="AA244" i="7"/>
  <c r="Z244" i="7"/>
  <c r="Y244" i="7"/>
  <c r="U244" i="7"/>
  <c r="T244" i="7"/>
  <c r="S244" i="7"/>
  <c r="O244" i="7"/>
  <c r="N244" i="7"/>
  <c r="M244" i="7"/>
  <c r="C244" i="7"/>
  <c r="AG243" i="7"/>
  <c r="AF243" i="7"/>
  <c r="AE243" i="7"/>
  <c r="AA243" i="7"/>
  <c r="Z243" i="7"/>
  <c r="Y243" i="7"/>
  <c r="U243" i="7"/>
  <c r="T243" i="7"/>
  <c r="S243" i="7"/>
  <c r="O243" i="7"/>
  <c r="AH243" i="7" s="1"/>
  <c r="N243" i="7"/>
  <c r="M243" i="7"/>
  <c r="C243" i="7"/>
  <c r="S242" i="7"/>
  <c r="O242" i="7"/>
  <c r="AH242" i="7" s="1"/>
  <c r="N242" i="7"/>
  <c r="M242" i="7"/>
  <c r="C242" i="7"/>
  <c r="AG241" i="7"/>
  <c r="AF241" i="7"/>
  <c r="AE241" i="7"/>
  <c r="AA241" i="7"/>
  <c r="Z241" i="7"/>
  <c r="Y241" i="7"/>
  <c r="U241" i="7"/>
  <c r="T241" i="7"/>
  <c r="S241" i="7"/>
  <c r="O241" i="7"/>
  <c r="N241" i="7"/>
  <c r="M241" i="7"/>
  <c r="C241" i="7"/>
  <c r="AI240" i="7"/>
  <c r="AI232" i="7" s="1"/>
  <c r="AI231" i="7" s="1"/>
  <c r="AG240" i="7"/>
  <c r="AG232" i="7" s="1"/>
  <c r="AG231" i="7" s="1"/>
  <c r="AF240" i="7"/>
  <c r="AE240" i="7"/>
  <c r="AA240" i="7"/>
  <c r="Z240" i="7"/>
  <c r="Z232" i="7" s="1"/>
  <c r="Z231" i="7" s="1"/>
  <c r="Y240" i="7"/>
  <c r="U240" i="7"/>
  <c r="T240" i="7"/>
  <c r="S240" i="7"/>
  <c r="S232" i="7" s="1"/>
  <c r="S231" i="7" s="1"/>
  <c r="O240" i="7"/>
  <c r="N240" i="7"/>
  <c r="M240" i="7"/>
  <c r="C240" i="7"/>
  <c r="AE239" i="7"/>
  <c r="Z239" i="7"/>
  <c r="Y239" i="7"/>
  <c r="U239" i="7"/>
  <c r="T239" i="7"/>
  <c r="O239" i="7"/>
  <c r="M239" i="7"/>
  <c r="C239" i="7"/>
  <c r="AF238" i="7"/>
  <c r="AE238" i="7"/>
  <c r="AA238" i="7"/>
  <c r="Z238" i="7"/>
  <c r="Y238" i="7"/>
  <c r="O238" i="7"/>
  <c r="C238" i="7"/>
  <c r="AH237" i="7"/>
  <c r="AF237" i="7"/>
  <c r="AE237" i="7"/>
  <c r="AA237" i="7"/>
  <c r="AA232" i="7" s="1"/>
  <c r="AA231" i="7" s="1"/>
  <c r="Y237" i="7"/>
  <c r="U237" i="7"/>
  <c r="O237" i="7"/>
  <c r="C237" i="7"/>
  <c r="AF236" i="7"/>
  <c r="AE236" i="7"/>
  <c r="AA236" i="7"/>
  <c r="Z236" i="7"/>
  <c r="Y236" i="7"/>
  <c r="U236" i="7"/>
  <c r="AH236" i="7" s="1"/>
  <c r="O236" i="7"/>
  <c r="C236" i="7"/>
  <c r="AF235" i="7"/>
  <c r="U235" i="7"/>
  <c r="AH235" i="7" s="1"/>
  <c r="C235" i="7"/>
  <c r="AF234" i="7"/>
  <c r="AE234" i="7"/>
  <c r="T234" i="7"/>
  <c r="S234" i="7"/>
  <c r="O234" i="7"/>
  <c r="AH234" i="7" s="1"/>
  <c r="N234" i="7"/>
  <c r="C234" i="7"/>
  <c r="AG233" i="7"/>
  <c r="AF233" i="7"/>
  <c r="AE233" i="7"/>
  <c r="C233" i="7"/>
  <c r="AL232" i="7"/>
  <c r="AF232" i="7"/>
  <c r="N232" i="7"/>
  <c r="M232" i="7"/>
  <c r="AL231" i="7"/>
  <c r="AL204" i="7" s="1"/>
  <c r="AL203" i="7" s="1"/>
  <c r="AF231" i="7"/>
  <c r="N231" i="7"/>
  <c r="M231" i="7"/>
  <c r="AG230" i="7"/>
  <c r="AF230" i="7"/>
  <c r="AE230" i="7"/>
  <c r="AE228" i="7" s="1"/>
  <c r="AE227" i="7" s="1"/>
  <c r="AA230" i="7"/>
  <c r="Z230" i="7"/>
  <c r="AH230" i="7" s="1"/>
  <c r="C230" i="7"/>
  <c r="AG229" i="7"/>
  <c r="AF229" i="7"/>
  <c r="AF228" i="7" s="1"/>
  <c r="AF227" i="7" s="1"/>
  <c r="AE229" i="7"/>
  <c r="AA229" i="7"/>
  <c r="AA228" i="7" s="1"/>
  <c r="AA227" i="7" s="1"/>
  <c r="Z229" i="7"/>
  <c r="C229" i="7"/>
  <c r="AL228" i="7"/>
  <c r="AI228" i="7"/>
  <c r="AI227" i="7" s="1"/>
  <c r="AG228" i="7"/>
  <c r="Y228" i="7"/>
  <c r="U228" i="7"/>
  <c r="T228" i="7"/>
  <c r="S228" i="7"/>
  <c r="O228" i="7"/>
  <c r="O227" i="7" s="1"/>
  <c r="N228" i="7"/>
  <c r="N227" i="7" s="1"/>
  <c r="M228" i="7"/>
  <c r="AL227" i="7"/>
  <c r="AG227" i="7"/>
  <c r="Y227" i="7"/>
  <c r="U227" i="7"/>
  <c r="T227" i="7"/>
  <c r="S227" i="7"/>
  <c r="M227" i="7"/>
  <c r="AG226" i="7"/>
  <c r="AF226" i="7"/>
  <c r="AE226" i="7"/>
  <c r="AA226" i="7"/>
  <c r="Z226" i="7"/>
  <c r="Y226" i="7"/>
  <c r="U226" i="7"/>
  <c r="T226" i="7"/>
  <c r="T214" i="7" s="1"/>
  <c r="T213" i="7" s="1"/>
  <c r="S226" i="7"/>
  <c r="O226" i="7"/>
  <c r="N226" i="7"/>
  <c r="M226" i="7"/>
  <c r="C226" i="7"/>
  <c r="AH225" i="7"/>
  <c r="AG225" i="7"/>
  <c r="AF225" i="7"/>
  <c r="C225" i="7"/>
  <c r="AG224" i="7"/>
  <c r="AF224" i="7"/>
  <c r="AE224" i="7"/>
  <c r="AA224" i="7"/>
  <c r="Z224" i="7"/>
  <c r="Y224" i="7"/>
  <c r="U224" i="7"/>
  <c r="T224" i="7"/>
  <c r="S224" i="7"/>
  <c r="O224" i="7"/>
  <c r="M224" i="7"/>
  <c r="C224" i="7"/>
  <c r="AH223" i="7"/>
  <c r="AG223" i="7"/>
  <c r="C223" i="7"/>
  <c r="AG222" i="7"/>
  <c r="AF222" i="7"/>
  <c r="AE222" i="7"/>
  <c r="AA222" i="7"/>
  <c r="Z222" i="7"/>
  <c r="Y222" i="7"/>
  <c r="U222" i="7"/>
  <c r="T222" i="7"/>
  <c r="S222" i="7"/>
  <c r="O222" i="7"/>
  <c r="N222" i="7"/>
  <c r="M222" i="7"/>
  <c r="C222" i="7"/>
  <c r="AG221" i="7"/>
  <c r="AF221" i="7"/>
  <c r="AE221" i="7"/>
  <c r="AA221" i="7"/>
  <c r="Z221" i="7"/>
  <c r="Y221" i="7"/>
  <c r="U221" i="7"/>
  <c r="T221" i="7"/>
  <c r="S221" i="7"/>
  <c r="O221" i="7"/>
  <c r="N221" i="7"/>
  <c r="M221" i="7"/>
  <c r="C221" i="7"/>
  <c r="AG220" i="7"/>
  <c r="AF220" i="7"/>
  <c r="AE220" i="7"/>
  <c r="AA220" i="7"/>
  <c r="Z220" i="7"/>
  <c r="Y220" i="7"/>
  <c r="U220" i="7"/>
  <c r="T220" i="7"/>
  <c r="S220" i="7"/>
  <c r="O220" i="7"/>
  <c r="N220" i="7"/>
  <c r="M220" i="7"/>
  <c r="C220" i="7"/>
  <c r="AG219" i="7"/>
  <c r="AF219" i="7"/>
  <c r="AF214" i="7" s="1"/>
  <c r="AF213" i="7" s="1"/>
  <c r="AE219" i="7"/>
  <c r="AA219" i="7"/>
  <c r="Z219" i="7"/>
  <c r="Y219" i="7"/>
  <c r="U219" i="7"/>
  <c r="T219" i="7"/>
  <c r="S219" i="7"/>
  <c r="O219" i="7"/>
  <c r="N219" i="7"/>
  <c r="M219" i="7"/>
  <c r="C219" i="7"/>
  <c r="AG218" i="7"/>
  <c r="AH218" i="7" s="1"/>
  <c r="C218" i="7"/>
  <c r="AG217" i="7"/>
  <c r="AF217" i="7"/>
  <c r="AE217" i="7"/>
  <c r="AA217" i="7"/>
  <c r="Z217" i="7"/>
  <c r="C217" i="7"/>
  <c r="AG216" i="7"/>
  <c r="AF216" i="7"/>
  <c r="AE216" i="7"/>
  <c r="AE214" i="7" s="1"/>
  <c r="AE213" i="7" s="1"/>
  <c r="AA216" i="7"/>
  <c r="AH216" i="7" s="1"/>
  <c r="Z216" i="7"/>
  <c r="C216" i="7"/>
  <c r="AG215" i="7"/>
  <c r="AH215" i="7" s="1"/>
  <c r="C215" i="7"/>
  <c r="AL214" i="7"/>
  <c r="AI214" i="7"/>
  <c r="AA214" i="7"/>
  <c r="AA213" i="7" s="1"/>
  <c r="U214" i="7"/>
  <c r="N214" i="7"/>
  <c r="N213" i="7" s="1"/>
  <c r="M214" i="7"/>
  <c r="M213" i="7" s="1"/>
  <c r="AL213" i="7"/>
  <c r="AI213" i="7"/>
  <c r="U213" i="7"/>
  <c r="AH212" i="7"/>
  <c r="C212" i="7"/>
  <c r="AF211" i="7"/>
  <c r="Z211" i="7"/>
  <c r="Y211" i="7"/>
  <c r="U211" i="7"/>
  <c r="T211" i="7"/>
  <c r="AH211" i="7" s="1"/>
  <c r="S211" i="7"/>
  <c r="O211" i="7"/>
  <c r="C211" i="7"/>
  <c r="AF210" i="7"/>
  <c r="AA210" i="7"/>
  <c r="Z210" i="7"/>
  <c r="Y210" i="7"/>
  <c r="U210" i="7"/>
  <c r="U206" i="7" s="1"/>
  <c r="U205" i="7" s="1"/>
  <c r="T210" i="7"/>
  <c r="S210" i="7"/>
  <c r="O210" i="7"/>
  <c r="N210" i="7"/>
  <c r="M210" i="7"/>
  <c r="C210" i="7"/>
  <c r="AF209" i="7"/>
  <c r="AA209" i="7"/>
  <c r="Z209" i="7"/>
  <c r="Y209" i="7"/>
  <c r="Y206" i="7" s="1"/>
  <c r="Y205" i="7" s="1"/>
  <c r="U209" i="7"/>
  <c r="T209" i="7"/>
  <c r="S209" i="7"/>
  <c r="O209" i="7"/>
  <c r="AH209" i="7" s="1"/>
  <c r="N209" i="7"/>
  <c r="M209" i="7"/>
  <c r="C209" i="7"/>
  <c r="AF208" i="7"/>
  <c r="AF206" i="7" s="1"/>
  <c r="AF205" i="7" s="1"/>
  <c r="AA208" i="7"/>
  <c r="Z208" i="7"/>
  <c r="Y208" i="7"/>
  <c r="U208" i="7"/>
  <c r="T208" i="7"/>
  <c r="S208" i="7"/>
  <c r="N208" i="7"/>
  <c r="M208" i="7"/>
  <c r="AH208" i="7" s="1"/>
  <c r="C208" i="7"/>
  <c r="AG207" i="7"/>
  <c r="AG206" i="7" s="1"/>
  <c r="AG205" i="7" s="1"/>
  <c r="AF207" i="7"/>
  <c r="AE207" i="7"/>
  <c r="AA207" i="7"/>
  <c r="Z207" i="7"/>
  <c r="Z206" i="7" s="1"/>
  <c r="Z205" i="7" s="1"/>
  <c r="Y207" i="7"/>
  <c r="U207" i="7"/>
  <c r="T207" i="7"/>
  <c r="T206" i="7" s="1"/>
  <c r="T205" i="7" s="1"/>
  <c r="S207" i="7"/>
  <c r="O207" i="7"/>
  <c r="N207" i="7"/>
  <c r="M207" i="7"/>
  <c r="C207" i="7"/>
  <c r="AL206" i="7"/>
  <c r="AI206" i="7"/>
  <c r="AI205" i="7" s="1"/>
  <c r="AI204" i="7" s="1"/>
  <c r="AI203" i="7" s="1"/>
  <c r="AE206" i="7"/>
  <c r="AE205" i="7" s="1"/>
  <c r="N206" i="7"/>
  <c r="N205" i="7" s="1"/>
  <c r="AL205" i="7"/>
  <c r="AH202" i="7"/>
  <c r="Y202" i="7"/>
  <c r="C202" i="7"/>
  <c r="AL201" i="7"/>
  <c r="AI201" i="7"/>
  <c r="Y201" i="7"/>
  <c r="S201" i="7"/>
  <c r="AH200" i="7"/>
  <c r="AH199" i="7" s="1"/>
  <c r="C200" i="7"/>
  <c r="AK199" i="7"/>
  <c r="AF199" i="7"/>
  <c r="AF198" i="7" s="1"/>
  <c r="AF197" i="7" s="1"/>
  <c r="AL198" i="7"/>
  <c r="AK198" i="7"/>
  <c r="AK197" i="7" s="1"/>
  <c r="AI198" i="7"/>
  <c r="AI197" i="7" s="1"/>
  <c r="AE198" i="7"/>
  <c r="Y198" i="7"/>
  <c r="Y197" i="7" s="1"/>
  <c r="S198" i="7"/>
  <c r="AL197" i="7"/>
  <c r="S197" i="7"/>
  <c r="AH196" i="7"/>
  <c r="C196" i="7"/>
  <c r="AL195" i="7"/>
  <c r="AI195" i="7"/>
  <c r="M195" i="7"/>
  <c r="M186" i="7" s="1"/>
  <c r="M185" i="7" s="1"/>
  <c r="M184" i="7" s="1"/>
  <c r="AG194" i="7"/>
  <c r="Y194" i="7"/>
  <c r="AH194" i="7" s="1"/>
  <c r="C194" i="7"/>
  <c r="AH193" i="7"/>
  <c r="C193" i="7"/>
  <c r="AH192" i="7"/>
  <c r="C192" i="7"/>
  <c r="AE191" i="7"/>
  <c r="AH191" i="7" s="1"/>
  <c r="C191" i="7"/>
  <c r="AL190" i="7"/>
  <c r="AI190" i="7"/>
  <c r="AG190" i="7"/>
  <c r="AE190" i="7"/>
  <c r="AE186" i="7" s="1"/>
  <c r="AE185" i="7" s="1"/>
  <c r="AE184" i="7" s="1"/>
  <c r="AH189" i="7"/>
  <c r="C189" i="7"/>
  <c r="AG188" i="7"/>
  <c r="Y188" i="7"/>
  <c r="C188" i="7"/>
  <c r="AL187" i="7"/>
  <c r="AI187" i="7"/>
  <c r="AI186" i="7" s="1"/>
  <c r="Y187" i="7"/>
  <c r="U187" i="7"/>
  <c r="AL186" i="7"/>
  <c r="AL185" i="7" s="1"/>
  <c r="U186" i="7"/>
  <c r="AI185" i="7"/>
  <c r="AI184" i="7" s="1"/>
  <c r="U185" i="7"/>
  <c r="AL184" i="7"/>
  <c r="AK184" i="7"/>
  <c r="AF184" i="7"/>
  <c r="U184" i="7"/>
  <c r="S184" i="7"/>
  <c r="AF183" i="7"/>
  <c r="AF181" i="7" s="1"/>
  <c r="AF180" i="7" s="1"/>
  <c r="AF179" i="7" s="1"/>
  <c r="AF178" i="7" s="1"/>
  <c r="AE183" i="7"/>
  <c r="AA183" i="7"/>
  <c r="AA181" i="7" s="1"/>
  <c r="AA180" i="7" s="1"/>
  <c r="AA179" i="7" s="1"/>
  <c r="AA178" i="7" s="1"/>
  <c r="Z183" i="7"/>
  <c r="Z181" i="7" s="1"/>
  <c r="Z180" i="7" s="1"/>
  <c r="Z179" i="7" s="1"/>
  <c r="Z178" i="7" s="1"/>
  <c r="Y183" i="7"/>
  <c r="U183" i="7"/>
  <c r="T183" i="7"/>
  <c r="S183" i="7"/>
  <c r="S181" i="7" s="1"/>
  <c r="O183" i="7"/>
  <c r="N183" i="7"/>
  <c r="C183" i="7"/>
  <c r="AF182" i="7"/>
  <c r="AE182" i="7"/>
  <c r="AA182" i="7"/>
  <c r="Z182" i="7"/>
  <c r="Y182" i="7"/>
  <c r="Y181" i="7" s="1"/>
  <c r="Y180" i="7" s="1"/>
  <c r="Y179" i="7" s="1"/>
  <c r="Y178" i="7" s="1"/>
  <c r="U182" i="7"/>
  <c r="U181" i="7" s="1"/>
  <c r="U180" i="7" s="1"/>
  <c r="U179" i="7" s="1"/>
  <c r="U178" i="7" s="1"/>
  <c r="T182" i="7"/>
  <c r="T181" i="7" s="1"/>
  <c r="T180" i="7" s="1"/>
  <c r="T179" i="7" s="1"/>
  <c r="S182" i="7"/>
  <c r="O182" i="7"/>
  <c r="N182" i="7"/>
  <c r="C182" i="7"/>
  <c r="AL181" i="7"/>
  <c r="AL180" i="7" s="1"/>
  <c r="AI181" i="7"/>
  <c r="AE181" i="7"/>
  <c r="AE180" i="7" s="1"/>
  <c r="AE179" i="7" s="1"/>
  <c r="AE178" i="7" s="1"/>
  <c r="N181" i="7"/>
  <c r="N180" i="7" s="1"/>
  <c r="N179" i="7" s="1"/>
  <c r="AI180" i="7"/>
  <c r="AI179" i="7" s="1"/>
  <c r="AI178" i="7" s="1"/>
  <c r="S180" i="7"/>
  <c r="S179" i="7" s="1"/>
  <c r="S178" i="7" s="1"/>
  <c r="AL179" i="7"/>
  <c r="AL178" i="7" s="1"/>
  <c r="T178" i="7"/>
  <c r="N178" i="7"/>
  <c r="AH177" i="7"/>
  <c r="C177" i="7"/>
  <c r="AH176" i="7"/>
  <c r="C176" i="7"/>
  <c r="AH175" i="7"/>
  <c r="Y175" i="7"/>
  <c r="C175" i="7"/>
  <c r="Z174" i="7"/>
  <c r="U174" i="7"/>
  <c r="S174" i="7"/>
  <c r="O174" i="7"/>
  <c r="N174" i="7"/>
  <c r="C174" i="7"/>
  <c r="U173" i="7"/>
  <c r="S173" i="7"/>
  <c r="AH173" i="7" s="1"/>
  <c r="O173" i="7"/>
  <c r="N173" i="7"/>
  <c r="C173" i="7"/>
  <c r="Z172" i="7"/>
  <c r="U172" i="7"/>
  <c r="S172" i="7"/>
  <c r="O172" i="7"/>
  <c r="N172" i="7"/>
  <c r="C172" i="7"/>
  <c r="AF171" i="7"/>
  <c r="AE171" i="7"/>
  <c r="AA171" i="7"/>
  <c r="Z171" i="7"/>
  <c r="Y171" i="7"/>
  <c r="U171" i="7"/>
  <c r="T171" i="7"/>
  <c r="S171" i="7"/>
  <c r="O171" i="7"/>
  <c r="N171" i="7"/>
  <c r="C171" i="7"/>
  <c r="AF170" i="7"/>
  <c r="AF153" i="7" s="1"/>
  <c r="AF152" i="7" s="1"/>
  <c r="AF151" i="7" s="1"/>
  <c r="AE170" i="7"/>
  <c r="AA170" i="7"/>
  <c r="Z170" i="7"/>
  <c r="Y170" i="7"/>
  <c r="U170" i="7"/>
  <c r="T170" i="7"/>
  <c r="S170" i="7"/>
  <c r="O170" i="7"/>
  <c r="N170" i="7"/>
  <c r="C170" i="7"/>
  <c r="AF169" i="7"/>
  <c r="AE169" i="7"/>
  <c r="AA169" i="7"/>
  <c r="Z169" i="7"/>
  <c r="Y169" i="7"/>
  <c r="U169" i="7"/>
  <c r="T169" i="7"/>
  <c r="S169" i="7"/>
  <c r="O169" i="7"/>
  <c r="N169" i="7"/>
  <c r="C169" i="7"/>
  <c r="AF168" i="7"/>
  <c r="AE168" i="7"/>
  <c r="AA168" i="7"/>
  <c r="Y168" i="7"/>
  <c r="S168" i="7"/>
  <c r="AH168" i="7" s="1"/>
  <c r="C168" i="7"/>
  <c r="AF167" i="7"/>
  <c r="AE167" i="7"/>
  <c r="Y167" i="7"/>
  <c r="S167" i="7"/>
  <c r="AH167" i="7" s="1"/>
  <c r="C167" i="7"/>
  <c r="AF166" i="7"/>
  <c r="AE166" i="7"/>
  <c r="AA166" i="7"/>
  <c r="S166" i="7"/>
  <c r="C166" i="7"/>
  <c r="AF165" i="7"/>
  <c r="AE165" i="7"/>
  <c r="C165" i="7"/>
  <c r="AF164" i="7"/>
  <c r="AE164" i="7"/>
  <c r="AA164" i="7"/>
  <c r="Z164" i="7"/>
  <c r="Y164" i="7"/>
  <c r="U164" i="7"/>
  <c r="T164" i="7"/>
  <c r="S164" i="7"/>
  <c r="O164" i="7"/>
  <c r="N164" i="7"/>
  <c r="C164" i="7"/>
  <c r="AF163" i="7"/>
  <c r="AE163" i="7"/>
  <c r="Z163" i="7"/>
  <c r="Y163" i="7"/>
  <c r="U163" i="7"/>
  <c r="T163" i="7"/>
  <c r="S163" i="7"/>
  <c r="O163" i="7"/>
  <c r="AH163" i="7" s="1"/>
  <c r="N163" i="7"/>
  <c r="C163" i="7"/>
  <c r="AH162" i="7"/>
  <c r="AF162" i="7"/>
  <c r="AE162" i="7"/>
  <c r="C162" i="7"/>
  <c r="AF161" i="7"/>
  <c r="AE161" i="7"/>
  <c r="AA161" i="7"/>
  <c r="Z161" i="7"/>
  <c r="Y161" i="7"/>
  <c r="U161" i="7"/>
  <c r="T161" i="7"/>
  <c r="S161" i="7"/>
  <c r="O161" i="7"/>
  <c r="N161" i="7"/>
  <c r="AH161" i="7" s="1"/>
  <c r="C161" i="7"/>
  <c r="AH160" i="7"/>
  <c r="C160" i="7"/>
  <c r="AH159" i="7"/>
  <c r="AF159" i="7"/>
  <c r="AE159" i="7"/>
  <c r="C159" i="7"/>
  <c r="AF158" i="7"/>
  <c r="AE158" i="7"/>
  <c r="AA158" i="7"/>
  <c r="Z158" i="7"/>
  <c r="Y158" i="7"/>
  <c r="U158" i="7"/>
  <c r="T158" i="7"/>
  <c r="S158" i="7"/>
  <c r="O158" i="7"/>
  <c r="N158" i="7"/>
  <c r="AH158" i="7" s="1"/>
  <c r="C158" i="7"/>
  <c r="AH157" i="7"/>
  <c r="C157" i="7"/>
  <c r="AG156" i="7"/>
  <c r="AF156" i="7"/>
  <c r="AE156" i="7"/>
  <c r="AA156" i="7"/>
  <c r="Z156" i="7"/>
  <c r="Y156" i="7"/>
  <c r="U156" i="7"/>
  <c r="T156" i="7"/>
  <c r="AH156" i="7" s="1"/>
  <c r="S156" i="7"/>
  <c r="O156" i="7"/>
  <c r="N156" i="7"/>
  <c r="C156" i="7"/>
  <c r="AG155" i="7"/>
  <c r="AE155" i="7"/>
  <c r="AE153" i="7" s="1"/>
  <c r="AE152" i="7" s="1"/>
  <c r="AE151" i="7" s="1"/>
  <c r="AA155" i="7"/>
  <c r="Z155" i="7"/>
  <c r="Y155" i="7"/>
  <c r="U155" i="7"/>
  <c r="T155" i="7"/>
  <c r="S155" i="7"/>
  <c r="O155" i="7"/>
  <c r="C155" i="7"/>
  <c r="AG154" i="7"/>
  <c r="AG153" i="7" s="1"/>
  <c r="AG152" i="7" s="1"/>
  <c r="AG151" i="7" s="1"/>
  <c r="AE154" i="7"/>
  <c r="AA154" i="7"/>
  <c r="Z154" i="7"/>
  <c r="Y154" i="7"/>
  <c r="U154" i="7"/>
  <c r="T154" i="7"/>
  <c r="T153" i="7" s="1"/>
  <c r="T152" i="7" s="1"/>
  <c r="T151" i="7" s="1"/>
  <c r="S154" i="7"/>
  <c r="O154" i="7"/>
  <c r="C154" i="7"/>
  <c r="AL153" i="7"/>
  <c r="AI153" i="7"/>
  <c r="Y153" i="7"/>
  <c r="Y152" i="7" s="1"/>
  <c r="Y151" i="7" s="1"/>
  <c r="N153" i="7"/>
  <c r="N152" i="7" s="1"/>
  <c r="N151" i="7" s="1"/>
  <c r="AL152" i="7"/>
  <c r="AL151" i="7" s="1"/>
  <c r="AI152" i="7"/>
  <c r="AI151" i="7" s="1"/>
  <c r="AH150" i="7"/>
  <c r="C150" i="7"/>
  <c r="AG149" i="7"/>
  <c r="AF149" i="7"/>
  <c r="AF146" i="7" s="1"/>
  <c r="AF145" i="7" s="1"/>
  <c r="AF144" i="7" s="1"/>
  <c r="AE149" i="7"/>
  <c r="AA149" i="7"/>
  <c r="Z149" i="7"/>
  <c r="Z146" i="7" s="1"/>
  <c r="Z145" i="7" s="1"/>
  <c r="Y149" i="7"/>
  <c r="Y146" i="7" s="1"/>
  <c r="U149" i="7"/>
  <c r="T149" i="7"/>
  <c r="S149" i="7"/>
  <c r="O149" i="7"/>
  <c r="O146" i="7" s="1"/>
  <c r="O145" i="7" s="1"/>
  <c r="N149" i="7"/>
  <c r="C149" i="7"/>
  <c r="AH148" i="7"/>
  <c r="C148" i="7"/>
  <c r="AH147" i="7"/>
  <c r="C147" i="7"/>
  <c r="AL146" i="7"/>
  <c r="AI146" i="7"/>
  <c r="AI145" i="7" s="1"/>
  <c r="AI144" i="7" s="1"/>
  <c r="AI143" i="7" s="1"/>
  <c r="AG146" i="7"/>
  <c r="AE146" i="7"/>
  <c r="AE145" i="7" s="1"/>
  <c r="AE144" i="7" s="1"/>
  <c r="AA146" i="7"/>
  <c r="AA145" i="7" s="1"/>
  <c r="AA144" i="7" s="1"/>
  <c r="U146" i="7"/>
  <c r="T146" i="7"/>
  <c r="T145" i="7" s="1"/>
  <c r="T144" i="7" s="1"/>
  <c r="T143" i="7" s="1"/>
  <c r="S146" i="7"/>
  <c r="M146" i="7"/>
  <c r="AL145" i="7"/>
  <c r="AL144" i="7" s="1"/>
  <c r="AL143" i="7" s="1"/>
  <c r="AG145" i="7"/>
  <c r="AG144" i="7" s="1"/>
  <c r="Y145" i="7"/>
  <c r="Y144" i="7" s="1"/>
  <c r="U145" i="7"/>
  <c r="S145" i="7"/>
  <c r="S144" i="7" s="1"/>
  <c r="M145" i="7"/>
  <c r="M144" i="7" s="1"/>
  <c r="Z144" i="7"/>
  <c r="U144" i="7"/>
  <c r="O144" i="7"/>
  <c r="M143" i="7"/>
  <c r="AH142" i="7"/>
  <c r="C142" i="7"/>
  <c r="AL141" i="7"/>
  <c r="AL140" i="7" s="1"/>
  <c r="AI141" i="7"/>
  <c r="AI140" i="7" s="1"/>
  <c r="AH141" i="7"/>
  <c r="AG141" i="7"/>
  <c r="AG140" i="7" s="1"/>
  <c r="AF141" i="7"/>
  <c r="AE141" i="7"/>
  <c r="AE140" i="7" s="1"/>
  <c r="AA141" i="7"/>
  <c r="Y141" i="7"/>
  <c r="U141" i="7"/>
  <c r="U140" i="7" s="1"/>
  <c r="T141" i="7"/>
  <c r="S141" i="7"/>
  <c r="S140" i="7" s="1"/>
  <c r="O141" i="7"/>
  <c r="O140" i="7" s="1"/>
  <c r="M141" i="7"/>
  <c r="AF140" i="7"/>
  <c r="AA140" i="7"/>
  <c r="Z140" i="7"/>
  <c r="Y140" i="7"/>
  <c r="T140" i="7"/>
  <c r="M140" i="7"/>
  <c r="AH139" i="7"/>
  <c r="I139" i="7" s="1"/>
  <c r="C139" i="7"/>
  <c r="AL138" i="7"/>
  <c r="AL137" i="7" s="1"/>
  <c r="AI138" i="7"/>
  <c r="AI137" i="7" s="1"/>
  <c r="AH138" i="7"/>
  <c r="AG138" i="7"/>
  <c r="U138" i="7"/>
  <c r="AH137" i="7"/>
  <c r="AG137" i="7"/>
  <c r="U137" i="7"/>
  <c r="AH136" i="7"/>
  <c r="C136" i="7"/>
  <c r="AH135" i="7"/>
  <c r="C135" i="7"/>
  <c r="AE134" i="7"/>
  <c r="AE132" i="7" s="1"/>
  <c r="AE131" i="7" s="1"/>
  <c r="AA134" i="7"/>
  <c r="Y134" i="7"/>
  <c r="U134" i="7"/>
  <c r="T134" i="7"/>
  <c r="S134" i="7"/>
  <c r="O134" i="7"/>
  <c r="N134" i="7"/>
  <c r="M134" i="7"/>
  <c r="AH134" i="7" s="1"/>
  <c r="C134" i="7"/>
  <c r="AG133" i="7"/>
  <c r="AG132" i="7" s="1"/>
  <c r="AG131" i="7" s="1"/>
  <c r="AF133" i="7"/>
  <c r="AE133" i="7"/>
  <c r="AA133" i="7"/>
  <c r="Z133" i="7"/>
  <c r="Z132" i="7" s="1"/>
  <c r="Z131" i="7" s="1"/>
  <c r="Y133" i="7"/>
  <c r="U133" i="7"/>
  <c r="U132" i="7" s="1"/>
  <c r="U131" i="7" s="1"/>
  <c r="T133" i="7"/>
  <c r="T132" i="7" s="1"/>
  <c r="T131" i="7" s="1"/>
  <c r="S133" i="7"/>
  <c r="S132" i="7" s="1"/>
  <c r="S131" i="7" s="1"/>
  <c r="O133" i="7"/>
  <c r="N133" i="7"/>
  <c r="M133" i="7"/>
  <c r="C133" i="7"/>
  <c r="AL132" i="7"/>
  <c r="AI132" i="7"/>
  <c r="AI131" i="7" s="1"/>
  <c r="AF132" i="7"/>
  <c r="AA132" i="7"/>
  <c r="AA131" i="7" s="1"/>
  <c r="O132" i="7"/>
  <c r="N132" i="7"/>
  <c r="M132" i="7"/>
  <c r="AL131" i="7"/>
  <c r="AF131" i="7"/>
  <c r="O131" i="7"/>
  <c r="N131" i="7"/>
  <c r="M131" i="7"/>
  <c r="AH130" i="7"/>
  <c r="C130" i="7"/>
  <c r="AL129" i="7"/>
  <c r="AI129" i="7"/>
  <c r="AH129" i="7"/>
  <c r="AG129" i="7"/>
  <c r="AF129" i="7"/>
  <c r="AG128" i="7"/>
  <c r="AF128" i="7"/>
  <c r="AF125" i="7" s="1"/>
  <c r="AE128" i="7"/>
  <c r="AA128" i="7"/>
  <c r="T128" i="7"/>
  <c r="O128" i="7"/>
  <c r="M128" i="7"/>
  <c r="C128" i="7"/>
  <c r="AG127" i="7"/>
  <c r="AF127" i="7"/>
  <c r="AE127" i="7"/>
  <c r="AA127" i="7"/>
  <c r="T127" i="7"/>
  <c r="O127" i="7"/>
  <c r="M127" i="7"/>
  <c r="AH127" i="7" s="1"/>
  <c r="C127" i="7"/>
  <c r="AG126" i="7"/>
  <c r="AF126" i="7"/>
  <c r="AE126" i="7"/>
  <c r="AA126" i="7"/>
  <c r="AA125" i="7" s="1"/>
  <c r="AA124" i="7" s="1"/>
  <c r="T126" i="7"/>
  <c r="T125" i="7" s="1"/>
  <c r="O126" i="7"/>
  <c r="M126" i="7"/>
  <c r="C126" i="7"/>
  <c r="AL125" i="7"/>
  <c r="AI125" i="7"/>
  <c r="AI124" i="7" s="1"/>
  <c r="O125" i="7"/>
  <c r="O124" i="7" s="1"/>
  <c r="M125" i="7"/>
  <c r="M124" i="7" s="1"/>
  <c r="AL124" i="7"/>
  <c r="T124" i="7"/>
  <c r="AG123" i="7"/>
  <c r="AG122" i="7" s="1"/>
  <c r="AA123" i="7"/>
  <c r="AA122" i="7" s="1"/>
  <c r="AA121" i="7" s="1"/>
  <c r="U123" i="7"/>
  <c r="M123" i="7"/>
  <c r="C123" i="7"/>
  <c r="AL122" i="7"/>
  <c r="AI122" i="7"/>
  <c r="AI121" i="7" s="1"/>
  <c r="U122" i="7"/>
  <c r="U121" i="7" s="1"/>
  <c r="M122" i="7"/>
  <c r="AL121" i="7"/>
  <c r="AG121" i="7"/>
  <c r="M121" i="7"/>
  <c r="AH120" i="7"/>
  <c r="C120" i="7"/>
  <c r="AK119" i="7"/>
  <c r="AE119" i="7"/>
  <c r="U119" i="7"/>
  <c r="O119" i="7"/>
  <c r="O116" i="7" s="1"/>
  <c r="AH118" i="7"/>
  <c r="AH117" i="7" s="1"/>
  <c r="C118" i="7"/>
  <c r="AL117" i="7"/>
  <c r="AI117" i="7"/>
  <c r="AG117" i="7"/>
  <c r="AG116" i="7" s="1"/>
  <c r="AL116" i="7"/>
  <c r="AK116" i="7"/>
  <c r="AI116" i="7"/>
  <c r="AE116" i="7"/>
  <c r="U116" i="7"/>
  <c r="AI115" i="7"/>
  <c r="AH115" i="7"/>
  <c r="I115" i="7" s="1"/>
  <c r="C115" i="7"/>
  <c r="AI114" i="7"/>
  <c r="AH114" i="7"/>
  <c r="C114" i="7"/>
  <c r="AH113" i="7"/>
  <c r="C113" i="7"/>
  <c r="AL112" i="7"/>
  <c r="AH112" i="7"/>
  <c r="AG112" i="7"/>
  <c r="AF112" i="7"/>
  <c r="AA112" i="7"/>
  <c r="Z112" i="7"/>
  <c r="U112" i="7"/>
  <c r="T112" i="7"/>
  <c r="S112" i="7"/>
  <c r="N112" i="7"/>
  <c r="M112" i="7"/>
  <c r="AG111" i="7"/>
  <c r="AF111" i="7"/>
  <c r="AE111" i="7"/>
  <c r="AE108" i="7" s="1"/>
  <c r="AA111" i="7"/>
  <c r="AA108" i="7" s="1"/>
  <c r="Z111" i="7"/>
  <c r="Z108" i="7" s="1"/>
  <c r="Y111" i="7"/>
  <c r="U111" i="7"/>
  <c r="T111" i="7"/>
  <c r="S111" i="7"/>
  <c r="O111" i="7"/>
  <c r="N111" i="7"/>
  <c r="N108" i="7" s="1"/>
  <c r="M111" i="7"/>
  <c r="M108" i="7" s="1"/>
  <c r="C111" i="7"/>
  <c r="AH110" i="7"/>
  <c r="C110" i="7"/>
  <c r="AH109" i="7"/>
  <c r="C109" i="7"/>
  <c r="AL108" i="7"/>
  <c r="AI108" i="7"/>
  <c r="AG108" i="7"/>
  <c r="AF108" i="7"/>
  <c r="Y108" i="7"/>
  <c r="U108" i="7"/>
  <c r="T108" i="7"/>
  <c r="S108" i="7"/>
  <c r="O108" i="7"/>
  <c r="AF107" i="7"/>
  <c r="AE107" i="7"/>
  <c r="AA107" i="7"/>
  <c r="Y107" i="7"/>
  <c r="U107" i="7"/>
  <c r="U100" i="7" s="1"/>
  <c r="U99" i="7" s="1"/>
  <c r="T107" i="7"/>
  <c r="S107" i="7"/>
  <c r="O107" i="7"/>
  <c r="N107" i="7"/>
  <c r="M107" i="7"/>
  <c r="C107" i="7"/>
  <c r="AF106" i="7"/>
  <c r="AE106" i="7"/>
  <c r="AA106" i="7"/>
  <c r="Y106" i="7"/>
  <c r="U106" i="7"/>
  <c r="T106" i="7"/>
  <c r="S106" i="7"/>
  <c r="O106" i="7"/>
  <c r="N106" i="7"/>
  <c r="M106" i="7"/>
  <c r="C106" i="7"/>
  <c r="AF105" i="7"/>
  <c r="AE105" i="7"/>
  <c r="AA105" i="7"/>
  <c r="Y105" i="7"/>
  <c r="U105" i="7"/>
  <c r="T105" i="7"/>
  <c r="T100" i="7" s="1"/>
  <c r="T99" i="7" s="1"/>
  <c r="S105" i="7"/>
  <c r="O105" i="7"/>
  <c r="N105" i="7"/>
  <c r="M105" i="7"/>
  <c r="C105" i="7"/>
  <c r="AI104" i="7"/>
  <c r="AF104" i="7"/>
  <c r="AH104" i="7" s="1"/>
  <c r="C104" i="7"/>
  <c r="AG103" i="7"/>
  <c r="AF103" i="7"/>
  <c r="AE103" i="7"/>
  <c r="AA103" i="7"/>
  <c r="AA100" i="7" s="1"/>
  <c r="AA99" i="7" s="1"/>
  <c r="Z103" i="7"/>
  <c r="Z100" i="7" s="1"/>
  <c r="Z99" i="7" s="1"/>
  <c r="Y103" i="7"/>
  <c r="U103" i="7"/>
  <c r="T103" i="7"/>
  <c r="S103" i="7"/>
  <c r="O103" i="7"/>
  <c r="N103" i="7"/>
  <c r="M103" i="7"/>
  <c r="M100" i="7" s="1"/>
  <c r="M99" i="7" s="1"/>
  <c r="C103" i="7"/>
  <c r="AG102" i="7"/>
  <c r="AF102" i="7"/>
  <c r="AA102" i="7"/>
  <c r="Z102" i="7"/>
  <c r="Y102" i="7"/>
  <c r="Y100" i="7" s="1"/>
  <c r="Y99" i="7" s="1"/>
  <c r="U102" i="7"/>
  <c r="T102" i="7"/>
  <c r="S102" i="7"/>
  <c r="AH102" i="7" s="1"/>
  <c r="O102" i="7"/>
  <c r="O100" i="7" s="1"/>
  <c r="N102" i="7"/>
  <c r="N100" i="7" s="1"/>
  <c r="C102" i="7"/>
  <c r="AH101" i="7"/>
  <c r="C101" i="7"/>
  <c r="AL100" i="7"/>
  <c r="AI100" i="7"/>
  <c r="AL99" i="7"/>
  <c r="AI98" i="7"/>
  <c r="AI97" i="7" s="1"/>
  <c r="AG98" i="7"/>
  <c r="AF98" i="7"/>
  <c r="AE98" i="7"/>
  <c r="AE97" i="7" s="1"/>
  <c r="AA98" i="7"/>
  <c r="AA97" i="7" s="1"/>
  <c r="Y98" i="7"/>
  <c r="Y97" i="7" s="1"/>
  <c r="Y96" i="7" s="1"/>
  <c r="U98" i="7"/>
  <c r="U97" i="7" s="1"/>
  <c r="U96" i="7" s="1"/>
  <c r="T98" i="7"/>
  <c r="S98" i="7"/>
  <c r="O98" i="7"/>
  <c r="C98" i="7"/>
  <c r="AL97" i="7"/>
  <c r="AL96" i="7" s="1"/>
  <c r="AG97" i="7"/>
  <c r="AG96" i="7" s="1"/>
  <c r="AF97" i="7"/>
  <c r="AF96" i="7" s="1"/>
  <c r="T97" i="7"/>
  <c r="T96" i="7" s="1"/>
  <c r="S97" i="7"/>
  <c r="AI96" i="7"/>
  <c r="AE96" i="7"/>
  <c r="AA96" i="7"/>
  <c r="S96" i="7"/>
  <c r="AG95" i="7"/>
  <c r="AF95" i="7"/>
  <c r="AE95" i="7"/>
  <c r="AE90" i="7" s="1"/>
  <c r="AE89" i="7" s="1"/>
  <c r="AA95" i="7"/>
  <c r="Z95" i="7"/>
  <c r="Y95" i="7"/>
  <c r="U95" i="7"/>
  <c r="T95" i="7"/>
  <c r="AH95" i="7" s="1"/>
  <c r="S95" i="7"/>
  <c r="O95" i="7"/>
  <c r="N95" i="7"/>
  <c r="M95" i="7"/>
  <c r="C95" i="7"/>
  <c r="AF94" i="7"/>
  <c r="AH94" i="7" s="1"/>
  <c r="T94" i="7"/>
  <c r="S94" i="7"/>
  <c r="O94" i="7"/>
  <c r="N94" i="7"/>
  <c r="N90" i="7" s="1"/>
  <c r="N89" i="7" s="1"/>
  <c r="M94" i="7"/>
  <c r="C94" i="7"/>
  <c r="AG93" i="7"/>
  <c r="AG90" i="7" s="1"/>
  <c r="AG89" i="7" s="1"/>
  <c r="U93" i="7"/>
  <c r="O93" i="7"/>
  <c r="C93" i="7"/>
  <c r="AG92" i="7"/>
  <c r="U92" i="7"/>
  <c r="U90" i="7" s="1"/>
  <c r="U89" i="7" s="1"/>
  <c r="O92" i="7"/>
  <c r="AH92" i="7" s="1"/>
  <c r="C92" i="7"/>
  <c r="AF91" i="7"/>
  <c r="AF90" i="7" s="1"/>
  <c r="AF89" i="7" s="1"/>
  <c r="AE91" i="7"/>
  <c r="AA91" i="7"/>
  <c r="Z91" i="7"/>
  <c r="Z90" i="7" s="1"/>
  <c r="Z89" i="7" s="1"/>
  <c r="Y91" i="7"/>
  <c r="Y90" i="7" s="1"/>
  <c r="Y89" i="7" s="1"/>
  <c r="U91" i="7"/>
  <c r="T91" i="7"/>
  <c r="S91" i="7"/>
  <c r="O91" i="7"/>
  <c r="N91" i="7"/>
  <c r="M91" i="7"/>
  <c r="AH91" i="7" s="1"/>
  <c r="C91" i="7"/>
  <c r="AL90" i="7"/>
  <c r="AI90" i="7"/>
  <c r="AA90" i="7"/>
  <c r="AA89" i="7" s="1"/>
  <c r="T90" i="7"/>
  <c r="T89" i="7" s="1"/>
  <c r="O90" i="7"/>
  <c r="O89" i="7" s="1"/>
  <c r="M90" i="7"/>
  <c r="AL89" i="7"/>
  <c r="AI89" i="7"/>
  <c r="M89" i="7"/>
  <c r="AH88" i="7"/>
  <c r="C88" i="7"/>
  <c r="AL87" i="7"/>
  <c r="AI87" i="7"/>
  <c r="AG87" i="7"/>
  <c r="AF87" i="7"/>
  <c r="AE87" i="7"/>
  <c r="AA87" i="7"/>
  <c r="Z87" i="7"/>
  <c r="Y87" i="7"/>
  <c r="U87" i="7"/>
  <c r="T87" i="7"/>
  <c r="S87" i="7"/>
  <c r="O87" i="7"/>
  <c r="N87" i="7"/>
  <c r="M87" i="7"/>
  <c r="AG86" i="7"/>
  <c r="AG80" i="7" s="1"/>
  <c r="AG79" i="7" s="1"/>
  <c r="AF86" i="7"/>
  <c r="AE86" i="7"/>
  <c r="AA86" i="7"/>
  <c r="Z86" i="7"/>
  <c r="Y86" i="7"/>
  <c r="U86" i="7"/>
  <c r="T86" i="7"/>
  <c r="AH86" i="7" s="1"/>
  <c r="O86" i="7"/>
  <c r="C86" i="7"/>
  <c r="AF85" i="7"/>
  <c r="AE85" i="7"/>
  <c r="AA85" i="7"/>
  <c r="Z85" i="7"/>
  <c r="Z80" i="7" s="1"/>
  <c r="Z79" i="7" s="1"/>
  <c r="Y85" i="7"/>
  <c r="U85" i="7"/>
  <c r="T85" i="7"/>
  <c r="O85" i="7"/>
  <c r="AH85" i="7" s="1"/>
  <c r="C85" i="7"/>
  <c r="AI84" i="7"/>
  <c r="AI80" i="7" s="1"/>
  <c r="AI79" i="7" s="1"/>
  <c r="AF84" i="7"/>
  <c r="AE84" i="7"/>
  <c r="AA84" i="7"/>
  <c r="Z84" i="7"/>
  <c r="Y84" i="7"/>
  <c r="U84" i="7"/>
  <c r="T84" i="7"/>
  <c r="T80" i="7" s="1"/>
  <c r="T79" i="7" s="1"/>
  <c r="O84" i="7"/>
  <c r="C84" i="7"/>
  <c r="AH83" i="7"/>
  <c r="C83" i="7"/>
  <c r="AG82" i="7"/>
  <c r="AF82" i="7"/>
  <c r="AF80" i="7" s="1"/>
  <c r="AF79" i="7" s="1"/>
  <c r="AE82" i="7"/>
  <c r="AE80" i="7" s="1"/>
  <c r="AE79" i="7" s="1"/>
  <c r="AA82" i="7"/>
  <c r="Z82" i="7"/>
  <c r="Y82" i="7"/>
  <c r="U82" i="7"/>
  <c r="T82" i="7"/>
  <c r="S82" i="7"/>
  <c r="O82" i="7"/>
  <c r="N82" i="7"/>
  <c r="N80" i="7" s="1"/>
  <c r="N79" i="7" s="1"/>
  <c r="M82" i="7"/>
  <c r="C82" i="7"/>
  <c r="AG81" i="7"/>
  <c r="U81" i="7"/>
  <c r="AH81" i="7" s="1"/>
  <c r="C81" i="7"/>
  <c r="AL80" i="7"/>
  <c r="AL79" i="7" s="1"/>
  <c r="Y80" i="7"/>
  <c r="Y79" i="7" s="1"/>
  <c r="S80" i="7"/>
  <c r="O80" i="7"/>
  <c r="O79" i="7" s="1"/>
  <c r="M80" i="7"/>
  <c r="S79" i="7"/>
  <c r="M79" i="7"/>
  <c r="AH78" i="7"/>
  <c r="C78" i="7"/>
  <c r="AH77" i="7"/>
  <c r="C77" i="7"/>
  <c r="AH76" i="7"/>
  <c r="C76" i="7"/>
  <c r="AH75" i="7"/>
  <c r="C75" i="7"/>
  <c r="AL74" i="7"/>
  <c r="AL67" i="7" s="1"/>
  <c r="AI74" i="7"/>
  <c r="AG74" i="7"/>
  <c r="AF74" i="7"/>
  <c r="AE74" i="7"/>
  <c r="AA74" i="7"/>
  <c r="Z74" i="7"/>
  <c r="Y74" i="7"/>
  <c r="U74" i="7"/>
  <c r="T74" i="7"/>
  <c r="S74" i="7"/>
  <c r="O74" i="7"/>
  <c r="N74" i="7"/>
  <c r="M74" i="7"/>
  <c r="AG73" i="7"/>
  <c r="AF73" i="7"/>
  <c r="AE73" i="7"/>
  <c r="AA73" i="7"/>
  <c r="Z73" i="7"/>
  <c r="Y73" i="7"/>
  <c r="U73" i="7"/>
  <c r="T73" i="7"/>
  <c r="AH73" i="7" s="1"/>
  <c r="S73" i="7"/>
  <c r="O73" i="7"/>
  <c r="C73" i="7"/>
  <c r="AG72" i="7"/>
  <c r="AF72" i="7"/>
  <c r="AE72" i="7"/>
  <c r="AA72" i="7"/>
  <c r="Z72" i="7"/>
  <c r="Y72" i="7"/>
  <c r="U72" i="7"/>
  <c r="T72" i="7"/>
  <c r="S72" i="7"/>
  <c r="O72" i="7"/>
  <c r="N72" i="7"/>
  <c r="M72" i="7"/>
  <c r="C72" i="7"/>
  <c r="AH71" i="7"/>
  <c r="AG71" i="7"/>
  <c r="AF71" i="7"/>
  <c r="C71" i="7"/>
  <c r="AG70" i="7"/>
  <c r="AF70" i="7"/>
  <c r="AF68" i="7" s="1"/>
  <c r="AF67" i="7" s="1"/>
  <c r="AA70" i="7"/>
  <c r="Z70" i="7"/>
  <c r="Y70" i="7"/>
  <c r="U70" i="7"/>
  <c r="T70" i="7"/>
  <c r="S70" i="7"/>
  <c r="O70" i="7"/>
  <c r="N70" i="7"/>
  <c r="N68" i="7" s="1"/>
  <c r="N67" i="7" s="1"/>
  <c r="M70" i="7"/>
  <c r="AH70" i="7" s="1"/>
  <c r="C70" i="7"/>
  <c r="AG69" i="7"/>
  <c r="AG68" i="7" s="1"/>
  <c r="AF69" i="7"/>
  <c r="AA69" i="7"/>
  <c r="AA68" i="7" s="1"/>
  <c r="AA67" i="7" s="1"/>
  <c r="Z69" i="7"/>
  <c r="Y69" i="7"/>
  <c r="Y68" i="7" s="1"/>
  <c r="Y67" i="7" s="1"/>
  <c r="U69" i="7"/>
  <c r="T69" i="7"/>
  <c r="S69" i="7"/>
  <c r="S68" i="7" s="1"/>
  <c r="O69" i="7"/>
  <c r="O68" i="7" s="1"/>
  <c r="O67" i="7" s="1"/>
  <c r="N69" i="7"/>
  <c r="M69" i="7"/>
  <c r="C69" i="7"/>
  <c r="AL68" i="7"/>
  <c r="AI68" i="7"/>
  <c r="AI67" i="7" s="1"/>
  <c r="AE68" i="7"/>
  <c r="U68" i="7"/>
  <c r="U67" i="7" s="1"/>
  <c r="T68" i="7"/>
  <c r="T67" i="7" s="1"/>
  <c r="AE67" i="7"/>
  <c r="AG66" i="7"/>
  <c r="AF66" i="7"/>
  <c r="U66" i="7"/>
  <c r="C66" i="7"/>
  <c r="AL65" i="7"/>
  <c r="AI65" i="7"/>
  <c r="AF65" i="7"/>
  <c r="U65" i="7"/>
  <c r="AH64" i="7"/>
  <c r="C64" i="7"/>
  <c r="AL63" i="7"/>
  <c r="AI63" i="7"/>
  <c r="AI58" i="7" s="1"/>
  <c r="AH63" i="7"/>
  <c r="I64" i="7" s="1"/>
  <c r="AG63" i="7"/>
  <c r="AF63" i="7"/>
  <c r="AE63" i="7"/>
  <c r="AA63" i="7"/>
  <c r="Z63" i="7"/>
  <c r="Y63" i="7"/>
  <c r="U63" i="7"/>
  <c r="T63" i="7"/>
  <c r="S63" i="7"/>
  <c r="O63" i="7"/>
  <c r="N63" i="7"/>
  <c r="M63" i="7"/>
  <c r="AG62" i="7"/>
  <c r="AF62" i="7"/>
  <c r="AE62" i="7"/>
  <c r="AE59" i="7" s="1"/>
  <c r="AE58" i="7" s="1"/>
  <c r="AA62" i="7"/>
  <c r="Z62" i="7"/>
  <c r="Y62" i="7"/>
  <c r="U62" i="7"/>
  <c r="T62" i="7"/>
  <c r="S62" i="7"/>
  <c r="S59" i="7" s="1"/>
  <c r="S58" i="7" s="1"/>
  <c r="O62" i="7"/>
  <c r="O59" i="7" s="1"/>
  <c r="O58" i="7" s="1"/>
  <c r="N62" i="7"/>
  <c r="N59" i="7" s="1"/>
  <c r="N58" i="7" s="1"/>
  <c r="M62" i="7"/>
  <c r="C62" i="7"/>
  <c r="AF61" i="7"/>
  <c r="AA61" i="7"/>
  <c r="Y61" i="7"/>
  <c r="Y59" i="7" s="1"/>
  <c r="U61" i="7"/>
  <c r="T61" i="7"/>
  <c r="C61" i="7"/>
  <c r="AF60" i="7"/>
  <c r="AA60" i="7"/>
  <c r="Z60" i="7"/>
  <c r="Y60" i="7"/>
  <c r="U60" i="7"/>
  <c r="U59" i="7" s="1"/>
  <c r="T60" i="7"/>
  <c r="T59" i="7" s="1"/>
  <c r="C60" i="7"/>
  <c r="AL59" i="7"/>
  <c r="AL58" i="7" s="1"/>
  <c r="AI59" i="7"/>
  <c r="AG59" i="7"/>
  <c r="AF59" i="7"/>
  <c r="AF58" i="7" s="1"/>
  <c r="Z59" i="7"/>
  <c r="Z58" i="7" s="1"/>
  <c r="M59" i="7"/>
  <c r="Y58" i="7"/>
  <c r="M58" i="7"/>
  <c r="AG57" i="7"/>
  <c r="AF57" i="7"/>
  <c r="AE57" i="7"/>
  <c r="AE56" i="7" s="1"/>
  <c r="AA57" i="7"/>
  <c r="Z57" i="7"/>
  <c r="Z56" i="7" s="1"/>
  <c r="Y57" i="7"/>
  <c r="Y56" i="7" s="1"/>
  <c r="U57" i="7"/>
  <c r="U56" i="7" s="1"/>
  <c r="S57" i="7"/>
  <c r="O57" i="7"/>
  <c r="N57" i="7"/>
  <c r="M57" i="7"/>
  <c r="C57" i="7"/>
  <c r="AL56" i="7"/>
  <c r="AI56" i="7"/>
  <c r="AG56" i="7"/>
  <c r="AF56" i="7"/>
  <c r="AA56" i="7"/>
  <c r="S56" i="7"/>
  <c r="O56" i="7"/>
  <c r="O52" i="7" s="1"/>
  <c r="N56" i="7"/>
  <c r="AG55" i="7"/>
  <c r="AF55" i="7"/>
  <c r="AE55" i="7"/>
  <c r="AA55" i="7"/>
  <c r="AA53" i="7" s="1"/>
  <c r="AA52" i="7" s="1"/>
  <c r="Z55" i="7"/>
  <c r="Y55" i="7"/>
  <c r="U55" i="7"/>
  <c r="S55" i="7"/>
  <c r="O55" i="7"/>
  <c r="N55" i="7"/>
  <c r="M55" i="7"/>
  <c r="C55" i="7"/>
  <c r="AG54" i="7"/>
  <c r="AG53" i="7" s="1"/>
  <c r="AF54" i="7"/>
  <c r="AF53" i="7" s="1"/>
  <c r="AE54" i="7"/>
  <c r="AA54" i="7"/>
  <c r="Z54" i="7"/>
  <c r="Z53" i="7" s="1"/>
  <c r="Y54" i="7"/>
  <c r="Y53" i="7" s="1"/>
  <c r="Y52" i="7" s="1"/>
  <c r="U54" i="7"/>
  <c r="S54" i="7"/>
  <c r="S53" i="7" s="1"/>
  <c r="S52" i="7" s="1"/>
  <c r="O54" i="7"/>
  <c r="N54" i="7"/>
  <c r="N53" i="7" s="1"/>
  <c r="M54" i="7"/>
  <c r="C54" i="7"/>
  <c r="AL53" i="7"/>
  <c r="AI53" i="7"/>
  <c r="AI52" i="7" s="1"/>
  <c r="AE53" i="7"/>
  <c r="AE52" i="7" s="1"/>
  <c r="U53" i="7"/>
  <c r="U52" i="7" s="1"/>
  <c r="O53" i="7"/>
  <c r="M53" i="7"/>
  <c r="AL52" i="7"/>
  <c r="AG52" i="7"/>
  <c r="AF52" i="7"/>
  <c r="N52" i="7"/>
  <c r="AH51" i="7"/>
  <c r="C51" i="7"/>
  <c r="AH50" i="7"/>
  <c r="C50" i="7"/>
  <c r="AH49" i="7"/>
  <c r="AG49" i="7"/>
  <c r="U49" i="7"/>
  <c r="O49" i="7"/>
  <c r="O48" i="7" s="1"/>
  <c r="C49" i="7"/>
  <c r="AL48" i="7"/>
  <c r="AI48" i="7"/>
  <c r="AG48" i="7"/>
  <c r="U48" i="7"/>
  <c r="AH47" i="7"/>
  <c r="C47" i="7"/>
  <c r="AG46" i="7"/>
  <c r="AF46" i="7"/>
  <c r="AF41" i="7" s="1"/>
  <c r="AE46" i="7"/>
  <c r="AA46" i="7"/>
  <c r="Z46" i="7"/>
  <c r="Y46" i="7"/>
  <c r="U46" i="7"/>
  <c r="T46" i="7"/>
  <c r="S46" i="7"/>
  <c r="O46" i="7"/>
  <c r="N46" i="7"/>
  <c r="M46" i="7"/>
  <c r="C46" i="7"/>
  <c r="AI45" i="7"/>
  <c r="AI41" i="7" s="1"/>
  <c r="AH45" i="7"/>
  <c r="AG45" i="7"/>
  <c r="AG41" i="7" s="1"/>
  <c r="AF45" i="7"/>
  <c r="AE45" i="7"/>
  <c r="AA45" i="7"/>
  <c r="Z45" i="7"/>
  <c r="Y45" i="7"/>
  <c r="U45" i="7"/>
  <c r="U41" i="7" s="1"/>
  <c r="T45" i="7"/>
  <c r="T41" i="7" s="1"/>
  <c r="S45" i="7"/>
  <c r="S41" i="7" s="1"/>
  <c r="O45" i="7"/>
  <c r="N45" i="7"/>
  <c r="M45" i="7"/>
  <c r="C45" i="7"/>
  <c r="AH44" i="7"/>
  <c r="C44" i="7"/>
  <c r="AH43" i="7"/>
  <c r="C43" i="7"/>
  <c r="AH42" i="7"/>
  <c r="C42" i="7"/>
  <c r="AL41" i="7"/>
  <c r="AE41" i="7"/>
  <c r="Z41" i="7"/>
  <c r="Y41" i="7"/>
  <c r="N41" i="7"/>
  <c r="AG40" i="7"/>
  <c r="AG39" i="7" s="1"/>
  <c r="AF40" i="7"/>
  <c r="AE40" i="7"/>
  <c r="AE39" i="7" s="1"/>
  <c r="AA40" i="7"/>
  <c r="AA39" i="7" s="1"/>
  <c r="Z40" i="7"/>
  <c r="Y40" i="7"/>
  <c r="U40" i="7"/>
  <c r="T40" i="7"/>
  <c r="S40" i="7"/>
  <c r="S39" i="7" s="1"/>
  <c r="O40" i="7"/>
  <c r="N40" i="7"/>
  <c r="N39" i="7" s="1"/>
  <c r="M40" i="7"/>
  <c r="M39" i="7" s="1"/>
  <c r="C40" i="7"/>
  <c r="AL39" i="7"/>
  <c r="AI39" i="7"/>
  <c r="AF39" i="7"/>
  <c r="Z39" i="7"/>
  <c r="Y39" i="7"/>
  <c r="U39" i="7"/>
  <c r="T39" i="7"/>
  <c r="O39" i="7"/>
  <c r="AG38" i="7"/>
  <c r="AG37" i="7" s="1"/>
  <c r="AF38" i="7"/>
  <c r="AF37" i="7" s="1"/>
  <c r="AE38" i="7"/>
  <c r="AA38" i="7"/>
  <c r="AA37" i="7" s="1"/>
  <c r="Z38" i="7"/>
  <c r="U38" i="7"/>
  <c r="T38" i="7"/>
  <c r="T37" i="7" s="1"/>
  <c r="S38" i="7"/>
  <c r="O38" i="7"/>
  <c r="AH38" i="7" s="1"/>
  <c r="C38" i="7"/>
  <c r="AL37" i="7"/>
  <c r="AI37" i="7"/>
  <c r="AE37" i="7"/>
  <c r="Z37" i="7"/>
  <c r="U37" i="7"/>
  <c r="S37" i="7"/>
  <c r="O37" i="7"/>
  <c r="AH36" i="7"/>
  <c r="AE36" i="7"/>
  <c r="AA36" i="7"/>
  <c r="AA34" i="7" s="1"/>
  <c r="Z36" i="7"/>
  <c r="Y36" i="7"/>
  <c r="C36" i="7"/>
  <c r="AH35" i="7"/>
  <c r="AA35" i="7"/>
  <c r="Z35" i="7"/>
  <c r="Z34" i="7" s="1"/>
  <c r="U35" i="7"/>
  <c r="C35" i="7"/>
  <c r="AL34" i="7"/>
  <c r="AI34" i="7"/>
  <c r="AE34" i="7"/>
  <c r="Y34" i="7"/>
  <c r="U34" i="7"/>
  <c r="AG33" i="7"/>
  <c r="AF33" i="7"/>
  <c r="AE33" i="7"/>
  <c r="AA33" i="7"/>
  <c r="Z33" i="7"/>
  <c r="Y33" i="7"/>
  <c r="U33" i="7"/>
  <c r="T33" i="7"/>
  <c r="AH33" i="7" s="1"/>
  <c r="S33" i="7"/>
  <c r="O33" i="7"/>
  <c r="N33" i="7"/>
  <c r="M33" i="7"/>
  <c r="C33" i="7"/>
  <c r="AG32" i="7"/>
  <c r="AF32" i="7"/>
  <c r="AE32" i="7"/>
  <c r="AA32" i="7"/>
  <c r="Z32" i="7"/>
  <c r="U32" i="7"/>
  <c r="T32" i="7"/>
  <c r="S32" i="7"/>
  <c r="AH32" i="7" s="1"/>
  <c r="O32" i="7"/>
  <c r="N32" i="7"/>
  <c r="C32" i="7"/>
  <c r="AG31" i="7"/>
  <c r="AF31" i="7"/>
  <c r="AE31" i="7"/>
  <c r="AA31" i="7"/>
  <c r="Z31" i="7"/>
  <c r="U31" i="7"/>
  <c r="T31" i="7"/>
  <c r="T25" i="7" s="1"/>
  <c r="S31" i="7"/>
  <c r="O31" i="7"/>
  <c r="N31" i="7"/>
  <c r="AH31" i="7" s="1"/>
  <c r="C31" i="7"/>
  <c r="AG30" i="7"/>
  <c r="AF30" i="7"/>
  <c r="AE30" i="7"/>
  <c r="AA30" i="7"/>
  <c r="Z30" i="7"/>
  <c r="U30" i="7"/>
  <c r="T30" i="7"/>
  <c r="S30" i="7"/>
  <c r="O30" i="7"/>
  <c r="O25" i="7" s="1"/>
  <c r="N30" i="7"/>
  <c r="C30" i="7"/>
  <c r="AG29" i="7"/>
  <c r="AF29" i="7"/>
  <c r="AE29" i="7"/>
  <c r="AE25" i="7" s="1"/>
  <c r="AE12" i="7" s="1"/>
  <c r="AA29" i="7"/>
  <c r="AA25" i="7" s="1"/>
  <c r="Z29" i="7"/>
  <c r="Y29" i="7"/>
  <c r="U29" i="7"/>
  <c r="T29" i="7"/>
  <c r="S29" i="7"/>
  <c r="O29" i="7"/>
  <c r="N29" i="7"/>
  <c r="N25" i="7" s="1"/>
  <c r="N12" i="7" s="1"/>
  <c r="M29" i="7"/>
  <c r="C29" i="7"/>
  <c r="AH28" i="7"/>
  <c r="C28" i="7"/>
  <c r="AG27" i="7"/>
  <c r="AG25" i="7" s="1"/>
  <c r="AE27" i="7"/>
  <c r="AH27" i="7" s="1"/>
  <c r="C27" i="7"/>
  <c r="AH26" i="7"/>
  <c r="C26" i="7"/>
  <c r="AL25" i="7"/>
  <c r="AI25" i="7"/>
  <c r="Z25" i="7"/>
  <c r="Y25" i="7"/>
  <c r="AH24" i="7"/>
  <c r="C24" i="7"/>
  <c r="AL23" i="7"/>
  <c r="AI23" i="7"/>
  <c r="AH23" i="7"/>
  <c r="AF23" i="7"/>
  <c r="AA23" i="7"/>
  <c r="Z23" i="7"/>
  <c r="Y23" i="7"/>
  <c r="U23" i="7"/>
  <c r="T23" i="7"/>
  <c r="S23" i="7"/>
  <c r="O23" i="7"/>
  <c r="N23" i="7"/>
  <c r="M23" i="7"/>
  <c r="AH22" i="7"/>
  <c r="C22" i="7"/>
  <c r="AH21" i="7"/>
  <c r="I21" i="7" s="1"/>
  <c r="C21" i="7"/>
  <c r="AH20" i="7"/>
  <c r="C20" i="7"/>
  <c r="AL19" i="7"/>
  <c r="AI19" i="7"/>
  <c r="AH19" i="7"/>
  <c r="AG19" i="7"/>
  <c r="AF19" i="7"/>
  <c r="AE19" i="7"/>
  <c r="AA19" i="7"/>
  <c r="Z19" i="7"/>
  <c r="Y19" i="7"/>
  <c r="S19" i="7"/>
  <c r="O19" i="7"/>
  <c r="N19" i="7"/>
  <c r="M19" i="7"/>
  <c r="AH18" i="7"/>
  <c r="C18" i="7"/>
  <c r="AH17" i="7"/>
  <c r="C17" i="7"/>
  <c r="AL16" i="7"/>
  <c r="AI16" i="7"/>
  <c r="AH16" i="7"/>
  <c r="AG16" i="7"/>
  <c r="AF16" i="7"/>
  <c r="AE16" i="7"/>
  <c r="AA16" i="7"/>
  <c r="Z16" i="7"/>
  <c r="Y16" i="7"/>
  <c r="U16" i="7"/>
  <c r="T16" i="7"/>
  <c r="T12" i="7" s="1"/>
  <c r="S16" i="7"/>
  <c r="O16" i="7"/>
  <c r="N16" i="7"/>
  <c r="M16" i="7"/>
  <c r="AH15" i="7"/>
  <c r="C15" i="7"/>
  <c r="AH14" i="7"/>
  <c r="C14" i="7"/>
  <c r="AL13" i="7"/>
  <c r="AI13" i="7"/>
  <c r="AH13" i="7"/>
  <c r="I15" i="7" s="1"/>
  <c r="AG13" i="7"/>
  <c r="AG12" i="7" s="1"/>
  <c r="AF13" i="7"/>
  <c r="AE13" i="7"/>
  <c r="AA13" i="7"/>
  <c r="Z13" i="7"/>
  <c r="Y13" i="7"/>
  <c r="U13" i="7"/>
  <c r="T13" i="7"/>
  <c r="S13" i="7"/>
  <c r="O13" i="7"/>
  <c r="N13" i="7"/>
  <c r="AK11" i="7"/>
  <c r="AK10" i="7" s="1"/>
  <c r="AK289" i="7" s="1"/>
  <c r="Z52" i="7" l="1"/>
  <c r="AH37" i="7"/>
  <c r="I38" i="7"/>
  <c r="N11" i="7"/>
  <c r="N10" i="7" s="1"/>
  <c r="O12" i="7"/>
  <c r="I118" i="7"/>
  <c r="AH30" i="7"/>
  <c r="AF25" i="7"/>
  <c r="AF12" i="7" s="1"/>
  <c r="AF11" i="7" s="1"/>
  <c r="AF10" i="7" s="1"/>
  <c r="AF289" i="7" s="1"/>
  <c r="AG58" i="7"/>
  <c r="AG11" i="7" s="1"/>
  <c r="AG10" i="7" s="1"/>
  <c r="AG289" i="7" s="1"/>
  <c r="AA59" i="7"/>
  <c r="AA58" i="7" s="1"/>
  <c r="AG65" i="7"/>
  <c r="AH66" i="7"/>
  <c r="AH29" i="7"/>
  <c r="AH25" i="7" s="1"/>
  <c r="AI99" i="7"/>
  <c r="AH48" i="7"/>
  <c r="I49" i="7"/>
  <c r="AH72" i="7"/>
  <c r="I17" i="7"/>
  <c r="AH55" i="7"/>
  <c r="AH69" i="7"/>
  <c r="M68" i="7"/>
  <c r="M67" i="7" s="1"/>
  <c r="AL12" i="7"/>
  <c r="AL11" i="7" s="1"/>
  <c r="AL10" i="7" s="1"/>
  <c r="AL289" i="7" s="1"/>
  <c r="Z12" i="7"/>
  <c r="M25" i="7"/>
  <c r="U25" i="7"/>
  <c r="U12" i="7" s="1"/>
  <c r="U11" i="7" s="1"/>
  <c r="U10" i="7" s="1"/>
  <c r="U289" i="7" s="1"/>
  <c r="AH40" i="7"/>
  <c r="AH57" i="7"/>
  <c r="M56" i="7"/>
  <c r="M52" i="7" s="1"/>
  <c r="AE143" i="7"/>
  <c r="AH46" i="7"/>
  <c r="AH41" i="7" s="1"/>
  <c r="O41" i="7"/>
  <c r="AI12" i="7"/>
  <c r="AI11" i="7" s="1"/>
  <c r="AI10" i="7" s="1"/>
  <c r="AI289" i="7" s="1"/>
  <c r="I24" i="7"/>
  <c r="Y12" i="7"/>
  <c r="Y11" i="7" s="1"/>
  <c r="Y10" i="7" s="1"/>
  <c r="I22" i="7"/>
  <c r="I14" i="7"/>
  <c r="I18" i="7"/>
  <c r="I20" i="7"/>
  <c r="S25" i="7"/>
  <c r="S12" i="7" s="1"/>
  <c r="S11" i="7" s="1"/>
  <c r="S10" i="7" s="1"/>
  <c r="AH34" i="7"/>
  <c r="I35" i="7" s="1"/>
  <c r="AF143" i="7"/>
  <c r="I50" i="7"/>
  <c r="AH60" i="7"/>
  <c r="S100" i="7"/>
  <c r="S99" i="7" s="1"/>
  <c r="AE125" i="7"/>
  <c r="AE124" i="7" s="1"/>
  <c r="AH133" i="7"/>
  <c r="M41" i="7"/>
  <c r="M12" i="7" s="1"/>
  <c r="AA41" i="7"/>
  <c r="AA12" i="7" s="1"/>
  <c r="AA11" i="7" s="1"/>
  <c r="AA10" i="7" s="1"/>
  <c r="AG67" i="7"/>
  <c r="AH164" i="7"/>
  <c r="AH188" i="7"/>
  <c r="AG187" i="7"/>
  <c r="AG186" i="7" s="1"/>
  <c r="AG185" i="7" s="1"/>
  <c r="AG184" i="7" s="1"/>
  <c r="AH190" i="7"/>
  <c r="AH54" i="7"/>
  <c r="S67" i="7"/>
  <c r="N99" i="7"/>
  <c r="AF100" i="7"/>
  <c r="AF99" i="7" s="1"/>
  <c r="AH107" i="7"/>
  <c r="AH111" i="7"/>
  <c r="I114" i="7"/>
  <c r="AG143" i="7"/>
  <c r="T58" i="7"/>
  <c r="T11" i="7" s="1"/>
  <c r="T10" i="7" s="1"/>
  <c r="T289" i="7" s="1"/>
  <c r="I51" i="7"/>
  <c r="U58" i="7"/>
  <c r="AH62" i="7"/>
  <c r="AA80" i="7"/>
  <c r="AA79" i="7" s="1"/>
  <c r="S90" i="7"/>
  <c r="S89" i="7" s="1"/>
  <c r="AH93" i="7"/>
  <c r="AH90" i="7" s="1"/>
  <c r="O99" i="7"/>
  <c r="AG100" i="7"/>
  <c r="AG99" i="7" s="1"/>
  <c r="AH103" i="7"/>
  <c r="AH100" i="7" s="1"/>
  <c r="AH105" i="7"/>
  <c r="AI112" i="7"/>
  <c r="AH126" i="7"/>
  <c r="AG125" i="7"/>
  <c r="AG124" i="7" s="1"/>
  <c r="AH140" i="7"/>
  <c r="I142" i="7"/>
  <c r="AH169" i="7"/>
  <c r="AH171" i="7"/>
  <c r="AH219" i="7"/>
  <c r="O214" i="7"/>
  <c r="O213" i="7" s="1"/>
  <c r="AH61" i="7"/>
  <c r="AH74" i="7"/>
  <c r="I75" i="7" s="1"/>
  <c r="AH82" i="7"/>
  <c r="I113" i="7"/>
  <c r="AH98" i="7"/>
  <c r="AH119" i="7"/>
  <c r="AH116" i="7" s="1"/>
  <c r="AH154" i="7"/>
  <c r="Z68" i="7"/>
  <c r="Z67" i="7" s="1"/>
  <c r="I76" i="7"/>
  <c r="U80" i="7"/>
  <c r="U79" i="7" s="1"/>
  <c r="AH84" i="7"/>
  <c r="AH87" i="7"/>
  <c r="AH128" i="7"/>
  <c r="O153" i="7"/>
  <c r="O152" i="7" s="1"/>
  <c r="O151" i="7" s="1"/>
  <c r="O143" i="7" s="1"/>
  <c r="O97" i="7"/>
  <c r="O96" i="7" s="1"/>
  <c r="AH149" i="7"/>
  <c r="AH146" i="7" s="1"/>
  <c r="S153" i="7"/>
  <c r="S152" i="7" s="1"/>
  <c r="S151" i="7" s="1"/>
  <c r="S143" i="7" s="1"/>
  <c r="Z153" i="7"/>
  <c r="Z152" i="7" s="1"/>
  <c r="Z151" i="7" s="1"/>
  <c r="Z143" i="7" s="1"/>
  <c r="AH174" i="7"/>
  <c r="O181" i="7"/>
  <c r="O180" i="7" s="1"/>
  <c r="O179" i="7" s="1"/>
  <c r="O178" i="7" s="1"/>
  <c r="AH183" i="7"/>
  <c r="AH226" i="7"/>
  <c r="AE100" i="7"/>
  <c r="AE99" i="7" s="1"/>
  <c r="AE11" i="7" s="1"/>
  <c r="AE10" i="7" s="1"/>
  <c r="AH123" i="7"/>
  <c r="Y143" i="7"/>
  <c r="AH172" i="7"/>
  <c r="I194" i="7"/>
  <c r="AF204" i="7"/>
  <c r="AF203" i="7" s="1"/>
  <c r="Y204" i="7"/>
  <c r="Y203" i="7" s="1"/>
  <c r="AH106" i="7"/>
  <c r="AF124" i="7"/>
  <c r="I130" i="7"/>
  <c r="Y132" i="7"/>
  <c r="Y131" i="7" s="1"/>
  <c r="N146" i="7"/>
  <c r="N145" i="7" s="1"/>
  <c r="N144" i="7" s="1"/>
  <c r="N143" i="7" s="1"/>
  <c r="AH155" i="7"/>
  <c r="AH166" i="7"/>
  <c r="O206" i="7"/>
  <c r="O205" i="7" s="1"/>
  <c r="M206" i="7"/>
  <c r="M205" i="7" s="1"/>
  <c r="M204" i="7" s="1"/>
  <c r="M203" i="7" s="1"/>
  <c r="AH207" i="7"/>
  <c r="AA206" i="7"/>
  <c r="AA205" i="7" s="1"/>
  <c r="AA204" i="7" s="1"/>
  <c r="AA203" i="7" s="1"/>
  <c r="S214" i="7"/>
  <c r="S213" i="7" s="1"/>
  <c r="AH233" i="7"/>
  <c r="AE232" i="7"/>
  <c r="AE231" i="7" s="1"/>
  <c r="AE204" i="7" s="1"/>
  <c r="AE203" i="7" s="1"/>
  <c r="AH238" i="7"/>
  <c r="AA266" i="7"/>
  <c r="AA265" i="7" s="1"/>
  <c r="AH282" i="7"/>
  <c r="AH182" i="7"/>
  <c r="AH222" i="7"/>
  <c r="AH224" i="7"/>
  <c r="AH239" i="7"/>
  <c r="T232" i="7"/>
  <c r="T231" i="7" s="1"/>
  <c r="AH241" i="7"/>
  <c r="U276" i="7"/>
  <c r="U275" i="7" s="1"/>
  <c r="AH280" i="7"/>
  <c r="AH229" i="7"/>
  <c r="Z228" i="7"/>
  <c r="Z227" i="7" s="1"/>
  <c r="N247" i="7"/>
  <c r="N246" i="7" s="1"/>
  <c r="N204" i="7" s="1"/>
  <c r="N203" i="7" s="1"/>
  <c r="AH248" i="7"/>
  <c r="AE247" i="7"/>
  <c r="AE246" i="7" s="1"/>
  <c r="U153" i="7"/>
  <c r="U152" i="7" s="1"/>
  <c r="U151" i="7" s="1"/>
  <c r="U143" i="7" s="1"/>
  <c r="AA153" i="7"/>
  <c r="AA152" i="7" s="1"/>
  <c r="AA151" i="7" s="1"/>
  <c r="AA143" i="7" s="1"/>
  <c r="AH165" i="7"/>
  <c r="AH170" i="7"/>
  <c r="AH195" i="7"/>
  <c r="I196" i="7"/>
  <c r="AH198" i="7"/>
  <c r="AH201" i="7"/>
  <c r="S206" i="7"/>
  <c r="S205" i="7" s="1"/>
  <c r="S204" i="7" s="1"/>
  <c r="S203" i="7" s="1"/>
  <c r="Z214" i="7"/>
  <c r="Z213" i="7" s="1"/>
  <c r="Z204" i="7" s="1"/>
  <c r="Z203" i="7" s="1"/>
  <c r="AH217" i="7"/>
  <c r="Y214" i="7"/>
  <c r="Y213" i="7" s="1"/>
  <c r="AH221" i="7"/>
  <c r="O232" i="7"/>
  <c r="O231" i="7" s="1"/>
  <c r="AH244" i="7"/>
  <c r="AH270" i="7"/>
  <c r="T204" i="7"/>
  <c r="T203" i="7" s="1"/>
  <c r="AH240" i="7"/>
  <c r="AH210" i="7"/>
  <c r="AH220" i="7"/>
  <c r="Y232" i="7"/>
  <c r="Y231" i="7" s="1"/>
  <c r="AH278" i="7"/>
  <c r="N276" i="7"/>
  <c r="N275" i="7" s="1"/>
  <c r="AH283" i="7"/>
  <c r="O276" i="7"/>
  <c r="O275" i="7" s="1"/>
  <c r="AF276" i="7"/>
  <c r="AF275" i="7" s="1"/>
  <c r="AG214" i="7"/>
  <c r="AG213" i="7" s="1"/>
  <c r="AG204" i="7" s="1"/>
  <c r="AG203" i="7" s="1"/>
  <c r="AH255" i="7"/>
  <c r="AH264" i="7"/>
  <c r="Y190" i="7"/>
  <c r="Y186" i="7" s="1"/>
  <c r="Y185" i="7" s="1"/>
  <c r="Y184" i="7" s="1"/>
  <c r="U232" i="7"/>
  <c r="U231" i="7" s="1"/>
  <c r="U204" i="7" s="1"/>
  <c r="U203" i="7" s="1"/>
  <c r="AF259" i="7"/>
  <c r="AF258" i="7" s="1"/>
  <c r="AE289" i="7" l="1"/>
  <c r="AA289" i="7"/>
  <c r="I150" i="7"/>
  <c r="I148" i="7"/>
  <c r="AH145" i="7"/>
  <c r="I147" i="7"/>
  <c r="I101" i="7"/>
  <c r="I104" i="7"/>
  <c r="I102" i="7"/>
  <c r="M11" i="7"/>
  <c r="M10" i="7" s="1"/>
  <c r="M289" i="7" s="1"/>
  <c r="S289" i="7"/>
  <c r="I44" i="7"/>
  <c r="I45" i="7"/>
  <c r="I43" i="7"/>
  <c r="I42" i="7"/>
  <c r="I47" i="7"/>
  <c r="I26" i="7"/>
  <c r="I32" i="7"/>
  <c r="I28" i="7"/>
  <c r="I31" i="7"/>
  <c r="I27" i="7"/>
  <c r="I33" i="7"/>
  <c r="AH89" i="7"/>
  <c r="I95" i="7"/>
  <c r="I92" i="7"/>
  <c r="I91" i="7"/>
  <c r="I94" i="7"/>
  <c r="AH228" i="7"/>
  <c r="I229" i="7"/>
  <c r="I88" i="7"/>
  <c r="I61" i="7"/>
  <c r="I126" i="7"/>
  <c r="AH125" i="7"/>
  <c r="I192" i="7"/>
  <c r="I193" i="7"/>
  <c r="AH132" i="7"/>
  <c r="I133" i="7" s="1"/>
  <c r="I54" i="7"/>
  <c r="AH53" i="7"/>
  <c r="I283" i="7"/>
  <c r="AH266" i="7"/>
  <c r="O204" i="7"/>
  <c r="O203" i="7" s="1"/>
  <c r="I120" i="7"/>
  <c r="AH108" i="7"/>
  <c r="AH99" i="7" s="1"/>
  <c r="I149" i="7"/>
  <c r="I280" i="7"/>
  <c r="AH232" i="7"/>
  <c r="I233" i="7" s="1"/>
  <c r="I105" i="7"/>
  <c r="I78" i="7"/>
  <c r="I107" i="7"/>
  <c r="I191" i="7"/>
  <c r="Z11" i="7"/>
  <c r="Z10" i="7" s="1"/>
  <c r="Z289" i="7" s="1"/>
  <c r="I264" i="7"/>
  <c r="AH259" i="7"/>
  <c r="AH153" i="7"/>
  <c r="I171" i="7" s="1"/>
  <c r="I62" i="7"/>
  <c r="AH59" i="7"/>
  <c r="I60" i="7"/>
  <c r="AH197" i="7"/>
  <c r="AH97" i="7"/>
  <c r="I103" i="7"/>
  <c r="AH80" i="7"/>
  <c r="I84" i="7" s="1"/>
  <c r="I255" i="7"/>
  <c r="I202" i="7"/>
  <c r="AH252" i="7"/>
  <c r="AH122" i="7"/>
  <c r="I123" i="7"/>
  <c r="I169" i="7"/>
  <c r="AH187" i="7"/>
  <c r="I188" i="7" s="1"/>
  <c r="I29" i="7"/>
  <c r="AH276" i="7"/>
  <c r="AH247" i="7"/>
  <c r="AH181" i="7"/>
  <c r="I106" i="7"/>
  <c r="I36" i="7"/>
  <c r="I46" i="7"/>
  <c r="O11" i="7"/>
  <c r="O10" i="7" s="1"/>
  <c r="N289" i="7"/>
  <c r="I128" i="7"/>
  <c r="I93" i="7"/>
  <c r="AH56" i="7"/>
  <c r="I57" i="7"/>
  <c r="AH68" i="7"/>
  <c r="I69" i="7" s="1"/>
  <c r="I72" i="7"/>
  <c r="I30" i="7"/>
  <c r="AH206" i="7"/>
  <c r="I207" i="7"/>
  <c r="AH214" i="7"/>
  <c r="I221" i="7" s="1"/>
  <c r="I77" i="7"/>
  <c r="Y289" i="7"/>
  <c r="I40" i="7"/>
  <c r="AH39" i="7"/>
  <c r="I55" i="7"/>
  <c r="I66" i="7"/>
  <c r="AH65" i="7"/>
  <c r="AH180" i="7" l="1"/>
  <c r="AH246" i="7"/>
  <c r="I250" i="7"/>
  <c r="I249" i="7"/>
  <c r="AH205" i="7"/>
  <c r="I212" i="7"/>
  <c r="I211" i="7"/>
  <c r="I209" i="7"/>
  <c r="I208" i="7"/>
  <c r="I164" i="7"/>
  <c r="AH121" i="7"/>
  <c r="I244" i="7"/>
  <c r="I263" i="7"/>
  <c r="I260" i="7"/>
  <c r="AH258" i="7"/>
  <c r="I262" i="7"/>
  <c r="I261" i="7"/>
  <c r="I224" i="7"/>
  <c r="AH52" i="7"/>
  <c r="AH67" i="7"/>
  <c r="I71" i="7"/>
  <c r="I73" i="7"/>
  <c r="I70" i="7"/>
  <c r="I172" i="7"/>
  <c r="I248" i="7"/>
  <c r="I155" i="7"/>
  <c r="I240" i="7"/>
  <c r="I82" i="7"/>
  <c r="O289" i="7"/>
  <c r="AH275" i="7"/>
  <c r="I277" i="7"/>
  <c r="I281" i="7"/>
  <c r="I279" i="7"/>
  <c r="I287" i="7"/>
  <c r="I286" i="7"/>
  <c r="I284" i="7"/>
  <c r="I288" i="7"/>
  <c r="I285" i="7"/>
  <c r="AH96" i="7"/>
  <c r="I220" i="7"/>
  <c r="AH152" i="7"/>
  <c r="I157" i="7"/>
  <c r="I173" i="7"/>
  <c r="I168" i="7"/>
  <c r="I163" i="7"/>
  <c r="I156" i="7"/>
  <c r="I159" i="7"/>
  <c r="I158" i="7"/>
  <c r="I177" i="7"/>
  <c r="I175" i="7"/>
  <c r="I160" i="7"/>
  <c r="I176" i="7"/>
  <c r="I162" i="7"/>
  <c r="I167" i="7"/>
  <c r="I161" i="7"/>
  <c r="AH231" i="7"/>
  <c r="I245" i="7"/>
  <c r="I242" i="7"/>
  <c r="I235" i="7"/>
  <c r="I234" i="7"/>
  <c r="I237" i="7"/>
  <c r="I243" i="7"/>
  <c r="I236" i="7"/>
  <c r="I271" i="7"/>
  <c r="I272" i="7"/>
  <c r="AH265" i="7"/>
  <c r="I274" i="7"/>
  <c r="I267" i="7"/>
  <c r="I273" i="7"/>
  <c r="I268" i="7"/>
  <c r="I269" i="7"/>
  <c r="I217" i="7"/>
  <c r="AH251" i="7"/>
  <c r="I253" i="7"/>
  <c r="I254" i="7"/>
  <c r="I257" i="7"/>
  <c r="I256" i="7"/>
  <c r="I154" i="7"/>
  <c r="I210" i="7"/>
  <c r="I238" i="7"/>
  <c r="I241" i="7"/>
  <c r="AH124" i="7"/>
  <c r="I127" i="7"/>
  <c r="I282" i="7"/>
  <c r="AH144" i="7"/>
  <c r="I278" i="7"/>
  <c r="I98" i="7"/>
  <c r="I270" i="7"/>
  <c r="I226" i="7"/>
  <c r="I182" i="7"/>
  <c r="I174" i="7"/>
  <c r="I165" i="7"/>
  <c r="AH79" i="7"/>
  <c r="I83" i="7"/>
  <c r="I86" i="7"/>
  <c r="I85" i="7"/>
  <c r="I81" i="7"/>
  <c r="I170" i="7"/>
  <c r="AH58" i="7"/>
  <c r="I166" i="7"/>
  <c r="I219" i="7"/>
  <c r="I222" i="7"/>
  <c r="I183" i="7"/>
  <c r="I239" i="7"/>
  <c r="AH12" i="7"/>
  <c r="I223" i="7"/>
  <c r="I225" i="7"/>
  <c r="AH213" i="7"/>
  <c r="I218" i="7"/>
  <c r="I215" i="7"/>
  <c r="I216" i="7"/>
  <c r="I110" i="7"/>
  <c r="I109" i="7"/>
  <c r="AH186" i="7"/>
  <c r="I189" i="7"/>
  <c r="I111" i="7"/>
  <c r="AH131" i="7"/>
  <c r="I136" i="7"/>
  <c r="I134" i="7"/>
  <c r="I135" i="7"/>
  <c r="AH227" i="7"/>
  <c r="I230" i="7"/>
  <c r="AH11" i="7" l="1"/>
  <c r="AH204" i="7"/>
  <c r="AH151" i="7"/>
  <c r="AH179" i="7"/>
  <c r="AH185" i="7"/>
  <c r="AH184" i="7" l="1"/>
  <c r="AH203" i="7"/>
  <c r="AH178" i="7"/>
  <c r="AH143" i="7"/>
  <c r="AH10" i="7"/>
  <c r="AH289" i="7" l="1"/>
  <c r="G10" i="7" s="1"/>
  <c r="G184" i="7" l="1"/>
  <c r="G271" i="7"/>
  <c r="G263" i="7"/>
  <c r="G260" i="7"/>
  <c r="G277" i="7"/>
  <c r="G268" i="7"/>
  <c r="G245" i="7"/>
  <c r="G261" i="7"/>
  <c r="G225" i="7"/>
  <c r="G223" i="7"/>
  <c r="G262" i="7"/>
  <c r="G150" i="7"/>
  <c r="G272" i="7"/>
  <c r="G243" i="7"/>
  <c r="G200" i="7"/>
  <c r="G148" i="7"/>
  <c r="G257" i="7"/>
  <c r="G168" i="7"/>
  <c r="G115" i="7"/>
  <c r="G113" i="7"/>
  <c r="G101" i="7"/>
  <c r="G159" i="7"/>
  <c r="G118" i="7"/>
  <c r="G51" i="7"/>
  <c r="G176" i="7"/>
  <c r="G136" i="7"/>
  <c r="G237" i="7"/>
  <c r="G83" i="7"/>
  <c r="G139" i="7"/>
  <c r="G64" i="7"/>
  <c r="G135" i="7"/>
  <c r="G63" i="7"/>
  <c r="G50" i="7"/>
  <c r="G26" i="7"/>
  <c r="G21" i="7"/>
  <c r="G18" i="7"/>
  <c r="G35" i="7"/>
  <c r="G36" i="7"/>
  <c r="G15" i="7"/>
  <c r="G102" i="7"/>
  <c r="G211" i="7"/>
  <c r="G209" i="7"/>
  <c r="G138" i="7"/>
  <c r="G127" i="7"/>
  <c r="G88" i="7"/>
  <c r="G157" i="7"/>
  <c r="G256" i="7"/>
  <c r="G71" i="7"/>
  <c r="G235" i="7"/>
  <c r="G32" i="7"/>
  <c r="G141" i="7"/>
  <c r="G13" i="7"/>
  <c r="G114" i="7"/>
  <c r="G163" i="7"/>
  <c r="G120" i="7"/>
  <c r="G104" i="7"/>
  <c r="G43" i="7"/>
  <c r="G147" i="7"/>
  <c r="G158" i="7"/>
  <c r="G142" i="7"/>
  <c r="G173" i="7"/>
  <c r="G287" i="7"/>
  <c r="G19" i="7"/>
  <c r="G42" i="7"/>
  <c r="G47" i="7"/>
  <c r="G134" i="7"/>
  <c r="G215" i="7"/>
  <c r="G253" i="7"/>
  <c r="G31" i="7"/>
  <c r="G156" i="7"/>
  <c r="G86" i="7"/>
  <c r="G77" i="7"/>
  <c r="G242" i="7"/>
  <c r="G76" i="7"/>
  <c r="G177" i="7"/>
  <c r="G193" i="7"/>
  <c r="G274" i="7"/>
  <c r="G160" i="7"/>
  <c r="G129" i="7"/>
  <c r="G202" i="7"/>
  <c r="G230" i="7"/>
  <c r="G167" i="7"/>
  <c r="G95" i="7"/>
  <c r="G45" i="7"/>
  <c r="G70" i="7"/>
  <c r="G175" i="7"/>
  <c r="G234" i="7"/>
  <c r="G208" i="7"/>
  <c r="G27" i="7"/>
  <c r="G73" i="7"/>
  <c r="G16" i="7"/>
  <c r="G85" i="7"/>
  <c r="G44" i="7"/>
  <c r="G14" i="7"/>
  <c r="G91" i="7"/>
  <c r="G81" i="7"/>
  <c r="G162" i="7"/>
  <c r="G110" i="7"/>
  <c r="G161" i="7"/>
  <c r="G130" i="7"/>
  <c r="G189" i="7"/>
  <c r="G267" i="7"/>
  <c r="G250" i="7"/>
  <c r="G281" i="7"/>
  <c r="G254" i="7"/>
  <c r="G28" i="7"/>
  <c r="G109" i="7"/>
  <c r="G273" i="7"/>
  <c r="G33" i="7"/>
  <c r="G23" i="7"/>
  <c r="G92" i="7"/>
  <c r="G49" i="7"/>
  <c r="G24" i="7"/>
  <c r="G75" i="7"/>
  <c r="G20" i="7"/>
  <c r="G191" i="7"/>
  <c r="G78" i="7"/>
  <c r="G112" i="7"/>
  <c r="G137" i="7"/>
  <c r="H137" i="7" s="1"/>
  <c r="G218" i="7"/>
  <c r="G279" i="7"/>
  <c r="G94" i="7"/>
  <c r="G216" i="7"/>
  <c r="G236" i="7"/>
  <c r="G284" i="7"/>
  <c r="G196" i="7"/>
  <c r="G285" i="7"/>
  <c r="G212" i="7"/>
  <c r="G38" i="7"/>
  <c r="G117" i="7"/>
  <c r="G17" i="7"/>
  <c r="G22" i="7"/>
  <c r="G249" i="7"/>
  <c r="G194" i="7"/>
  <c r="G269" i="7"/>
  <c r="G288" i="7"/>
  <c r="G286" i="7"/>
  <c r="G192" i="7"/>
  <c r="G199" i="7"/>
  <c r="G54" i="7"/>
  <c r="G224" i="7"/>
  <c r="G280" i="7"/>
  <c r="G201" i="7"/>
  <c r="G198" i="7"/>
  <c r="H198" i="7" s="1"/>
  <c r="G62" i="7"/>
  <c r="G123" i="7"/>
  <c r="G140" i="7"/>
  <c r="H140" i="7" s="1"/>
  <c r="G61" i="7"/>
  <c r="G133" i="7"/>
  <c r="G170" i="7"/>
  <c r="G29" i="7"/>
  <c r="G126" i="7"/>
  <c r="G283" i="7"/>
  <c r="G174" i="7"/>
  <c r="G182" i="7"/>
  <c r="G72" i="7"/>
  <c r="G66" i="7"/>
  <c r="G219" i="7"/>
  <c r="G93" i="7"/>
  <c r="G239" i="7"/>
  <c r="G48" i="7"/>
  <c r="G183" i="7"/>
  <c r="G221" i="7"/>
  <c r="G222" i="7"/>
  <c r="G210" i="7"/>
  <c r="G154" i="7"/>
  <c r="G165" i="7"/>
  <c r="G226" i="7"/>
  <c r="G270" i="7"/>
  <c r="G233" i="7"/>
  <c r="G60" i="7"/>
  <c r="G98" i="7"/>
  <c r="G255" i="7"/>
  <c r="G169" i="7"/>
  <c r="G278" i="7"/>
  <c r="G46" i="7"/>
  <c r="G30" i="7"/>
  <c r="G40" i="7"/>
  <c r="G37" i="7"/>
  <c r="G146" i="7"/>
  <c r="G90" i="7"/>
  <c r="G282" i="7"/>
  <c r="G190" i="7"/>
  <c r="G241" i="7"/>
  <c r="G84" i="7"/>
  <c r="G238" i="7"/>
  <c r="G105" i="7"/>
  <c r="G240" i="7"/>
  <c r="G155" i="7"/>
  <c r="G106" i="7"/>
  <c r="G25" i="7"/>
  <c r="G217" i="7"/>
  <c r="G195" i="7"/>
  <c r="G264" i="7"/>
  <c r="G220" i="7"/>
  <c r="G74" i="7"/>
  <c r="G57" i="7"/>
  <c r="G207" i="7"/>
  <c r="G244" i="7"/>
  <c r="G164" i="7"/>
  <c r="G166" i="7"/>
  <c r="G34" i="7"/>
  <c r="G116" i="7"/>
  <c r="H116" i="7" s="1"/>
  <c r="G41" i="7"/>
  <c r="G229" i="7"/>
  <c r="G87" i="7"/>
  <c r="G111" i="7"/>
  <c r="G149" i="7"/>
  <c r="G172" i="7"/>
  <c r="G82" i="7"/>
  <c r="G171" i="7"/>
  <c r="G188" i="7"/>
  <c r="G248" i="7"/>
  <c r="G107" i="7"/>
  <c r="G103" i="7"/>
  <c r="G128" i="7"/>
  <c r="G55" i="7"/>
  <c r="G100" i="7"/>
  <c r="G119" i="7"/>
  <c r="G69" i="7"/>
  <c r="G181" i="7"/>
  <c r="G197" i="7"/>
  <c r="G39" i="7"/>
  <c r="G276" i="7"/>
  <c r="G252" i="7"/>
  <c r="G65" i="7"/>
  <c r="G59" i="7"/>
  <c r="G247" i="7"/>
  <c r="G53" i="7"/>
  <c r="G97" i="7"/>
  <c r="G187" i="7"/>
  <c r="G68" i="7"/>
  <c r="G125" i="7"/>
  <c r="G80" i="7"/>
  <c r="G259" i="7"/>
  <c r="G145" i="7"/>
  <c r="H145" i="7" s="1"/>
  <c r="G153" i="7"/>
  <c r="G99" i="7"/>
  <c r="H99" i="7" s="1"/>
  <c r="G214" i="7"/>
  <c r="G228" i="7"/>
  <c r="G122" i="7"/>
  <c r="G89" i="7"/>
  <c r="H89" i="7" s="1"/>
  <c r="G108" i="7"/>
  <c r="G132" i="7"/>
  <c r="G206" i="7"/>
  <c r="G232" i="7"/>
  <c r="G266" i="7"/>
  <c r="G56" i="7"/>
  <c r="G275" i="7"/>
  <c r="H275" i="7" s="1"/>
  <c r="G131" i="7"/>
  <c r="H131" i="7" s="1"/>
  <c r="G246" i="7"/>
  <c r="H246" i="7" s="1"/>
  <c r="G79" i="7"/>
  <c r="H79" i="7" s="1"/>
  <c r="G12" i="7"/>
  <c r="H12" i="7" s="1"/>
  <c r="G152" i="7"/>
  <c r="H152" i="7" s="1"/>
  <c r="G213" i="7"/>
  <c r="H213" i="7" s="1"/>
  <c r="G265" i="7"/>
  <c r="H265" i="7" s="1"/>
  <c r="G231" i="7"/>
  <c r="H231" i="7" s="1"/>
  <c r="G144" i="7"/>
  <c r="G258" i="7"/>
  <c r="H258" i="7" s="1"/>
  <c r="G180" i="7"/>
  <c r="H180" i="7" s="1"/>
  <c r="G227" i="7"/>
  <c r="H227" i="7" s="1"/>
  <c r="G124" i="7"/>
  <c r="H124" i="7" s="1"/>
  <c r="G58" i="7"/>
  <c r="H58" i="7" s="1"/>
  <c r="G67" i="7"/>
  <c r="H67" i="7" s="1"/>
  <c r="G251" i="7"/>
  <c r="H251" i="7" s="1"/>
  <c r="G52" i="7"/>
  <c r="H52" i="7" s="1"/>
  <c r="G121" i="7"/>
  <c r="H121" i="7" s="1"/>
  <c r="G186" i="7"/>
  <c r="H186" i="7" s="1"/>
  <c r="G205" i="7"/>
  <c r="H205" i="7" s="1"/>
  <c r="G96" i="7"/>
  <c r="H96" i="7" s="1"/>
  <c r="G11" i="7"/>
  <c r="G185" i="7"/>
  <c r="G151" i="7"/>
  <c r="G204" i="7"/>
  <c r="G179" i="7"/>
  <c r="G203" i="7"/>
  <c r="G178" i="7"/>
  <c r="G143" i="7"/>
  <c r="H289" i="7" l="1"/>
  <c r="AI102" i="6" l="1"/>
  <c r="AH102" i="6" s="1"/>
  <c r="C102" i="6"/>
  <c r="AI101" i="6"/>
  <c r="AI100" i="6" s="1"/>
  <c r="AH101" i="6"/>
  <c r="C101" i="6"/>
  <c r="AL100" i="6"/>
  <c r="AG100" i="6"/>
  <c r="AF100" i="6"/>
  <c r="AE100" i="6"/>
  <c r="AA100" i="6"/>
  <c r="Z100" i="6"/>
  <c r="Y100" i="6"/>
  <c r="U100" i="6"/>
  <c r="T100" i="6"/>
  <c r="S100" i="6"/>
  <c r="O100" i="6"/>
  <c r="N100" i="6"/>
  <c r="M100" i="6"/>
  <c r="AL99" i="6"/>
  <c r="AI99" i="6"/>
  <c r="AH99" i="6" s="1"/>
  <c r="AG99" i="6"/>
  <c r="C99" i="6"/>
  <c r="AI98" i="6"/>
  <c r="AH98" i="6" s="1"/>
  <c r="C98" i="6"/>
  <c r="AL97" i="6"/>
  <c r="AH97" i="6" s="1"/>
  <c r="AI97" i="6"/>
  <c r="C97" i="6"/>
  <c r="AI96" i="6"/>
  <c r="AH96" i="6"/>
  <c r="C96" i="6"/>
  <c r="AL95" i="6"/>
  <c r="AL94" i="6" s="1"/>
  <c r="AL93" i="6" s="1"/>
  <c r="AI95" i="6"/>
  <c r="AA95" i="6"/>
  <c r="Z95" i="6"/>
  <c r="Y95" i="6"/>
  <c r="Y94" i="6" s="1"/>
  <c r="Y93" i="6" s="1"/>
  <c r="Y78" i="6" s="1"/>
  <c r="Y77" i="6" s="1"/>
  <c r="C95" i="6"/>
  <c r="AG94" i="6"/>
  <c r="AF94" i="6"/>
  <c r="AF93" i="6" s="1"/>
  <c r="AE94" i="6"/>
  <c r="AA94" i="6"/>
  <c r="Z94" i="6"/>
  <c r="U94" i="6"/>
  <c r="T94" i="6"/>
  <c r="S94" i="6"/>
  <c r="O94" i="6"/>
  <c r="N94" i="6"/>
  <c r="M94" i="6"/>
  <c r="AG93" i="6"/>
  <c r="AE93" i="6"/>
  <c r="AA93" i="6"/>
  <c r="Z93" i="6"/>
  <c r="U93" i="6"/>
  <c r="T93" i="6"/>
  <c r="S93" i="6"/>
  <c r="O93" i="6"/>
  <c r="N93" i="6"/>
  <c r="M93" i="6"/>
  <c r="AL92" i="6"/>
  <c r="AL90" i="6" s="1"/>
  <c r="AL89" i="6" s="1"/>
  <c r="AL78" i="6" s="1"/>
  <c r="AL77" i="6" s="1"/>
  <c r="AI92" i="6"/>
  <c r="AH92" i="6"/>
  <c r="C92" i="6"/>
  <c r="AL91" i="6"/>
  <c r="AI91" i="6"/>
  <c r="AH91" i="6" s="1"/>
  <c r="C91" i="6"/>
  <c r="AI90" i="6"/>
  <c r="AG90" i="6"/>
  <c r="AF90" i="6"/>
  <c r="AE90" i="6"/>
  <c r="AA90" i="6"/>
  <c r="Z90" i="6"/>
  <c r="Z89" i="6" s="1"/>
  <c r="Z78" i="6" s="1"/>
  <c r="Z77" i="6" s="1"/>
  <c r="Y90" i="6"/>
  <c r="U90" i="6"/>
  <c r="T90" i="6"/>
  <c r="S90" i="6"/>
  <c r="O90" i="6"/>
  <c r="N90" i="6"/>
  <c r="M90" i="6"/>
  <c r="AI89" i="6"/>
  <c r="AG89" i="6"/>
  <c r="AF89" i="6"/>
  <c r="AE89" i="6"/>
  <c r="AA89" i="6"/>
  <c r="Y89" i="6"/>
  <c r="U89" i="6"/>
  <c r="T89" i="6"/>
  <c r="S89" i="6"/>
  <c r="O89" i="6"/>
  <c r="N89" i="6"/>
  <c r="M89" i="6"/>
  <c r="AH88" i="6"/>
  <c r="I88" i="6" s="1"/>
  <c r="C88" i="6"/>
  <c r="AH87" i="6"/>
  <c r="I87" i="6" s="1"/>
  <c r="C87" i="6"/>
  <c r="AH86" i="6"/>
  <c r="I86" i="6" s="1"/>
  <c r="C86" i="6"/>
  <c r="AI85" i="6"/>
  <c r="AH85" i="6"/>
  <c r="C85" i="6"/>
  <c r="AI84" i="6"/>
  <c r="AH84" i="6"/>
  <c r="C84" i="6"/>
  <c r="AI83" i="6"/>
  <c r="AH83" i="6"/>
  <c r="C83" i="6"/>
  <c r="AI82" i="6"/>
  <c r="AH82" i="6"/>
  <c r="I82" i="6" s="1"/>
  <c r="C82" i="6"/>
  <c r="AI81" i="6"/>
  <c r="AI80" i="6" s="1"/>
  <c r="AI79" i="6" s="1"/>
  <c r="AH81" i="6"/>
  <c r="I81" i="6" s="1"/>
  <c r="C81" i="6"/>
  <c r="AH80" i="6"/>
  <c r="I83" i="6" s="1"/>
  <c r="AG80" i="6"/>
  <c r="AF80" i="6"/>
  <c r="AE80" i="6"/>
  <c r="AA80" i="6"/>
  <c r="Z80" i="6"/>
  <c r="Y80" i="6"/>
  <c r="U80" i="6"/>
  <c r="T80" i="6"/>
  <c r="T79" i="6" s="1"/>
  <c r="T78" i="6" s="1"/>
  <c r="T77" i="6" s="1"/>
  <c r="S80" i="6"/>
  <c r="O80" i="6"/>
  <c r="N80" i="6"/>
  <c r="M80" i="6"/>
  <c r="AL79" i="6"/>
  <c r="AG79" i="6"/>
  <c r="AF79" i="6"/>
  <c r="AF78" i="6" s="1"/>
  <c r="AF77" i="6" s="1"/>
  <c r="AE79" i="6"/>
  <c r="AE78" i="6" s="1"/>
  <c r="AE77" i="6" s="1"/>
  <c r="AA79" i="6"/>
  <c r="Z79" i="6"/>
  <c r="Y79" i="6"/>
  <c r="U79" i="6"/>
  <c r="S79" i="6"/>
  <c r="O79" i="6"/>
  <c r="O78" i="6" s="1"/>
  <c r="O77" i="6" s="1"/>
  <c r="N79" i="6"/>
  <c r="N78" i="6" s="1"/>
  <c r="N77" i="6" s="1"/>
  <c r="M79" i="6"/>
  <c r="AG78" i="6"/>
  <c r="AA78" i="6"/>
  <c r="U78" i="6"/>
  <c r="S78" i="6"/>
  <c r="M78" i="6"/>
  <c r="AG77" i="6"/>
  <c r="AA77" i="6"/>
  <c r="U77" i="6"/>
  <c r="S77" i="6"/>
  <c r="M77" i="6"/>
  <c r="AI76" i="6"/>
  <c r="AI75" i="6" s="1"/>
  <c r="AI74" i="6" s="1"/>
  <c r="AI73" i="6" s="1"/>
  <c r="AH76" i="6"/>
  <c r="AG76" i="6" s="1"/>
  <c r="AG75" i="6" s="1"/>
  <c r="AG74" i="6" s="1"/>
  <c r="AG73" i="6" s="1"/>
  <c r="AG63" i="6" s="1"/>
  <c r="C76" i="6"/>
  <c r="AL75" i="6"/>
  <c r="AF75" i="6"/>
  <c r="AE75" i="6"/>
  <c r="Z75" i="6"/>
  <c r="Y75" i="6"/>
  <c r="T75" i="6"/>
  <c r="S75" i="6"/>
  <c r="N75" i="6"/>
  <c r="M75" i="6"/>
  <c r="AL74" i="6"/>
  <c r="AL73" i="6" s="1"/>
  <c r="AF74" i="6"/>
  <c r="AE74" i="6"/>
  <c r="Z74" i="6"/>
  <c r="Y74" i="6"/>
  <c r="Y73" i="6" s="1"/>
  <c r="T74" i="6"/>
  <c r="T73" i="6" s="1"/>
  <c r="S74" i="6"/>
  <c r="S73" i="6" s="1"/>
  <c r="S63" i="6" s="1"/>
  <c r="N74" i="6"/>
  <c r="M74" i="6"/>
  <c r="AF73" i="6"/>
  <c r="AE73" i="6"/>
  <c r="Z73" i="6"/>
  <c r="N73" i="6"/>
  <c r="M73" i="6"/>
  <c r="AH72" i="6"/>
  <c r="AI72" i="6" s="1"/>
  <c r="AH71" i="6"/>
  <c r="AI71" i="6" s="1"/>
  <c r="AG71" i="6"/>
  <c r="AH70" i="6"/>
  <c r="AI70" i="6" s="1"/>
  <c r="AH69" i="6"/>
  <c r="AI69" i="6" s="1"/>
  <c r="AE69" i="6"/>
  <c r="AH68" i="6"/>
  <c r="AL68" i="6" s="1"/>
  <c r="AL66" i="6" s="1"/>
  <c r="AL65" i="6" s="1"/>
  <c r="AL64" i="6" s="1"/>
  <c r="AL63" i="6" s="1"/>
  <c r="AH67" i="6"/>
  <c r="AL67" i="6" s="1"/>
  <c r="AH66" i="6"/>
  <c r="AG66" i="6"/>
  <c r="AF66" i="6"/>
  <c r="AE66" i="6"/>
  <c r="AA66" i="6"/>
  <c r="Z66" i="6"/>
  <c r="Y66" i="6"/>
  <c r="Y65" i="6" s="1"/>
  <c r="Y64" i="6" s="1"/>
  <c r="Y63" i="6" s="1"/>
  <c r="U66" i="6"/>
  <c r="T66" i="6"/>
  <c r="S66" i="6"/>
  <c r="O66" i="6"/>
  <c r="N66" i="6"/>
  <c r="M66" i="6"/>
  <c r="AH65" i="6"/>
  <c r="AH64" i="6" s="1"/>
  <c r="AG65" i="6"/>
  <c r="AF65" i="6"/>
  <c r="AE65" i="6"/>
  <c r="AA65" i="6"/>
  <c r="Z65" i="6"/>
  <c r="U65" i="6"/>
  <c r="T65" i="6"/>
  <c r="T64" i="6" s="1"/>
  <c r="T63" i="6" s="1"/>
  <c r="S65" i="6"/>
  <c r="O65" i="6"/>
  <c r="N65" i="6"/>
  <c r="M65" i="6"/>
  <c r="AG64" i="6"/>
  <c r="AF64" i="6"/>
  <c r="AE64" i="6"/>
  <c r="AA64" i="6"/>
  <c r="Z64" i="6"/>
  <c r="U64" i="6"/>
  <c r="S64" i="6"/>
  <c r="O64" i="6"/>
  <c r="N64" i="6"/>
  <c r="M64" i="6"/>
  <c r="AF63" i="6"/>
  <c r="AE63" i="6"/>
  <c r="Z63" i="6"/>
  <c r="N63" i="6"/>
  <c r="M63" i="6"/>
  <c r="AH62" i="6"/>
  <c r="AI62" i="6" s="1"/>
  <c r="AI61" i="6" s="1"/>
  <c r="AI60" i="6" s="1"/>
  <c r="AI59" i="6" s="1"/>
  <c r="AI58" i="6" s="1"/>
  <c r="C62" i="6"/>
  <c r="AG61" i="6"/>
  <c r="AG60" i="6" s="1"/>
  <c r="AG59" i="6" s="1"/>
  <c r="AG58" i="6" s="1"/>
  <c r="AF61" i="6"/>
  <c r="AE61" i="6"/>
  <c r="AA61" i="6"/>
  <c r="Z61" i="6"/>
  <c r="Z60" i="6" s="1"/>
  <c r="Z59" i="6" s="1"/>
  <c r="Z58" i="6" s="1"/>
  <c r="Y61" i="6"/>
  <c r="U61" i="6"/>
  <c r="T61" i="6"/>
  <c r="S61" i="6"/>
  <c r="S60" i="6" s="1"/>
  <c r="S59" i="6" s="1"/>
  <c r="S58" i="6" s="1"/>
  <c r="O61" i="6"/>
  <c r="N61" i="6"/>
  <c r="M61" i="6"/>
  <c r="AF60" i="6"/>
  <c r="AF59" i="6" s="1"/>
  <c r="AF58" i="6" s="1"/>
  <c r="AE60" i="6"/>
  <c r="AA60" i="6"/>
  <c r="Y60" i="6"/>
  <c r="U60" i="6"/>
  <c r="T60" i="6"/>
  <c r="O60" i="6"/>
  <c r="O59" i="6" s="1"/>
  <c r="O58" i="6" s="1"/>
  <c r="N60" i="6"/>
  <c r="M60" i="6"/>
  <c r="AE59" i="6"/>
  <c r="AA59" i="6"/>
  <c r="Y59" i="6"/>
  <c r="U59" i="6"/>
  <c r="T59" i="6"/>
  <c r="N59" i="6"/>
  <c r="M59" i="6"/>
  <c r="AE58" i="6"/>
  <c r="AA58" i="6"/>
  <c r="Y58" i="6"/>
  <c r="U58" i="6"/>
  <c r="T58" i="6"/>
  <c r="N58" i="6"/>
  <c r="M58" i="6"/>
  <c r="AI57" i="6"/>
  <c r="AH57" i="6"/>
  <c r="AH56" i="6" s="1"/>
  <c r="C57" i="6"/>
  <c r="AI56" i="6"/>
  <c r="AI55" i="6" s="1"/>
  <c r="AI54" i="6" s="1"/>
  <c r="AI47" i="6" s="1"/>
  <c r="AG56" i="6"/>
  <c r="AF56" i="6"/>
  <c r="AE56" i="6"/>
  <c r="AA56" i="6"/>
  <c r="Z56" i="6"/>
  <c r="Y56" i="6"/>
  <c r="U56" i="6"/>
  <c r="T56" i="6"/>
  <c r="S56" i="6"/>
  <c r="O56" i="6"/>
  <c r="N56" i="6"/>
  <c r="M56" i="6"/>
  <c r="AG54" i="6"/>
  <c r="AF54" i="6"/>
  <c r="AE54" i="6"/>
  <c r="AA54" i="6"/>
  <c r="Z54" i="6"/>
  <c r="Y54" i="6"/>
  <c r="U54" i="6"/>
  <c r="T54" i="6"/>
  <c r="S54" i="6"/>
  <c r="O54" i="6"/>
  <c r="N54" i="6"/>
  <c r="M54" i="6"/>
  <c r="AK53" i="6"/>
  <c r="AH53" i="6"/>
  <c r="AH52" i="6" s="1"/>
  <c r="U53" i="6"/>
  <c r="C53" i="6"/>
  <c r="AK52" i="6"/>
  <c r="AK49" i="6" s="1"/>
  <c r="AK48" i="6" s="1"/>
  <c r="AK47" i="6" s="1"/>
  <c r="AK103" i="6" s="1"/>
  <c r="AG52" i="6"/>
  <c r="AF52" i="6"/>
  <c r="AE52" i="6"/>
  <c r="AA52" i="6"/>
  <c r="Z52" i="6"/>
  <c r="Y52" i="6"/>
  <c r="U52" i="6"/>
  <c r="U49" i="6" s="1"/>
  <c r="U48" i="6" s="1"/>
  <c r="U47" i="6" s="1"/>
  <c r="T52" i="6"/>
  <c r="S52" i="6"/>
  <c r="O52" i="6"/>
  <c r="N52" i="6"/>
  <c r="M52" i="6"/>
  <c r="AK51" i="6"/>
  <c r="AH51" i="6"/>
  <c r="C51" i="6"/>
  <c r="AK50" i="6"/>
  <c r="AG50" i="6"/>
  <c r="AF50" i="6"/>
  <c r="AE50" i="6"/>
  <c r="AE49" i="6" s="1"/>
  <c r="AE48" i="6" s="1"/>
  <c r="AE47" i="6" s="1"/>
  <c r="AA50" i="6"/>
  <c r="Z50" i="6"/>
  <c r="Y50" i="6"/>
  <c r="Y49" i="6" s="1"/>
  <c r="Y48" i="6" s="1"/>
  <c r="Y47" i="6" s="1"/>
  <c r="U50" i="6"/>
  <c r="T50" i="6"/>
  <c r="S50" i="6"/>
  <c r="O50" i="6"/>
  <c r="N50" i="6"/>
  <c r="N49" i="6" s="1"/>
  <c r="N48" i="6" s="1"/>
  <c r="N47" i="6" s="1"/>
  <c r="M50" i="6"/>
  <c r="AG49" i="6"/>
  <c r="AF49" i="6"/>
  <c r="AA49" i="6"/>
  <c r="AA48" i="6" s="1"/>
  <c r="AA47" i="6" s="1"/>
  <c r="Z49" i="6"/>
  <c r="T49" i="6"/>
  <c r="S49" i="6"/>
  <c r="O49" i="6"/>
  <c r="M49" i="6"/>
  <c r="M48" i="6" s="1"/>
  <c r="M47" i="6" s="1"/>
  <c r="M103" i="6" s="1"/>
  <c r="AG48" i="6"/>
  <c r="AF48" i="6"/>
  <c r="Z48" i="6"/>
  <c r="T48" i="6"/>
  <c r="S48" i="6"/>
  <c r="O48" i="6"/>
  <c r="AG47" i="6"/>
  <c r="AF47" i="6"/>
  <c r="Z47" i="6"/>
  <c r="T47" i="6"/>
  <c r="S47" i="6"/>
  <c r="O47" i="6"/>
  <c r="I46" i="6"/>
  <c r="C46" i="6"/>
  <c r="AI45" i="6"/>
  <c r="AH45" i="6"/>
  <c r="AG45" i="6"/>
  <c r="AF45" i="6"/>
  <c r="AF38" i="6" s="1"/>
  <c r="AE45" i="6"/>
  <c r="T45" i="6"/>
  <c r="O45" i="6"/>
  <c r="N45" i="6"/>
  <c r="M45" i="6"/>
  <c r="AI44" i="6"/>
  <c r="AH44" i="6"/>
  <c r="AG44" i="6" s="1"/>
  <c r="AG41" i="6" s="1"/>
  <c r="AG38" i="6" s="1"/>
  <c r="C44" i="6"/>
  <c r="C43" i="6"/>
  <c r="C42" i="6"/>
  <c r="AI41" i="6"/>
  <c r="AF41" i="6"/>
  <c r="AE41" i="6"/>
  <c r="Z41" i="6"/>
  <c r="Y41" i="6"/>
  <c r="T41" i="6"/>
  <c r="S41" i="6"/>
  <c r="S38" i="6" s="1"/>
  <c r="N41" i="6"/>
  <c r="M41" i="6"/>
  <c r="AI40" i="6"/>
  <c r="AI39" i="6" s="1"/>
  <c r="AI38" i="6" s="1"/>
  <c r="C40" i="6"/>
  <c r="AG39" i="6"/>
  <c r="AF39" i="6"/>
  <c r="AA39" i="6"/>
  <c r="Z39" i="6"/>
  <c r="Y39" i="6"/>
  <c r="Y38" i="6" s="1"/>
  <c r="U39" i="6"/>
  <c r="T39" i="6"/>
  <c r="S39" i="6"/>
  <c r="O39" i="6"/>
  <c r="N39" i="6"/>
  <c r="M39" i="6"/>
  <c r="M38" i="6" s="1"/>
  <c r="M11" i="6" s="1"/>
  <c r="M10" i="6" s="1"/>
  <c r="Z38" i="6"/>
  <c r="T38" i="6"/>
  <c r="N38" i="6"/>
  <c r="C37" i="6"/>
  <c r="AF37" i="6" s="1"/>
  <c r="AF34" i="6" s="1"/>
  <c r="AF33" i="6" s="1"/>
  <c r="C36" i="6"/>
  <c r="AH35" i="6"/>
  <c r="I35" i="6" s="1"/>
  <c r="C35" i="6"/>
  <c r="AI34" i="6"/>
  <c r="AH34" i="6"/>
  <c r="I37" i="6" s="1"/>
  <c r="AG34" i="6"/>
  <c r="AE34" i="6"/>
  <c r="AA34" i="6"/>
  <c r="Z34" i="6"/>
  <c r="Y34" i="6"/>
  <c r="U34" i="6"/>
  <c r="T34" i="6"/>
  <c r="S34" i="6"/>
  <c r="O34" i="6"/>
  <c r="O33" i="6" s="1"/>
  <c r="N34" i="6"/>
  <c r="M34" i="6"/>
  <c r="AI33" i="6"/>
  <c r="AH33" i="6"/>
  <c r="AG33" i="6"/>
  <c r="Z33" i="6"/>
  <c r="Y33" i="6"/>
  <c r="U33" i="6"/>
  <c r="T33" i="6"/>
  <c r="S33" i="6"/>
  <c r="AI32" i="6"/>
  <c r="AH32" i="6" s="1"/>
  <c r="C32" i="6"/>
  <c r="AG31" i="6"/>
  <c r="AF31" i="6"/>
  <c r="AE31" i="6"/>
  <c r="AA31" i="6"/>
  <c r="Z31" i="6"/>
  <c r="Y31" i="6"/>
  <c r="U31" i="6"/>
  <c r="T31" i="6"/>
  <c r="S31" i="6"/>
  <c r="O31" i="6"/>
  <c r="N31" i="6"/>
  <c r="M31" i="6"/>
  <c r="AI30" i="6"/>
  <c r="AH30" i="6" s="1"/>
  <c r="C30" i="6"/>
  <c r="AI29" i="6"/>
  <c r="AH29" i="6" s="1"/>
  <c r="C29" i="6"/>
  <c r="AG28" i="6"/>
  <c r="AG22" i="6" s="1"/>
  <c r="AG11" i="6" s="1"/>
  <c r="AG10" i="6" s="1"/>
  <c r="AF28" i="6"/>
  <c r="AE28" i="6"/>
  <c r="Y28" i="6"/>
  <c r="M28" i="6"/>
  <c r="AL27" i="6"/>
  <c r="AI27" i="6"/>
  <c r="C27" i="6"/>
  <c r="AI26" i="6"/>
  <c r="AH26" i="6"/>
  <c r="AE26" i="6" s="1"/>
  <c r="AE25" i="6" s="1"/>
  <c r="AE22" i="6" s="1"/>
  <c r="C26" i="6"/>
  <c r="AL25" i="6"/>
  <c r="AI25" i="6"/>
  <c r="AH25" i="6"/>
  <c r="I27" i="6" s="1"/>
  <c r="AG25" i="6"/>
  <c r="AF25" i="6"/>
  <c r="AA25" i="6"/>
  <c r="Z25" i="6"/>
  <c r="Y25" i="6"/>
  <c r="U25" i="6"/>
  <c r="T25" i="6"/>
  <c r="O25" i="6"/>
  <c r="N25" i="6"/>
  <c r="M25" i="6"/>
  <c r="AH24" i="6"/>
  <c r="C24" i="6"/>
  <c r="AI23" i="6"/>
  <c r="AG23" i="6"/>
  <c r="AF23" i="6"/>
  <c r="AE23" i="6"/>
  <c r="AA23" i="6"/>
  <c r="Z23" i="6"/>
  <c r="Y23" i="6"/>
  <c r="U23" i="6"/>
  <c r="T23" i="6"/>
  <c r="S23" i="6"/>
  <c r="O23" i="6"/>
  <c r="N23" i="6"/>
  <c r="M23" i="6"/>
  <c r="AL22" i="6"/>
  <c r="AF22" i="6"/>
  <c r="Y22" i="6"/>
  <c r="M22" i="6"/>
  <c r="AI21" i="6"/>
  <c r="AH21" i="6" s="1"/>
  <c r="C21" i="6"/>
  <c r="C20" i="6"/>
  <c r="AI19" i="6"/>
  <c r="AG19" i="6"/>
  <c r="AE19" i="6"/>
  <c r="Z19" i="6"/>
  <c r="Y19" i="6"/>
  <c r="Y12" i="6" s="1"/>
  <c r="T19" i="6"/>
  <c r="S19" i="6"/>
  <c r="N19" i="6"/>
  <c r="M19" i="6"/>
  <c r="AI18" i="6"/>
  <c r="AH18" i="6"/>
  <c r="C18" i="6"/>
  <c r="AI17" i="6"/>
  <c r="AI16" i="6" s="1"/>
  <c r="AI12" i="6" s="1"/>
  <c r="AH17" i="6"/>
  <c r="C17" i="6"/>
  <c r="AG16" i="6"/>
  <c r="AF16" i="6"/>
  <c r="AE16" i="6"/>
  <c r="AA16" i="6"/>
  <c r="Z16" i="6"/>
  <c r="Z12" i="6" s="1"/>
  <c r="Y16" i="6"/>
  <c r="U16" i="6"/>
  <c r="T16" i="6"/>
  <c r="S16" i="6"/>
  <c r="O16" i="6"/>
  <c r="N16" i="6"/>
  <c r="M16" i="6"/>
  <c r="AI15" i="6"/>
  <c r="AH15" i="6" s="1"/>
  <c r="C15" i="6"/>
  <c r="AI14" i="6"/>
  <c r="AH14" i="6"/>
  <c r="O14" i="6"/>
  <c r="O13" i="6" s="1"/>
  <c r="N14" i="6"/>
  <c r="C14" i="6"/>
  <c r="AI13" i="6"/>
  <c r="AG13" i="6"/>
  <c r="AF13" i="6"/>
  <c r="AE13" i="6"/>
  <c r="AA13" i="6"/>
  <c r="Z13" i="6"/>
  <c r="Y13" i="6"/>
  <c r="U13" i="6"/>
  <c r="T13" i="6"/>
  <c r="S13" i="6"/>
  <c r="N13" i="6"/>
  <c r="M13" i="6"/>
  <c r="AG12" i="6"/>
  <c r="AE12" i="6"/>
  <c r="T12" i="6"/>
  <c r="S12" i="6"/>
  <c r="N12" i="6"/>
  <c r="M12" i="6"/>
  <c r="AN11" i="6"/>
  <c r="AM11" i="6"/>
  <c r="AL11" i="6"/>
  <c r="AK11" i="6"/>
  <c r="AJ11" i="6"/>
  <c r="AJ10" i="6" s="1"/>
  <c r="AN10" i="6"/>
  <c r="AM10" i="6"/>
  <c r="AL10" i="6"/>
  <c r="AK10" i="6"/>
  <c r="I17" i="6" l="1"/>
  <c r="AF12" i="6"/>
  <c r="AF11" i="6" s="1"/>
  <c r="AF10" i="6" s="1"/>
  <c r="AF103" i="6" s="1"/>
  <c r="Y11" i="6"/>
  <c r="Y10" i="6" s="1"/>
  <c r="AI65" i="6"/>
  <c r="AI64" i="6" s="1"/>
  <c r="AI63" i="6" s="1"/>
  <c r="AH13" i="6"/>
  <c r="I15" i="6" s="1"/>
  <c r="Z22" i="6"/>
  <c r="Z11" i="6" s="1"/>
  <c r="Z10" i="6" s="1"/>
  <c r="Z103" i="6" s="1"/>
  <c r="I51" i="6"/>
  <c r="AH90" i="6"/>
  <c r="I91" i="6"/>
  <c r="T30" i="6"/>
  <c r="S30" i="6"/>
  <c r="S28" i="6" s="1"/>
  <c r="O30" i="6"/>
  <c r="O28" i="6" s="1"/>
  <c r="O22" i="6" s="1"/>
  <c r="N30" i="6"/>
  <c r="N28" i="6" s="1"/>
  <c r="N22" i="6" s="1"/>
  <c r="N11" i="6" s="1"/>
  <c r="N10" i="6" s="1"/>
  <c r="N103" i="6" s="1"/>
  <c r="I30" i="6"/>
  <c r="AA30" i="6"/>
  <c r="AA28" i="6" s="1"/>
  <c r="AA22" i="6" s="1"/>
  <c r="Z30" i="6"/>
  <c r="Z28" i="6" s="1"/>
  <c r="U30" i="6"/>
  <c r="U28" i="6" s="1"/>
  <c r="U22" i="6" s="1"/>
  <c r="AG103" i="6"/>
  <c r="T29" i="6"/>
  <c r="T28" i="6" s="1"/>
  <c r="T22" i="6" s="1"/>
  <c r="T11" i="6" s="1"/>
  <c r="T10" i="6" s="1"/>
  <c r="T103" i="6" s="1"/>
  <c r="AH28" i="6"/>
  <c r="AI78" i="6"/>
  <c r="AI77" i="6" s="1"/>
  <c r="U21" i="6"/>
  <c r="U19" i="6" s="1"/>
  <c r="U12" i="6" s="1"/>
  <c r="O21" i="6"/>
  <c r="O19" i="6" s="1"/>
  <c r="AH19" i="6"/>
  <c r="I21" i="6"/>
  <c r="AA21" i="6"/>
  <c r="AA19" i="6" s="1"/>
  <c r="AA12" i="6" s="1"/>
  <c r="AF21" i="6"/>
  <c r="AF19" i="6" s="1"/>
  <c r="I32" i="6"/>
  <c r="AH31" i="6"/>
  <c r="O12" i="6"/>
  <c r="Y103" i="6"/>
  <c r="AL103" i="6"/>
  <c r="AH55" i="6"/>
  <c r="I85" i="6"/>
  <c r="AH41" i="6"/>
  <c r="AH61" i="6"/>
  <c r="I67" i="6"/>
  <c r="AH23" i="6"/>
  <c r="I26" i="6"/>
  <c r="AI28" i="6"/>
  <c r="AI22" i="6" s="1"/>
  <c r="AI11" i="6" s="1"/>
  <c r="AI10" i="6" s="1"/>
  <c r="I36" i="6"/>
  <c r="AH40" i="6"/>
  <c r="AH100" i="6"/>
  <c r="AH79" i="6"/>
  <c r="S26" i="6"/>
  <c r="S25" i="6" s="1"/>
  <c r="S22" i="6" s="1"/>
  <c r="S11" i="6" s="1"/>
  <c r="S10" i="6" s="1"/>
  <c r="S103" i="6" s="1"/>
  <c r="AI31" i="6"/>
  <c r="I44" i="6"/>
  <c r="AH50" i="6"/>
  <c r="I53" i="6"/>
  <c r="I57" i="6"/>
  <c r="I84" i="6"/>
  <c r="AI94" i="6"/>
  <c r="AI93" i="6" s="1"/>
  <c r="AH95" i="6"/>
  <c r="O44" i="6"/>
  <c r="O41" i="6" s="1"/>
  <c r="O38" i="6" s="1"/>
  <c r="O76" i="6"/>
  <c r="O75" i="6" s="1"/>
  <c r="O74" i="6" s="1"/>
  <c r="O73" i="6" s="1"/>
  <c r="O63" i="6" s="1"/>
  <c r="AH16" i="6"/>
  <c r="U44" i="6"/>
  <c r="U41" i="6" s="1"/>
  <c r="U38" i="6" s="1"/>
  <c r="I62" i="6"/>
  <c r="I68" i="6"/>
  <c r="I70" i="6"/>
  <c r="I72" i="6"/>
  <c r="U76" i="6"/>
  <c r="U75" i="6" s="1"/>
  <c r="U74" i="6" s="1"/>
  <c r="U73" i="6" s="1"/>
  <c r="U63" i="6" s="1"/>
  <c r="AA44" i="6"/>
  <c r="AA41" i="6" s="1"/>
  <c r="AA38" i="6" s="1"/>
  <c r="AH75" i="6"/>
  <c r="AA76" i="6"/>
  <c r="AA75" i="6" s="1"/>
  <c r="AA74" i="6" s="1"/>
  <c r="AA73" i="6" s="1"/>
  <c r="AA63" i="6" s="1"/>
  <c r="U103" i="6" l="1"/>
  <c r="AA11" i="6"/>
  <c r="AA10" i="6" s="1"/>
  <c r="AA103" i="6" s="1"/>
  <c r="AH22" i="6"/>
  <c r="AH89" i="6"/>
  <c r="I92" i="6"/>
  <c r="I20" i="6"/>
  <c r="I102" i="6"/>
  <c r="AH94" i="6"/>
  <c r="I95" i="6" s="1"/>
  <c r="AH49" i="6"/>
  <c r="AH60" i="6"/>
  <c r="O11" i="6"/>
  <c r="O10" i="6" s="1"/>
  <c r="O103" i="6" s="1"/>
  <c r="I24" i="6"/>
  <c r="I14" i="6"/>
  <c r="AH12" i="6"/>
  <c r="AI103" i="6"/>
  <c r="I43" i="6"/>
  <c r="I42" i="6"/>
  <c r="I18" i="6"/>
  <c r="U11" i="6"/>
  <c r="U10" i="6" s="1"/>
  <c r="AH74" i="6"/>
  <c r="AH54" i="6"/>
  <c r="I76" i="6"/>
  <c r="AH39" i="6"/>
  <c r="AE40" i="6"/>
  <c r="AE39" i="6" s="1"/>
  <c r="AE38" i="6" s="1"/>
  <c r="AE11" i="6" s="1"/>
  <c r="AE10" i="6" s="1"/>
  <c r="AE103" i="6" s="1"/>
  <c r="I40" i="6"/>
  <c r="I101" i="6"/>
  <c r="I29" i="6"/>
  <c r="AH38" i="6" l="1"/>
  <c r="AH59" i="6"/>
  <c r="AH48" i="6"/>
  <c r="AH73" i="6"/>
  <c r="I96" i="6"/>
  <c r="AH93" i="6"/>
  <c r="I98" i="6"/>
  <c r="I99" i="6"/>
  <c r="I97" i="6"/>
  <c r="AH47" i="6" l="1"/>
  <c r="AH78" i="6"/>
  <c r="AH58" i="6"/>
  <c r="AH11" i="6"/>
  <c r="AH63" i="6"/>
  <c r="AH10" i="6" l="1"/>
  <c r="AH77" i="6"/>
  <c r="AH103" i="6" l="1"/>
  <c r="G77" i="6" s="1"/>
  <c r="AK3" i="6"/>
  <c r="G10" i="6" l="1"/>
  <c r="G43" i="6"/>
  <c r="G69" i="6"/>
  <c r="G83" i="6"/>
  <c r="G46" i="6"/>
  <c r="G34" i="6"/>
  <c r="G17" i="6"/>
  <c r="G62" i="6"/>
  <c r="G42" i="6"/>
  <c r="G37" i="6"/>
  <c r="G87" i="6"/>
  <c r="G71" i="6"/>
  <c r="G82" i="6"/>
  <c r="G67" i="6"/>
  <c r="G45" i="6"/>
  <c r="G25" i="6"/>
  <c r="G36" i="6"/>
  <c r="G33" i="6"/>
  <c r="H33" i="6" s="1"/>
  <c r="G20" i="6"/>
  <c r="G65" i="6"/>
  <c r="H65" i="6" s="1"/>
  <c r="G27" i="6"/>
  <c r="G64" i="6"/>
  <c r="G30" i="6"/>
  <c r="G32" i="6"/>
  <c r="G81" i="6"/>
  <c r="G85" i="6"/>
  <c r="G98" i="6"/>
  <c r="G29" i="6"/>
  <c r="G26" i="6"/>
  <c r="G86" i="6"/>
  <c r="G101" i="6"/>
  <c r="G96" i="6"/>
  <c r="G80" i="6"/>
  <c r="G72" i="6"/>
  <c r="G44" i="6"/>
  <c r="G88" i="6"/>
  <c r="G15" i="6"/>
  <c r="G52" i="6"/>
  <c r="G57" i="6"/>
  <c r="G14" i="6"/>
  <c r="G84" i="6"/>
  <c r="G76" i="6"/>
  <c r="G68" i="6"/>
  <c r="G70" i="6"/>
  <c r="G51" i="6"/>
  <c r="G97" i="6"/>
  <c r="G66" i="6"/>
  <c r="G53" i="6"/>
  <c r="G18" i="6"/>
  <c r="G102" i="6"/>
  <c r="G24" i="6"/>
  <c r="G92" i="6"/>
  <c r="G21" i="6"/>
  <c r="G56" i="6"/>
  <c r="G35" i="6"/>
  <c r="G91" i="6"/>
  <c r="G99" i="6"/>
  <c r="G23" i="6"/>
  <c r="G16" i="6"/>
  <c r="G55" i="6"/>
  <c r="H55" i="6" s="1"/>
  <c r="G95" i="6"/>
  <c r="G40" i="6"/>
  <c r="G13" i="6"/>
  <c r="G100" i="6"/>
  <c r="G41" i="6"/>
  <c r="G90" i="6"/>
  <c r="G79" i="6"/>
  <c r="H79" i="6" s="1"/>
  <c r="G28" i="6"/>
  <c r="G19" i="6"/>
  <c r="G61" i="6"/>
  <c r="G75" i="6"/>
  <c r="G31" i="6"/>
  <c r="G50" i="6"/>
  <c r="G60" i="6"/>
  <c r="H60" i="6" s="1"/>
  <c r="G54" i="6"/>
  <c r="G94" i="6"/>
  <c r="G12" i="6"/>
  <c r="H12" i="6" s="1"/>
  <c r="G49" i="6"/>
  <c r="H49" i="6" s="1"/>
  <c r="G39" i="6"/>
  <c r="G22" i="6"/>
  <c r="H22" i="6" s="1"/>
  <c r="G74" i="6"/>
  <c r="H74" i="6" s="1"/>
  <c r="G89" i="6"/>
  <c r="H89" i="6" s="1"/>
  <c r="G93" i="6"/>
  <c r="H93" i="6" s="1"/>
  <c r="G73" i="6"/>
  <c r="G59" i="6"/>
  <c r="G48" i="6"/>
  <c r="G38" i="6"/>
  <c r="H38" i="6" s="1"/>
  <c r="G11" i="6"/>
  <c r="G58" i="6"/>
  <c r="G63" i="6"/>
  <c r="G78" i="6"/>
  <c r="G47" i="6"/>
  <c r="H103" i="6" l="1"/>
  <c r="AI152" i="5" l="1"/>
  <c r="AH152" i="5"/>
  <c r="AG152" i="5"/>
  <c r="C152" i="5"/>
  <c r="AH151" i="5"/>
  <c r="AI151" i="5" s="1"/>
  <c r="AG151" i="5"/>
  <c r="C151" i="5"/>
  <c r="AI150" i="5"/>
  <c r="AH150" i="5"/>
  <c r="AG150" i="5"/>
  <c r="C150" i="5"/>
  <c r="AH149" i="5"/>
  <c r="AI149" i="5" s="1"/>
  <c r="AG149" i="5"/>
  <c r="C149" i="5"/>
  <c r="AI148" i="5"/>
  <c r="AH148" i="5"/>
  <c r="AG148" i="5"/>
  <c r="C148" i="5"/>
  <c r="AH147" i="5"/>
  <c r="AI147" i="5" s="1"/>
  <c r="AG147" i="5"/>
  <c r="AG146" i="5" s="1"/>
  <c r="C147" i="5"/>
  <c r="AH144" i="5"/>
  <c r="AI144" i="5" s="1"/>
  <c r="C144" i="5"/>
  <c r="AI143" i="5"/>
  <c r="AH143" i="5"/>
  <c r="C143" i="5"/>
  <c r="AH142" i="5"/>
  <c r="AI142" i="5" s="1"/>
  <c r="C142" i="5"/>
  <c r="AF141" i="5"/>
  <c r="AF131" i="5" s="1"/>
  <c r="AF130" i="5" s="1"/>
  <c r="AA141" i="5"/>
  <c r="U141" i="5"/>
  <c r="O141" i="5"/>
  <c r="O131" i="5" s="1"/>
  <c r="O130" i="5" s="1"/>
  <c r="C141" i="5"/>
  <c r="AI140" i="5"/>
  <c r="AH140" i="5"/>
  <c r="C140" i="5"/>
  <c r="AH139" i="5"/>
  <c r="AI139" i="5" s="1"/>
  <c r="C139" i="5"/>
  <c r="AH138" i="5"/>
  <c r="AI138" i="5" s="1"/>
  <c r="C138" i="5"/>
  <c r="AH137" i="5"/>
  <c r="AI137" i="5" s="1"/>
  <c r="C137" i="5"/>
  <c r="AH136" i="5"/>
  <c r="AI136" i="5" s="1"/>
  <c r="C136" i="5"/>
  <c r="AH135" i="5"/>
  <c r="AF135" i="5"/>
  <c r="C135" i="5"/>
  <c r="AH134" i="5"/>
  <c r="AI134" i="5" s="1"/>
  <c r="C134" i="5"/>
  <c r="AI133" i="5"/>
  <c r="AH133" i="5"/>
  <c r="C133" i="5"/>
  <c r="AH132" i="5"/>
  <c r="AI132" i="5" s="1"/>
  <c r="C132" i="5"/>
  <c r="AG131" i="5"/>
  <c r="AE131" i="5"/>
  <c r="AA131" i="5"/>
  <c r="AA130" i="5" s="1"/>
  <c r="Z131" i="5"/>
  <c r="Z130" i="5" s="1"/>
  <c r="Y131" i="5"/>
  <c r="Y130" i="5" s="1"/>
  <c r="U131" i="5"/>
  <c r="U130" i="5" s="1"/>
  <c r="U114" i="5" s="1"/>
  <c r="U113" i="5" s="1"/>
  <c r="T131" i="5"/>
  <c r="S131" i="5"/>
  <c r="N131" i="5"/>
  <c r="M131" i="5"/>
  <c r="M130" i="5" s="1"/>
  <c r="AG130" i="5"/>
  <c r="AE130" i="5"/>
  <c r="T130" i="5"/>
  <c r="S130" i="5"/>
  <c r="N130" i="5"/>
  <c r="AH129" i="5"/>
  <c r="AI129" i="5" s="1"/>
  <c r="C129" i="5"/>
  <c r="AH128" i="5"/>
  <c r="AI128" i="5" s="1"/>
  <c r="AA128" i="5"/>
  <c r="C128" i="5"/>
  <c r="AH127" i="5"/>
  <c r="AI127" i="5" s="1"/>
  <c r="C127" i="5"/>
  <c r="Y126" i="5"/>
  <c r="AH126" i="5" s="1"/>
  <c r="AI126" i="5" s="1"/>
  <c r="C126" i="5"/>
  <c r="AG125" i="5"/>
  <c r="AF125" i="5"/>
  <c r="AF124" i="5" s="1"/>
  <c r="AE125" i="5"/>
  <c r="AE124" i="5" s="1"/>
  <c r="AA125" i="5"/>
  <c r="AA124" i="5" s="1"/>
  <c r="Z125" i="5"/>
  <c r="Z124" i="5" s="1"/>
  <c r="U125" i="5"/>
  <c r="T125" i="5"/>
  <c r="S125" i="5"/>
  <c r="O125" i="5"/>
  <c r="O124" i="5" s="1"/>
  <c r="N125" i="5"/>
  <c r="N124" i="5" s="1"/>
  <c r="M125" i="5"/>
  <c r="AG124" i="5"/>
  <c r="U124" i="5"/>
  <c r="T124" i="5"/>
  <c r="S124" i="5"/>
  <c r="AH123" i="5"/>
  <c r="AI123" i="5" s="1"/>
  <c r="C123" i="5"/>
  <c r="AH122" i="5"/>
  <c r="AI122" i="5" s="1"/>
  <c r="C122" i="5"/>
  <c r="AH121" i="5"/>
  <c r="AI121" i="5" s="1"/>
  <c r="C121" i="5"/>
  <c r="AH120" i="5"/>
  <c r="AI120" i="5" s="1"/>
  <c r="C120" i="5"/>
  <c r="AH119" i="5"/>
  <c r="AI119" i="5" s="1"/>
  <c r="C119" i="5"/>
  <c r="AG118" i="5"/>
  <c r="AH118" i="5" s="1"/>
  <c r="AI118" i="5" s="1"/>
  <c r="C118" i="5"/>
  <c r="AH117" i="5"/>
  <c r="AI117" i="5" s="1"/>
  <c r="C117" i="5"/>
  <c r="AF116" i="5"/>
  <c r="AF115" i="5" s="1"/>
  <c r="AF114" i="5" s="1"/>
  <c r="AF113" i="5" s="1"/>
  <c r="AE116" i="5"/>
  <c r="AE115" i="5" s="1"/>
  <c r="AA116" i="5"/>
  <c r="Z116" i="5"/>
  <c r="Y116" i="5"/>
  <c r="U116" i="5"/>
  <c r="T116" i="5"/>
  <c r="T115" i="5" s="1"/>
  <c r="T114" i="5" s="1"/>
  <c r="T113" i="5" s="1"/>
  <c r="S116" i="5"/>
  <c r="S115" i="5" s="1"/>
  <c r="S114" i="5" s="1"/>
  <c r="S113" i="5" s="1"/>
  <c r="O116" i="5"/>
  <c r="O115" i="5" s="1"/>
  <c r="N116" i="5"/>
  <c r="M116" i="5"/>
  <c r="AA115" i="5"/>
  <c r="AA114" i="5" s="1"/>
  <c r="AA113" i="5" s="1"/>
  <c r="Z115" i="5"/>
  <c r="Y115" i="5"/>
  <c r="U115" i="5"/>
  <c r="M115" i="5"/>
  <c r="AH112" i="5"/>
  <c r="AI112" i="5" s="1"/>
  <c r="T111" i="5"/>
  <c r="T106" i="5" s="1"/>
  <c r="T105" i="5" s="1"/>
  <c r="T104" i="5" s="1"/>
  <c r="AH110" i="5"/>
  <c r="AI110" i="5" s="1"/>
  <c r="Z109" i="5"/>
  <c r="AH109" i="5" s="1"/>
  <c r="AI109" i="5" s="1"/>
  <c r="AH108" i="5"/>
  <c r="AI108" i="5" s="1"/>
  <c r="O107" i="5"/>
  <c r="AH107" i="5" s="1"/>
  <c r="Z106" i="5"/>
  <c r="Z105" i="5" s="1"/>
  <c r="Z104" i="5" s="1"/>
  <c r="O106" i="5"/>
  <c r="O105" i="5" s="1"/>
  <c r="O104" i="5" s="1"/>
  <c r="AH103" i="5"/>
  <c r="AI103" i="5" s="1"/>
  <c r="AH102" i="5"/>
  <c r="AI102" i="5" s="1"/>
  <c r="AF101" i="5"/>
  <c r="AF100" i="5" s="1"/>
  <c r="AF99" i="5" s="1"/>
  <c r="AF98" i="5" s="1"/>
  <c r="AA101" i="5"/>
  <c r="T101" i="5"/>
  <c r="N101" i="5"/>
  <c r="N100" i="5" s="1"/>
  <c r="N99" i="5" s="1"/>
  <c r="N98" i="5" s="1"/>
  <c r="AA100" i="5"/>
  <c r="AA99" i="5" s="1"/>
  <c r="AA98" i="5" s="1"/>
  <c r="T100" i="5"/>
  <c r="T99" i="5" s="1"/>
  <c r="T98" i="5" s="1"/>
  <c r="AE92" i="5"/>
  <c r="AH92" i="5" s="1"/>
  <c r="AI92" i="5" s="1"/>
  <c r="AA92" i="5"/>
  <c r="C92" i="5"/>
  <c r="AI91" i="5"/>
  <c r="AH91" i="5"/>
  <c r="C91" i="5"/>
  <c r="AH90" i="5"/>
  <c r="AI90" i="5" s="1"/>
  <c r="C90" i="5"/>
  <c r="AH89" i="5"/>
  <c r="AI89" i="5" s="1"/>
  <c r="C89" i="5"/>
  <c r="AH88" i="5"/>
  <c r="AI88" i="5" s="1"/>
  <c r="C88" i="5"/>
  <c r="AH87" i="5"/>
  <c r="AI87" i="5" s="1"/>
  <c r="C87" i="5"/>
  <c r="AM86" i="5"/>
  <c r="AG86" i="5"/>
  <c r="AF86" i="5"/>
  <c r="AA86" i="5"/>
  <c r="AA85" i="5" s="1"/>
  <c r="AA84" i="5" s="1"/>
  <c r="AA83" i="5" s="1"/>
  <c r="Z86" i="5"/>
  <c r="Y86" i="5"/>
  <c r="U86" i="5"/>
  <c r="U85" i="5" s="1"/>
  <c r="U84" i="5" s="1"/>
  <c r="U83" i="5" s="1"/>
  <c r="T86" i="5"/>
  <c r="S86" i="5"/>
  <c r="AG85" i="5"/>
  <c r="AG84" i="5" s="1"/>
  <c r="AG83" i="5" s="1"/>
  <c r="AF85" i="5"/>
  <c r="Z85" i="5"/>
  <c r="Y85" i="5"/>
  <c r="T85" i="5"/>
  <c r="T84" i="5" s="1"/>
  <c r="T83" i="5" s="1"/>
  <c r="S85" i="5"/>
  <c r="S84" i="5" s="1"/>
  <c r="S83" i="5" s="1"/>
  <c r="AF84" i="5"/>
  <c r="Z84" i="5"/>
  <c r="Z83" i="5" s="1"/>
  <c r="Y84" i="5"/>
  <c r="Y83" i="5" s="1"/>
  <c r="AF83" i="5"/>
  <c r="AH82" i="5"/>
  <c r="AI82" i="5" s="1"/>
  <c r="C82" i="5"/>
  <c r="AH81" i="5"/>
  <c r="AI81" i="5" s="1"/>
  <c r="O81" i="5"/>
  <c r="O80" i="5"/>
  <c r="O79" i="5" s="1"/>
  <c r="AI78" i="5"/>
  <c r="AH78" i="5"/>
  <c r="C78" i="5"/>
  <c r="O77" i="5"/>
  <c r="AH77" i="5" s="1"/>
  <c r="AH74" i="5"/>
  <c r="AI74" i="5" s="1"/>
  <c r="C74" i="5"/>
  <c r="AH73" i="5"/>
  <c r="AI73" i="5" s="1"/>
  <c r="N73" i="5"/>
  <c r="N72" i="5"/>
  <c r="N71" i="5" s="1"/>
  <c r="AI70" i="5"/>
  <c r="AH70" i="5"/>
  <c r="C70" i="5"/>
  <c r="N69" i="5"/>
  <c r="AH69" i="5" s="1"/>
  <c r="AH66" i="5"/>
  <c r="AI66" i="5" s="1"/>
  <c r="C66" i="5"/>
  <c r="AE65" i="5"/>
  <c r="T65" i="5"/>
  <c r="AH65" i="5" s="1"/>
  <c r="AE64" i="5"/>
  <c r="C63" i="5"/>
  <c r="AI60" i="5"/>
  <c r="AH60" i="5"/>
  <c r="C60" i="5"/>
  <c r="Z59" i="5"/>
  <c r="Z58" i="5" s="1"/>
  <c r="T59" i="5"/>
  <c r="T58" i="5"/>
  <c r="AH57" i="5"/>
  <c r="AI57" i="5" s="1"/>
  <c r="C57" i="5"/>
  <c r="T56" i="5"/>
  <c r="AH56" i="5" s="1"/>
  <c r="AI56" i="5" s="1"/>
  <c r="N56" i="5"/>
  <c r="AI55" i="5"/>
  <c r="AH55" i="5"/>
  <c r="C55" i="5"/>
  <c r="AE54" i="5"/>
  <c r="U54" i="5"/>
  <c r="AH54" i="5" s="1"/>
  <c r="AI53" i="5"/>
  <c r="AQ53" i="5" s="1"/>
  <c r="AH53" i="5"/>
  <c r="C53" i="5"/>
  <c r="AH52" i="5"/>
  <c r="AI52" i="5" s="1"/>
  <c r="AQ52" i="5" s="1"/>
  <c r="C52" i="5"/>
  <c r="AH51" i="5"/>
  <c r="AI51" i="5" s="1"/>
  <c r="U51" i="5"/>
  <c r="AG50" i="5"/>
  <c r="AF50" i="5"/>
  <c r="AE50" i="5"/>
  <c r="AA50" i="5"/>
  <c r="Z50" i="5"/>
  <c r="Y50" i="5"/>
  <c r="U50" i="5"/>
  <c r="T50" i="5"/>
  <c r="S50" i="5"/>
  <c r="O50" i="5"/>
  <c r="N50" i="5"/>
  <c r="M50" i="5"/>
  <c r="AH49" i="5"/>
  <c r="AI49" i="5" s="1"/>
  <c r="AQ49" i="5" s="1"/>
  <c r="C49" i="5"/>
  <c r="AE48" i="5"/>
  <c r="AH48" i="5" s="1"/>
  <c r="AI48" i="5" s="1"/>
  <c r="Z48" i="5"/>
  <c r="AH47" i="5"/>
  <c r="AI47" i="5" s="1"/>
  <c r="AQ47" i="5" s="1"/>
  <c r="C47" i="5"/>
  <c r="AH46" i="5"/>
  <c r="AI46" i="5" s="1"/>
  <c r="AQ46" i="5" s="1"/>
  <c r="C46" i="5"/>
  <c r="AE45" i="5"/>
  <c r="AE44" i="5" s="1"/>
  <c r="AE11" i="5" s="1"/>
  <c r="AE10" i="5" s="1"/>
  <c r="Z45" i="5"/>
  <c r="Z44" i="5" s="1"/>
  <c r="T45" i="5"/>
  <c r="AH45" i="5" s="1"/>
  <c r="AI43" i="5"/>
  <c r="AQ43" i="5" s="1"/>
  <c r="AH43" i="5"/>
  <c r="C43" i="5"/>
  <c r="AF42" i="5"/>
  <c r="AH42" i="5" s="1"/>
  <c r="AI42" i="5" s="1"/>
  <c r="Z42" i="5"/>
  <c r="AI41" i="5"/>
  <c r="AQ41" i="5" s="1"/>
  <c r="AH41" i="5"/>
  <c r="C41" i="5"/>
  <c r="AH40" i="5"/>
  <c r="AI40" i="5" s="1"/>
  <c r="AQ40" i="5" s="1"/>
  <c r="C40" i="5"/>
  <c r="AH39" i="5"/>
  <c r="T39" i="5"/>
  <c r="T38" i="5" s="1"/>
  <c r="Z38" i="5"/>
  <c r="AI37" i="5"/>
  <c r="AQ37" i="5" s="1"/>
  <c r="AH37" i="5"/>
  <c r="C37" i="5"/>
  <c r="U36" i="5"/>
  <c r="AH36" i="5" s="1"/>
  <c r="O36" i="5"/>
  <c r="O35" i="5"/>
  <c r="AH34" i="5"/>
  <c r="AI34" i="5" s="1"/>
  <c r="AQ34" i="5" s="1"/>
  <c r="C34" i="5"/>
  <c r="AI33" i="5"/>
  <c r="AQ33" i="5" s="1"/>
  <c r="AH33" i="5"/>
  <c r="C33" i="5"/>
  <c r="T32" i="5"/>
  <c r="AH32" i="5" s="1"/>
  <c r="T31" i="5"/>
  <c r="AH30" i="5"/>
  <c r="AI30" i="5" s="1"/>
  <c r="AQ30" i="5" s="1"/>
  <c r="AE29" i="5"/>
  <c r="Y29" i="5"/>
  <c r="AH29" i="5" s="1"/>
  <c r="AE28" i="5"/>
  <c r="AI27" i="5"/>
  <c r="AQ27" i="5" s="1"/>
  <c r="AH27" i="5"/>
  <c r="C27" i="5"/>
  <c r="AA26" i="5"/>
  <c r="S26" i="5"/>
  <c r="AH26" i="5" s="1"/>
  <c r="AI26" i="5" s="1"/>
  <c r="AI25" i="5"/>
  <c r="AQ25" i="5" s="1"/>
  <c r="AH25" i="5"/>
  <c r="C25" i="5"/>
  <c r="Y24" i="5"/>
  <c r="AH24" i="5" s="1"/>
  <c r="AI24" i="5" s="1"/>
  <c r="AH23" i="5"/>
  <c r="AI23" i="5" s="1"/>
  <c r="AQ23" i="5" s="1"/>
  <c r="C23" i="5"/>
  <c r="AH22" i="5"/>
  <c r="AI22" i="5" s="1"/>
  <c r="AA22" i="5"/>
  <c r="U22" i="5"/>
  <c r="U16" i="5" s="1"/>
  <c r="AH21" i="5"/>
  <c r="AI21" i="5" s="1"/>
  <c r="AQ21" i="5" s="1"/>
  <c r="C21" i="5"/>
  <c r="AH20" i="5"/>
  <c r="AI20" i="5" s="1"/>
  <c r="T20" i="5"/>
  <c r="O20" i="5"/>
  <c r="AH19" i="5"/>
  <c r="AI19" i="5" s="1"/>
  <c r="AQ19" i="5" s="1"/>
  <c r="C19" i="5"/>
  <c r="AI18" i="5"/>
  <c r="AQ18" i="5" s="1"/>
  <c r="AH18" i="5"/>
  <c r="C18" i="5"/>
  <c r="S17" i="5"/>
  <c r="AH17" i="5" s="1"/>
  <c r="AG16" i="5"/>
  <c r="AG11" i="5" s="1"/>
  <c r="AG10" i="5" s="1"/>
  <c r="AA16" i="5"/>
  <c r="Z16" i="5"/>
  <c r="Z11" i="5" s="1"/>
  <c r="Z10" i="5" s="1"/>
  <c r="Y16" i="5"/>
  <c r="T16" i="5"/>
  <c r="O16" i="5"/>
  <c r="AH15" i="5"/>
  <c r="AI15" i="5" s="1"/>
  <c r="AQ15" i="5" s="1"/>
  <c r="AH14" i="5"/>
  <c r="AI14" i="5" s="1"/>
  <c r="AQ14" i="5" s="1"/>
  <c r="O13" i="5"/>
  <c r="O12" i="5" s="1"/>
  <c r="O11" i="5" s="1"/>
  <c r="N12" i="5"/>
  <c r="M12" i="5"/>
  <c r="M11" i="5" s="1"/>
  <c r="M10" i="5" s="1"/>
  <c r="AA11" i="5"/>
  <c r="AA10" i="5" s="1"/>
  <c r="N11" i="5"/>
  <c r="AG153" i="5" l="1"/>
  <c r="AH44" i="5"/>
  <c r="AI44" i="5" s="1"/>
  <c r="AI45" i="5"/>
  <c r="AI107" i="5"/>
  <c r="AI17" i="5"/>
  <c r="AH16" i="5"/>
  <c r="AI16" i="5" s="1"/>
  <c r="AH83" i="5"/>
  <c r="AI83" i="5" s="1"/>
  <c r="Z114" i="5"/>
  <c r="Z113" i="5" s="1"/>
  <c r="AI29" i="5"/>
  <c r="AH28" i="5"/>
  <c r="AI28" i="5" s="1"/>
  <c r="U11" i="5"/>
  <c r="U10" i="5" s="1"/>
  <c r="U153" i="5" s="1"/>
  <c r="AH76" i="5"/>
  <c r="AH75" i="5" s="1"/>
  <c r="AI77" i="5"/>
  <c r="AI76" i="5" s="1"/>
  <c r="AI75" i="5" s="1"/>
  <c r="AE114" i="5"/>
  <c r="AE113" i="5" s="1"/>
  <c r="AE153" i="5" s="1"/>
  <c r="AH68" i="5"/>
  <c r="AH67" i="5" s="1"/>
  <c r="AI67" i="5" s="1"/>
  <c r="AI69" i="5"/>
  <c r="AI68" i="5" s="1"/>
  <c r="AA153" i="5"/>
  <c r="AH38" i="5"/>
  <c r="AI38" i="5" s="1"/>
  <c r="O114" i="5"/>
  <c r="O113" i="5" s="1"/>
  <c r="AG145" i="5"/>
  <c r="AH145" i="5" s="1"/>
  <c r="AH146" i="5"/>
  <c r="AI146" i="5" s="1"/>
  <c r="Z153" i="5"/>
  <c r="T11" i="5"/>
  <c r="T10" i="5" s="1"/>
  <c r="T153" i="5" s="1"/>
  <c r="AI54" i="5"/>
  <c r="AH50" i="5"/>
  <c r="AI50" i="5" s="1"/>
  <c r="AI32" i="5"/>
  <c r="AH31" i="5"/>
  <c r="AI31" i="5" s="1"/>
  <c r="AI36" i="5"/>
  <c r="AH35" i="5"/>
  <c r="AI35" i="5" s="1"/>
  <c r="AI65" i="5"/>
  <c r="AH64" i="5"/>
  <c r="AI64" i="5" s="1"/>
  <c r="AH13" i="5"/>
  <c r="U35" i="5"/>
  <c r="T64" i="5"/>
  <c r="Y125" i="5"/>
  <c r="Y124" i="5" s="1"/>
  <c r="Y114" i="5" s="1"/>
  <c r="Y113" i="5" s="1"/>
  <c r="AH131" i="5"/>
  <c r="AI39" i="5"/>
  <c r="AE86" i="5"/>
  <c r="AE85" i="5" s="1"/>
  <c r="AE84" i="5" s="1"/>
  <c r="AE83" i="5" s="1"/>
  <c r="AH101" i="5"/>
  <c r="AH111" i="5"/>
  <c r="AI111" i="5" s="1"/>
  <c r="S16" i="5"/>
  <c r="S11" i="5" s="1"/>
  <c r="S10" i="5" s="1"/>
  <c r="S153" i="5" s="1"/>
  <c r="T44" i="5"/>
  <c r="AH72" i="5"/>
  <c r="AH80" i="5"/>
  <c r="N115" i="5"/>
  <c r="N114" i="5" s="1"/>
  <c r="N113" i="5" s="1"/>
  <c r="AG116" i="5"/>
  <c r="AG115" i="5" s="1"/>
  <c r="AG114" i="5" s="1"/>
  <c r="AG113" i="5" s="1"/>
  <c r="M124" i="5"/>
  <c r="M114" i="5" s="1"/>
  <c r="AH59" i="5"/>
  <c r="AI135" i="5"/>
  <c r="AF38" i="5"/>
  <c r="AF11" i="5" s="1"/>
  <c r="AF10" i="5" s="1"/>
  <c r="AF153" i="5" s="1"/>
  <c r="AH141" i="5"/>
  <c r="Y28" i="5"/>
  <c r="Y11" i="5" s="1"/>
  <c r="Y10" i="5" s="1"/>
  <c r="Y153" i="5" s="1"/>
  <c r="N68" i="5"/>
  <c r="N67" i="5" s="1"/>
  <c r="N10" i="5" s="1"/>
  <c r="N153" i="5" s="1"/>
  <c r="O76" i="5"/>
  <c r="O75" i="5" s="1"/>
  <c r="O10" i="5" s="1"/>
  <c r="O153" i="5" s="1"/>
  <c r="M113" i="5" l="1"/>
  <c r="M153" i="5" s="1"/>
  <c r="AH153" i="5" s="1"/>
  <c r="G141" i="5" s="1"/>
  <c r="AH114" i="5"/>
  <c r="AH125" i="5"/>
  <c r="AH106" i="5"/>
  <c r="AI141" i="5"/>
  <c r="AH100" i="5"/>
  <c r="AH99" i="5" s="1"/>
  <c r="AH98" i="5" s="1"/>
  <c r="AI101" i="5"/>
  <c r="AI100" i="5" s="1"/>
  <c r="AI99" i="5" s="1"/>
  <c r="AI98" i="5" s="1"/>
  <c r="AH10" i="5"/>
  <c r="AI10" i="5" s="1"/>
  <c r="AI80" i="5"/>
  <c r="AH79" i="5"/>
  <c r="AI79" i="5" s="1"/>
  <c r="AH12" i="5"/>
  <c r="AI13" i="5"/>
  <c r="AH130" i="5"/>
  <c r="AI130" i="5" s="1"/>
  <c r="AI131" i="5"/>
  <c r="AH58" i="5"/>
  <c r="AI58" i="5" s="1"/>
  <c r="AI59" i="5"/>
  <c r="AI72" i="5"/>
  <c r="AI71" i="5" s="1"/>
  <c r="AH71" i="5"/>
  <c r="AH86" i="5"/>
  <c r="AH115" i="5"/>
  <c r="AI115" i="5" s="1"/>
  <c r="AI145" i="5"/>
  <c r="G145" i="5"/>
  <c r="AH116" i="5"/>
  <c r="AI116" i="5" s="1"/>
  <c r="AI86" i="5" l="1"/>
  <c r="AH85" i="5"/>
  <c r="AH11" i="5"/>
  <c r="AI11" i="5" s="1"/>
  <c r="AI12" i="5"/>
  <c r="AI106" i="5"/>
  <c r="AH105" i="5"/>
  <c r="AI125" i="5"/>
  <c r="AH124" i="5"/>
  <c r="AI124" i="5" s="1"/>
  <c r="AH113" i="5"/>
  <c r="AI113" i="5" s="1"/>
  <c r="AI114" i="5"/>
  <c r="AI153" i="5"/>
  <c r="G143" i="5"/>
  <c r="G140" i="5"/>
  <c r="G138" i="5"/>
  <c r="G136" i="5"/>
  <c r="G139" i="5"/>
  <c r="G134" i="5"/>
  <c r="G142" i="5"/>
  <c r="G133" i="5"/>
  <c r="G144" i="5"/>
  <c r="G135" i="5"/>
  <c r="G132" i="5"/>
  <c r="G137" i="5"/>
  <c r="AH104" i="5" l="1"/>
  <c r="AI104" i="5" s="1"/>
  <c r="AI105" i="5"/>
  <c r="AH84" i="5"/>
  <c r="AI84" i="5" s="1"/>
  <c r="AI85" i="5"/>
  <c r="AH130" i="4" l="1"/>
  <c r="AH129" i="4" s="1"/>
  <c r="AH128" i="4" s="1"/>
  <c r="AJ129" i="4"/>
  <c r="AG129" i="4"/>
  <c r="AA129" i="4"/>
  <c r="AA128" i="4" s="1"/>
  <c r="U129" i="4"/>
  <c r="AJ128" i="4"/>
  <c r="AG128" i="4"/>
  <c r="U128" i="4"/>
  <c r="AI127" i="4"/>
  <c r="AI126" i="4" s="1"/>
  <c r="AH127" i="4"/>
  <c r="AH126" i="4" s="1"/>
  <c r="AG126" i="4"/>
  <c r="AF126" i="4"/>
  <c r="AE126" i="4"/>
  <c r="AA126" i="4"/>
  <c r="Z126" i="4"/>
  <c r="Y126" i="4"/>
  <c r="U126" i="4"/>
  <c r="T126" i="4"/>
  <c r="S126" i="4"/>
  <c r="O126" i="4"/>
  <c r="N126" i="4"/>
  <c r="M126" i="4"/>
  <c r="AI125" i="4"/>
  <c r="AI124" i="4" s="1"/>
  <c r="AH125" i="4"/>
  <c r="AH124" i="4" s="1"/>
  <c r="AG124" i="4"/>
  <c r="AF124" i="4"/>
  <c r="AE124" i="4"/>
  <c r="AA124" i="4"/>
  <c r="Z124" i="4"/>
  <c r="Y124" i="4"/>
  <c r="U124" i="4"/>
  <c r="T124" i="4"/>
  <c r="S124" i="4"/>
  <c r="O124" i="4"/>
  <c r="N124" i="4"/>
  <c r="M124" i="4"/>
  <c r="AI123" i="4"/>
  <c r="AI122" i="4" s="1"/>
  <c r="AH123" i="4"/>
  <c r="AH122" i="4" s="1"/>
  <c r="AG122" i="4"/>
  <c r="AF122" i="4"/>
  <c r="AE122" i="4"/>
  <c r="AA122" i="4"/>
  <c r="Z122" i="4"/>
  <c r="Y122" i="4"/>
  <c r="U122" i="4"/>
  <c r="T122" i="4"/>
  <c r="S122" i="4"/>
  <c r="O122" i="4"/>
  <c r="N122" i="4"/>
  <c r="M122" i="4"/>
  <c r="AI121" i="4"/>
  <c r="AI120" i="4" s="1"/>
  <c r="AI119" i="4" s="1"/>
  <c r="AH121" i="4"/>
  <c r="AH120" i="4" s="1"/>
  <c r="AG120" i="4"/>
  <c r="AG119" i="4" s="1"/>
  <c r="AF120" i="4"/>
  <c r="AF119" i="4" s="1"/>
  <c r="AF80" i="4" s="1"/>
  <c r="AF79" i="4" s="1"/>
  <c r="AE120" i="4"/>
  <c r="AA120" i="4"/>
  <c r="Z120" i="4"/>
  <c r="Z119" i="4" s="1"/>
  <c r="Y120" i="4"/>
  <c r="Y119" i="4" s="1"/>
  <c r="U120" i="4"/>
  <c r="T120" i="4"/>
  <c r="S120" i="4"/>
  <c r="S119" i="4" s="1"/>
  <c r="S80" i="4" s="1"/>
  <c r="S79" i="4" s="1"/>
  <c r="O120" i="4"/>
  <c r="O119" i="4" s="1"/>
  <c r="N120" i="4"/>
  <c r="M120" i="4"/>
  <c r="AE119" i="4"/>
  <c r="AA119" i="4"/>
  <c r="U119" i="4"/>
  <c r="T119" i="4"/>
  <c r="N119" i="4"/>
  <c r="M119" i="4"/>
  <c r="AI117" i="4"/>
  <c r="AG117" i="4"/>
  <c r="AG116" i="4" s="1"/>
  <c r="AA117" i="4"/>
  <c r="U117" i="4"/>
  <c r="O117" i="4"/>
  <c r="AH118" i="4" s="1"/>
  <c r="AH117" i="4" s="1"/>
  <c r="AH116" i="4" s="1"/>
  <c r="AI116" i="4"/>
  <c r="AA116" i="4"/>
  <c r="U116" i="4"/>
  <c r="AI114" i="4"/>
  <c r="AH114" i="4"/>
  <c r="AH113" i="4" s="1"/>
  <c r="AG114" i="4"/>
  <c r="AG113" i="4" s="1"/>
  <c r="AA114" i="4"/>
  <c r="U114" i="4"/>
  <c r="O114" i="4"/>
  <c r="O113" i="4" s="1"/>
  <c r="AI113" i="4"/>
  <c r="AA113" i="4"/>
  <c r="U113" i="4"/>
  <c r="AH112" i="4"/>
  <c r="AJ112" i="4" s="1"/>
  <c r="C112" i="4"/>
  <c r="AH111" i="4"/>
  <c r="AJ111" i="4" s="1"/>
  <c r="C111" i="4"/>
  <c r="AK110" i="4"/>
  <c r="AH110" i="4"/>
  <c r="C110" i="4"/>
  <c r="AE109" i="4"/>
  <c r="AA109" i="4"/>
  <c r="Z109" i="4"/>
  <c r="Z82" i="4" s="1"/>
  <c r="Z81" i="4" s="1"/>
  <c r="Z80" i="4" s="1"/>
  <c r="Z79" i="4" s="1"/>
  <c r="Y109" i="4"/>
  <c r="U109" i="4"/>
  <c r="C109" i="4"/>
  <c r="AH108" i="4"/>
  <c r="AK108" i="4" s="1"/>
  <c r="C108" i="4"/>
  <c r="AH107" i="4"/>
  <c r="AJ107" i="4" s="1"/>
  <c r="C107" i="4"/>
  <c r="AH106" i="4"/>
  <c r="AJ106" i="4" s="1"/>
  <c r="C106" i="4"/>
  <c r="AJ105" i="4"/>
  <c r="AH105" i="4"/>
  <c r="C105" i="4"/>
  <c r="AJ104" i="4"/>
  <c r="AH104" i="4"/>
  <c r="C104" i="4"/>
  <c r="AH103" i="4"/>
  <c r="AK103" i="4" s="1"/>
  <c r="C103" i="4"/>
  <c r="AH102" i="4"/>
  <c r="AK102" i="4" s="1"/>
  <c r="C102" i="4"/>
  <c r="AK101" i="4"/>
  <c r="AH101" i="4"/>
  <c r="AF101" i="4"/>
  <c r="C101" i="4"/>
  <c r="AK100" i="4"/>
  <c r="AH100" i="4"/>
  <c r="C100" i="4"/>
  <c r="AG99" i="4"/>
  <c r="AF99" i="4"/>
  <c r="AE99" i="4"/>
  <c r="Z99" i="4"/>
  <c r="Y99" i="4"/>
  <c r="U99" i="4"/>
  <c r="T99" i="4"/>
  <c r="AH99" i="4" s="1"/>
  <c r="AK99" i="4" s="1"/>
  <c r="C99" i="4"/>
  <c r="AF98" i="4"/>
  <c r="Z98" i="4"/>
  <c r="U98" i="4"/>
  <c r="T98" i="4"/>
  <c r="AH98" i="4" s="1"/>
  <c r="AJ98" i="4" s="1"/>
  <c r="C98" i="4"/>
  <c r="AJ97" i="4"/>
  <c r="AH97" i="4"/>
  <c r="C97" i="4"/>
  <c r="AH96" i="4"/>
  <c r="AJ96" i="4" s="1"/>
  <c r="C96" i="4"/>
  <c r="AH95" i="4"/>
  <c r="AJ95" i="4" s="1"/>
  <c r="AG95" i="4"/>
  <c r="AF95" i="4"/>
  <c r="AE95" i="4"/>
  <c r="AA95" i="4"/>
  <c r="Z95" i="4"/>
  <c r="Y95" i="4"/>
  <c r="U95" i="4"/>
  <c r="T95" i="4"/>
  <c r="S95" i="4"/>
  <c r="O95" i="4"/>
  <c r="N95" i="4"/>
  <c r="M95" i="4"/>
  <c r="C95" i="4"/>
  <c r="AH94" i="4"/>
  <c r="AK94" i="4" s="1"/>
  <c r="C94" i="4"/>
  <c r="AJ93" i="4"/>
  <c r="AH93" i="4"/>
  <c r="C93" i="4"/>
  <c r="AH92" i="4"/>
  <c r="AJ92" i="4" s="1"/>
  <c r="U92" i="4"/>
  <c r="T92" i="4"/>
  <c r="C92" i="4"/>
  <c r="AK91" i="4"/>
  <c r="AH91" i="4"/>
  <c r="C91" i="4"/>
  <c r="AG90" i="4"/>
  <c r="AF90" i="4"/>
  <c r="AE90" i="4"/>
  <c r="AH90" i="4" s="1"/>
  <c r="AI90" i="4" s="1"/>
  <c r="AI82" i="4" s="1"/>
  <c r="AI81" i="4" s="1"/>
  <c r="AA90" i="4"/>
  <c r="C90" i="4"/>
  <c r="AH89" i="4"/>
  <c r="AJ89" i="4" s="1"/>
  <c r="C89" i="4"/>
  <c r="AE88" i="4"/>
  <c r="AH88" i="4" s="1"/>
  <c r="AJ88" i="4" s="1"/>
  <c r="C88" i="4"/>
  <c r="Z87" i="4"/>
  <c r="Y87" i="4"/>
  <c r="Y82" i="4" s="1"/>
  <c r="Y81" i="4" s="1"/>
  <c r="Y80" i="4" s="1"/>
  <c r="Y79" i="4" s="1"/>
  <c r="U87" i="4"/>
  <c r="O87" i="4"/>
  <c r="C87" i="4"/>
  <c r="AG86" i="4"/>
  <c r="AF86" i="4"/>
  <c r="AE86" i="4"/>
  <c r="AE82" i="4" s="1"/>
  <c r="AE81" i="4" s="1"/>
  <c r="AE80" i="4" s="1"/>
  <c r="AE79" i="4" s="1"/>
  <c r="AA86" i="4"/>
  <c r="Z86" i="4"/>
  <c r="Y86" i="4"/>
  <c r="U86" i="4"/>
  <c r="U82" i="4" s="1"/>
  <c r="U81" i="4" s="1"/>
  <c r="U80" i="4" s="1"/>
  <c r="U79" i="4" s="1"/>
  <c r="T86" i="4"/>
  <c r="T82" i="4" s="1"/>
  <c r="T81" i="4" s="1"/>
  <c r="T80" i="4" s="1"/>
  <c r="T79" i="4" s="1"/>
  <c r="S86" i="4"/>
  <c r="O86" i="4"/>
  <c r="N86" i="4"/>
  <c r="N82" i="4" s="1"/>
  <c r="N81" i="4" s="1"/>
  <c r="N80" i="4" s="1"/>
  <c r="N79" i="4" s="1"/>
  <c r="M86" i="4"/>
  <c r="AH86" i="4" s="1"/>
  <c r="C86" i="4"/>
  <c r="AH85" i="4"/>
  <c r="AJ85" i="4" s="1"/>
  <c r="C85" i="4"/>
  <c r="AH84" i="4"/>
  <c r="AJ84" i="4" s="1"/>
  <c r="C84" i="4"/>
  <c r="AF83" i="4"/>
  <c r="AH83" i="4" s="1"/>
  <c r="C83" i="4"/>
  <c r="AG82" i="4"/>
  <c r="AF82" i="4"/>
  <c r="AA82" i="4"/>
  <c r="AA81" i="4" s="1"/>
  <c r="AA80" i="4" s="1"/>
  <c r="AA79" i="4" s="1"/>
  <c r="AA131" i="4" s="1"/>
  <c r="S82" i="4"/>
  <c r="O82" i="4"/>
  <c r="M82" i="4"/>
  <c r="AG81" i="4"/>
  <c r="AF81" i="4"/>
  <c r="S81" i="4"/>
  <c r="O81" i="4"/>
  <c r="M81" i="4"/>
  <c r="M80" i="4"/>
  <c r="M79" i="4" s="1"/>
  <c r="AG78" i="4"/>
  <c r="AF78" i="4"/>
  <c r="AF77" i="4" s="1"/>
  <c r="AF76" i="4" s="1"/>
  <c r="AF75" i="4" s="1"/>
  <c r="AF70" i="4" s="1"/>
  <c r="AE78" i="4"/>
  <c r="AH78" i="4" s="1"/>
  <c r="C78" i="4"/>
  <c r="AI77" i="4"/>
  <c r="AI76" i="4" s="1"/>
  <c r="AI75" i="4" s="1"/>
  <c r="AI70" i="4" s="1"/>
  <c r="AG77" i="4"/>
  <c r="AG76" i="4"/>
  <c r="AG75" i="4" s="1"/>
  <c r="AG70" i="4" s="1"/>
  <c r="AK74" i="4"/>
  <c r="AK73" i="4" s="1"/>
  <c r="AK72" i="4" s="1"/>
  <c r="AK71" i="4" s="1"/>
  <c r="AK70" i="4" s="1"/>
  <c r="AH74" i="4"/>
  <c r="C74" i="4"/>
  <c r="AH73" i="4"/>
  <c r="Y73" i="4"/>
  <c r="AH72" i="4"/>
  <c r="AH71" i="4" s="1"/>
  <c r="Y72" i="4"/>
  <c r="Y71" i="4" s="1"/>
  <c r="Y70" i="4" s="1"/>
  <c r="AJ69" i="4"/>
  <c r="AH69" i="4"/>
  <c r="AG69" i="4"/>
  <c r="C69" i="4"/>
  <c r="AJ68" i="4"/>
  <c r="AH68" i="4"/>
  <c r="AE68" i="4"/>
  <c r="C68" i="4"/>
  <c r="AJ67" i="4"/>
  <c r="AH67" i="4"/>
  <c r="AG67" i="4"/>
  <c r="AE67" i="4"/>
  <c r="AJ66" i="4"/>
  <c r="AJ65" i="4" s="1"/>
  <c r="AJ64" i="4" s="1"/>
  <c r="AJ63" i="4" s="1"/>
  <c r="AH66" i="4"/>
  <c r="C66" i="4"/>
  <c r="AH65" i="4"/>
  <c r="AH64" i="4" s="1"/>
  <c r="AH63" i="4" s="1"/>
  <c r="AG65" i="4"/>
  <c r="AF65" i="4"/>
  <c r="AE65" i="4"/>
  <c r="AE64" i="4" s="1"/>
  <c r="AE63" i="4" s="1"/>
  <c r="AA65" i="4"/>
  <c r="AA64" i="4" s="1"/>
  <c r="AA63" i="4" s="1"/>
  <c r="Z65" i="4"/>
  <c r="Y65" i="4"/>
  <c r="U65" i="4"/>
  <c r="T65" i="4"/>
  <c r="T64" i="4" s="1"/>
  <c r="T63" i="4" s="1"/>
  <c r="S65" i="4"/>
  <c r="O65" i="4"/>
  <c r="N65" i="4"/>
  <c r="N64" i="4" s="1"/>
  <c r="N63" i="4" s="1"/>
  <c r="N48" i="4" s="1"/>
  <c r="M65" i="4"/>
  <c r="M64" i="4" s="1"/>
  <c r="M63" i="4" s="1"/>
  <c r="M48" i="4" s="1"/>
  <c r="AG64" i="4"/>
  <c r="AF64" i="4"/>
  <c r="AF63" i="4" s="1"/>
  <c r="AF48" i="4" s="1"/>
  <c r="Z64" i="4"/>
  <c r="Z63" i="4" s="1"/>
  <c r="Y64" i="4"/>
  <c r="Y63" i="4" s="1"/>
  <c r="U64" i="4"/>
  <c r="S64" i="4"/>
  <c r="O64" i="4"/>
  <c r="O63" i="4" s="1"/>
  <c r="AG63" i="4"/>
  <c r="U63" i="4"/>
  <c r="S63" i="4"/>
  <c r="AE62" i="4"/>
  <c r="AE61" i="4" s="1"/>
  <c r="AE54" i="4" s="1"/>
  <c r="AE53" i="4" s="1"/>
  <c r="Z62" i="4"/>
  <c r="Z61" i="4" s="1"/>
  <c r="O62" i="4"/>
  <c r="AH62" i="4" s="1"/>
  <c r="C62" i="4"/>
  <c r="O61" i="4"/>
  <c r="O54" i="4" s="1"/>
  <c r="O53" i="4" s="1"/>
  <c r="O48" i="4" s="1"/>
  <c r="AJ60" i="4"/>
  <c r="AJ59" i="4" s="1"/>
  <c r="AH60" i="4"/>
  <c r="C60" i="4"/>
  <c r="AH59" i="4"/>
  <c r="AF59" i="4"/>
  <c r="AE59" i="4"/>
  <c r="AA59" i="4"/>
  <c r="Z59" i="4"/>
  <c r="Y59" i="4"/>
  <c r="AH58" i="4"/>
  <c r="AJ58" i="4" s="1"/>
  <c r="AJ57" i="4" s="1"/>
  <c r="C58" i="4"/>
  <c r="AA57" i="4"/>
  <c r="AA54" i="4" s="1"/>
  <c r="AA53" i="4" s="1"/>
  <c r="AA48" i="4" s="1"/>
  <c r="Z57" i="4"/>
  <c r="Z54" i="4" s="1"/>
  <c r="Z53" i="4" s="1"/>
  <c r="Z48" i="4" s="1"/>
  <c r="Y57" i="4"/>
  <c r="Y54" i="4" s="1"/>
  <c r="Y53" i="4" s="1"/>
  <c r="Y48" i="4" s="1"/>
  <c r="U57" i="4"/>
  <c r="T57" i="4"/>
  <c r="AJ56" i="4"/>
  <c r="AJ55" i="4" s="1"/>
  <c r="AH56" i="4"/>
  <c r="U56" i="4"/>
  <c r="C56" i="4"/>
  <c r="AH55" i="4"/>
  <c r="U55" i="4"/>
  <c r="T55" i="4"/>
  <c r="AF54" i="4"/>
  <c r="U54" i="4"/>
  <c r="U53" i="4" s="1"/>
  <c r="U48" i="4" s="1"/>
  <c r="T54" i="4"/>
  <c r="T53" i="4" s="1"/>
  <c r="AF53" i="4"/>
  <c r="AJ52" i="4"/>
  <c r="AJ51" i="4" s="1"/>
  <c r="AJ50" i="4" s="1"/>
  <c r="AJ49" i="4" s="1"/>
  <c r="AH52" i="4"/>
  <c r="C52" i="4"/>
  <c r="AH51" i="4"/>
  <c r="AE51" i="4"/>
  <c r="AH50" i="4"/>
  <c r="AH49" i="4" s="1"/>
  <c r="AE50" i="4"/>
  <c r="AE49" i="4" s="1"/>
  <c r="AG48" i="4"/>
  <c r="S48" i="4"/>
  <c r="AF47" i="4"/>
  <c r="AF46" i="4" s="1"/>
  <c r="AE47" i="4"/>
  <c r="AE46" i="4" s="1"/>
  <c r="AE38" i="4" s="1"/>
  <c r="AE37" i="4" s="1"/>
  <c r="AE36" i="4" s="1"/>
  <c r="C47" i="4"/>
  <c r="AH45" i="4"/>
  <c r="AH44" i="4" s="1"/>
  <c r="C45" i="4"/>
  <c r="AJ44" i="4"/>
  <c r="AF44" i="4"/>
  <c r="AK43" i="4"/>
  <c r="AK42" i="4" s="1"/>
  <c r="AH43" i="4"/>
  <c r="C43" i="4"/>
  <c r="AH42" i="4"/>
  <c r="AG42" i="4"/>
  <c r="AH41" i="4"/>
  <c r="C41" i="4"/>
  <c r="AH40" i="4"/>
  <c r="AH39" i="4" s="1"/>
  <c r="C40" i="4"/>
  <c r="AK39" i="4"/>
  <c r="AG39" i="4"/>
  <c r="AJ38" i="4"/>
  <c r="AG38" i="4"/>
  <c r="AG37" i="4" s="1"/>
  <c r="AG36" i="4" s="1"/>
  <c r="AJ37" i="4"/>
  <c r="AJ36" i="4" s="1"/>
  <c r="AI35" i="4"/>
  <c r="AH35" i="4"/>
  <c r="AH33" i="4" s="1"/>
  <c r="AI34" i="4"/>
  <c r="AI33" i="4" s="1"/>
  <c r="AH34" i="4"/>
  <c r="AG33" i="4"/>
  <c r="AF33" i="4"/>
  <c r="AE33" i="4"/>
  <c r="AE30" i="4" s="1"/>
  <c r="AE29" i="4" s="1"/>
  <c r="AE11" i="4" s="1"/>
  <c r="AA33" i="4"/>
  <c r="AA30" i="4" s="1"/>
  <c r="AA29" i="4" s="1"/>
  <c r="Z33" i="4"/>
  <c r="Y33" i="4"/>
  <c r="U33" i="4"/>
  <c r="T33" i="4"/>
  <c r="S33" i="4"/>
  <c r="O33" i="4"/>
  <c r="AI32" i="4"/>
  <c r="AI31" i="4" s="1"/>
  <c r="AH32" i="4"/>
  <c r="AH31" i="4" s="1"/>
  <c r="AA31" i="4"/>
  <c r="Z31" i="4"/>
  <c r="Y31" i="4"/>
  <c r="AG30" i="4"/>
  <c r="AG29" i="4" s="1"/>
  <c r="AG11" i="4" s="1"/>
  <c r="AF30" i="4"/>
  <c r="AF29" i="4" s="1"/>
  <c r="Z30" i="4"/>
  <c r="Y30" i="4"/>
  <c r="U30" i="4"/>
  <c r="T30" i="4"/>
  <c r="T29" i="4" s="1"/>
  <c r="S30" i="4"/>
  <c r="S29" i="4" s="1"/>
  <c r="O30" i="4"/>
  <c r="O29" i="4" s="1"/>
  <c r="Z29" i="4"/>
  <c r="Y29" i="4"/>
  <c r="U29" i="4"/>
  <c r="AA28" i="4"/>
  <c r="AA26" i="4" s="1"/>
  <c r="AA25" i="4" s="1"/>
  <c r="Y28" i="4"/>
  <c r="Y26" i="4" s="1"/>
  <c r="Y25" i="4" s="1"/>
  <c r="C28" i="4"/>
  <c r="Z27" i="4"/>
  <c r="S27" i="4"/>
  <c r="AH27" i="4" s="1"/>
  <c r="C27" i="4"/>
  <c r="AK26" i="4"/>
  <c r="AJ26" i="4"/>
  <c r="AJ25" i="4" s="1"/>
  <c r="Z26" i="4"/>
  <c r="S26" i="4"/>
  <c r="S25" i="4" s="1"/>
  <c r="AK25" i="4"/>
  <c r="Z25" i="4"/>
  <c r="AH24" i="4"/>
  <c r="Y24" i="4"/>
  <c r="C24" i="4"/>
  <c r="AH23" i="4"/>
  <c r="AH22" i="4" s="1"/>
  <c r="AH21" i="4" s="1"/>
  <c r="S23" i="4"/>
  <c r="S22" i="4" s="1"/>
  <c r="S21" i="4" s="1"/>
  <c r="S12" i="4" s="1"/>
  <c r="S11" i="4" s="1"/>
  <c r="C23" i="4"/>
  <c r="AK22" i="4"/>
  <c r="AJ22" i="4"/>
  <c r="Y22" i="4"/>
  <c r="Y21" i="4" s="1"/>
  <c r="Y12" i="4" s="1"/>
  <c r="Y11" i="4" s="1"/>
  <c r="AK21" i="4"/>
  <c r="AJ21" i="4"/>
  <c r="AH20" i="4"/>
  <c r="AA20" i="4"/>
  <c r="M20" i="4"/>
  <c r="C20" i="4"/>
  <c r="AH19" i="4"/>
  <c r="AH18" i="4" s="1"/>
  <c r="AH17" i="4" s="1"/>
  <c r="Z19" i="4"/>
  <c r="C19" i="4"/>
  <c r="AK18" i="4"/>
  <c r="AJ18" i="4"/>
  <c r="AJ17" i="4" s="1"/>
  <c r="AA18" i="4"/>
  <c r="Z18" i="4"/>
  <c r="Z17" i="4" s="1"/>
  <c r="M18" i="4"/>
  <c r="M17" i="4" s="1"/>
  <c r="M12" i="4" s="1"/>
  <c r="M11" i="4" s="1"/>
  <c r="AK17" i="4"/>
  <c r="AA17" i="4"/>
  <c r="AH16" i="4"/>
  <c r="AF16" i="4"/>
  <c r="AF14" i="4" s="1"/>
  <c r="AF13" i="4" s="1"/>
  <c r="AF12" i="4" s="1"/>
  <c r="AF11" i="4" s="1"/>
  <c r="AA16" i="4"/>
  <c r="C16" i="4"/>
  <c r="AH15" i="4"/>
  <c r="AH14" i="4" s="1"/>
  <c r="AH13" i="4" s="1"/>
  <c r="Z15" i="4"/>
  <c r="S15" i="4"/>
  <c r="C15" i="4"/>
  <c r="AK14" i="4"/>
  <c r="AK13" i="4" s="1"/>
  <c r="AK12" i="4" s="1"/>
  <c r="AK11" i="4" s="1"/>
  <c r="AA14" i="4"/>
  <c r="Z14" i="4"/>
  <c r="Y14" i="4"/>
  <c r="U14" i="4"/>
  <c r="U13" i="4" s="1"/>
  <c r="U12" i="4" s="1"/>
  <c r="U11" i="4" s="1"/>
  <c r="T14" i="4"/>
  <c r="T13" i="4" s="1"/>
  <c r="T12" i="4" s="1"/>
  <c r="T11" i="4" s="1"/>
  <c r="S14" i="4"/>
  <c r="O14" i="4"/>
  <c r="O13" i="4" s="1"/>
  <c r="O12" i="4" s="1"/>
  <c r="O11" i="4" s="1"/>
  <c r="AA13" i="4"/>
  <c r="AA12" i="4" s="1"/>
  <c r="AA11" i="4" s="1"/>
  <c r="Z13" i="4"/>
  <c r="Z12" i="4" s="1"/>
  <c r="Z11" i="4" s="1"/>
  <c r="Y13" i="4"/>
  <c r="S13" i="4"/>
  <c r="AJ48" i="4" l="1"/>
  <c r="AF38" i="4"/>
  <c r="AF37" i="4" s="1"/>
  <c r="AF36" i="4" s="1"/>
  <c r="AF131" i="4" s="1"/>
  <c r="AE48" i="4"/>
  <c r="T48" i="4"/>
  <c r="AJ78" i="4"/>
  <c r="AJ77" i="4" s="1"/>
  <c r="AJ76" i="4" s="1"/>
  <c r="AJ75" i="4" s="1"/>
  <c r="AJ70" i="4" s="1"/>
  <c r="AH77" i="4"/>
  <c r="AH76" i="4" s="1"/>
  <c r="AH75" i="4" s="1"/>
  <c r="AH70" i="4" s="1"/>
  <c r="AG80" i="4"/>
  <c r="AG79" i="4" s="1"/>
  <c r="AG131" i="4" s="1"/>
  <c r="AJ83" i="4"/>
  <c r="AI80" i="4"/>
  <c r="AI79" i="4" s="1"/>
  <c r="Z131" i="4"/>
  <c r="N131" i="4"/>
  <c r="AH30" i="4"/>
  <c r="AH29" i="4" s="1"/>
  <c r="AJ54" i="4"/>
  <c r="AJ53" i="4" s="1"/>
  <c r="AH61" i="4"/>
  <c r="AJ62" i="4"/>
  <c r="AJ61" i="4" s="1"/>
  <c r="Y131" i="4"/>
  <c r="AH54" i="4"/>
  <c r="AH53" i="4" s="1"/>
  <c r="AH48" i="4" s="1"/>
  <c r="AI30" i="4"/>
  <c r="AI29" i="4" s="1"/>
  <c r="AI11" i="4" s="1"/>
  <c r="T131" i="4"/>
  <c r="S131" i="4"/>
  <c r="M131" i="4"/>
  <c r="U131" i="4"/>
  <c r="AK82" i="4"/>
  <c r="AK81" i="4" s="1"/>
  <c r="AK80" i="4" s="1"/>
  <c r="AK79" i="4" s="1"/>
  <c r="O80" i="4"/>
  <c r="O79" i="4" s="1"/>
  <c r="O131" i="4" s="1"/>
  <c r="AH119" i="4"/>
  <c r="AH28" i="4"/>
  <c r="AH26" i="4" s="1"/>
  <c r="AH25" i="4" s="1"/>
  <c r="AH12" i="4" s="1"/>
  <c r="AH11" i="4" s="1"/>
  <c r="AH57" i="4"/>
  <c r="O116" i="4"/>
  <c r="AH109" i="4"/>
  <c r="AK109" i="4" s="1"/>
  <c r="AJ15" i="4"/>
  <c r="AJ14" i="4" s="1"/>
  <c r="AJ13" i="4" s="1"/>
  <c r="AJ12" i="4" s="1"/>
  <c r="AJ11" i="4" s="1"/>
  <c r="AH47" i="4"/>
  <c r="AE77" i="4"/>
  <c r="AE76" i="4" s="1"/>
  <c r="AE75" i="4" s="1"/>
  <c r="AE70" i="4" s="1"/>
  <c r="AE131" i="4" s="1"/>
  <c r="AH87" i="4"/>
  <c r="AJ87" i="4" s="1"/>
  <c r="AH46" i="4" l="1"/>
  <c r="AH38" i="4" s="1"/>
  <c r="AH37" i="4" s="1"/>
  <c r="AH36" i="4" s="1"/>
  <c r="AK47" i="4"/>
  <c r="AK46" i="4" s="1"/>
  <c r="AK38" i="4" s="1"/>
  <c r="AK37" i="4" s="1"/>
  <c r="AK36" i="4" s="1"/>
  <c r="AK131" i="4" s="1"/>
  <c r="AJ82" i="4"/>
  <c r="AJ81" i="4" s="1"/>
  <c r="AJ80" i="4" s="1"/>
  <c r="AJ79" i="4" s="1"/>
  <c r="AJ131" i="4" s="1"/>
  <c r="AH82" i="4"/>
  <c r="AH81" i="4" s="1"/>
  <c r="AH80" i="4" s="1"/>
  <c r="AH79" i="4" s="1"/>
  <c r="AI131" i="4"/>
  <c r="AH131" i="4" l="1"/>
  <c r="C156" i="3" l="1"/>
  <c r="C155" i="3"/>
  <c r="C154" i="3"/>
  <c r="C153" i="3"/>
  <c r="C152" i="3"/>
  <c r="C151" i="3"/>
  <c r="C150" i="3"/>
  <c r="C149" i="3"/>
  <c r="C148" i="3"/>
  <c r="C146" i="3"/>
  <c r="C145" i="3"/>
  <c r="C144" i="3"/>
  <c r="C143" i="3"/>
  <c r="C142" i="3"/>
  <c r="C141" i="3"/>
  <c r="C139" i="3"/>
  <c r="C138" i="3"/>
  <c r="C137" i="3"/>
  <c r="C136" i="3"/>
  <c r="C135" i="3"/>
  <c r="C134" i="3"/>
  <c r="C133" i="3"/>
  <c r="C131" i="3"/>
  <c r="C130" i="3"/>
  <c r="C129" i="3"/>
  <c r="C128" i="3"/>
  <c r="C127" i="3"/>
  <c r="C126" i="3"/>
  <c r="C124" i="3"/>
  <c r="C123" i="3"/>
  <c r="C122" i="3"/>
  <c r="C121" i="3"/>
  <c r="C120" i="3"/>
  <c r="C118" i="3"/>
  <c r="C117" i="3"/>
  <c r="C116" i="3"/>
  <c r="C114" i="3"/>
  <c r="C113" i="3"/>
  <c r="C111" i="3"/>
  <c r="C110" i="3"/>
  <c r="C109" i="3"/>
  <c r="C108" i="3"/>
  <c r="C106" i="3"/>
  <c r="C105" i="3"/>
  <c r="C104" i="3"/>
  <c r="C102" i="3"/>
  <c r="C101" i="3"/>
  <c r="C100" i="3"/>
  <c r="C99" i="3"/>
  <c r="C98" i="3"/>
  <c r="C97" i="3"/>
  <c r="C96" i="3"/>
  <c r="C94" i="3"/>
  <c r="C93" i="3"/>
  <c r="C92" i="3"/>
  <c r="C91" i="3"/>
  <c r="C89" i="3"/>
  <c r="C88" i="3"/>
  <c r="C87" i="3"/>
  <c r="C85" i="3"/>
  <c r="C84" i="3"/>
  <c r="C83" i="3"/>
  <c r="C81" i="3"/>
  <c r="C80" i="3"/>
  <c r="C79" i="3"/>
  <c r="C78" i="3"/>
  <c r="C76" i="3"/>
  <c r="C75" i="3"/>
  <c r="C74" i="3"/>
  <c r="C73" i="3"/>
  <c r="AL72" i="3"/>
  <c r="AI72" i="3"/>
  <c r="AH72" i="3"/>
  <c r="AG72" i="3"/>
  <c r="AF72" i="3"/>
  <c r="AE72" i="3"/>
  <c r="AA72" i="3"/>
  <c r="Z72" i="3"/>
  <c r="Y72" i="3"/>
  <c r="U72" i="3"/>
  <c r="T72" i="3"/>
  <c r="S72" i="3"/>
  <c r="O72" i="3"/>
  <c r="N72" i="3"/>
  <c r="M72" i="3"/>
  <c r="AL71" i="3"/>
  <c r="AL70" i="3" s="1"/>
  <c r="AL69" i="3" s="1"/>
  <c r="AL157" i="3" s="1"/>
  <c r="AI71" i="3"/>
  <c r="AH71" i="3"/>
  <c r="AG71" i="3"/>
  <c r="AF71" i="3"/>
  <c r="AF70" i="3" s="1"/>
  <c r="AF69" i="3" s="1"/>
  <c r="AE71" i="3"/>
  <c r="AA71" i="3"/>
  <c r="Z71" i="3"/>
  <c r="Z70" i="3" s="1"/>
  <c r="Z69" i="3" s="1"/>
  <c r="Y71" i="3"/>
  <c r="Y70" i="3" s="1"/>
  <c r="Y69" i="3" s="1"/>
  <c r="U71" i="3"/>
  <c r="U70" i="3" s="1"/>
  <c r="U69" i="3" s="1"/>
  <c r="T71" i="3"/>
  <c r="S71" i="3"/>
  <c r="O71" i="3"/>
  <c r="O70" i="3" s="1"/>
  <c r="O69" i="3" s="1"/>
  <c r="N71" i="3"/>
  <c r="M71" i="3"/>
  <c r="AI70" i="3"/>
  <c r="AH70" i="3"/>
  <c r="AG70" i="3"/>
  <c r="AE70" i="3"/>
  <c r="AA70" i="3"/>
  <c r="T70" i="3"/>
  <c r="S70" i="3"/>
  <c r="N70" i="3"/>
  <c r="M70" i="3"/>
  <c r="AI69" i="3"/>
  <c r="AH69" i="3"/>
  <c r="AG69" i="3"/>
  <c r="AE69" i="3"/>
  <c r="AA69" i="3"/>
  <c r="T69" i="3"/>
  <c r="S69" i="3"/>
  <c r="N69" i="3"/>
  <c r="M69" i="3"/>
  <c r="C68" i="3"/>
  <c r="AI67" i="3"/>
  <c r="AH67" i="3"/>
  <c r="AH64" i="3" s="1"/>
  <c r="AG67" i="3"/>
  <c r="AA67" i="3"/>
  <c r="U67" i="3"/>
  <c r="O67" i="3"/>
  <c r="C66" i="3"/>
  <c r="AI65" i="3"/>
  <c r="AI64" i="3" s="1"/>
  <c r="AI63" i="3" s="1"/>
  <c r="AH65" i="3"/>
  <c r="AG65" i="3"/>
  <c r="AG64" i="3" s="1"/>
  <c r="AG63" i="3" s="1"/>
  <c r="AG56" i="3" s="1"/>
  <c r="AA65" i="3"/>
  <c r="AA64" i="3" s="1"/>
  <c r="AA63" i="3" s="1"/>
  <c r="AA56" i="3" s="1"/>
  <c r="U65" i="3"/>
  <c r="O65" i="3"/>
  <c r="U64" i="3"/>
  <c r="O64" i="3"/>
  <c r="U63" i="3"/>
  <c r="U56" i="3" s="1"/>
  <c r="O63" i="3"/>
  <c r="C62" i="3"/>
  <c r="AI61" i="3"/>
  <c r="AI58" i="3" s="1"/>
  <c r="AI57" i="3" s="1"/>
  <c r="AI56" i="3" s="1"/>
  <c r="AH61" i="3"/>
  <c r="O61" i="3"/>
  <c r="C60" i="3"/>
  <c r="AI59" i="3"/>
  <c r="AH59" i="3"/>
  <c r="M59" i="3"/>
  <c r="M58" i="3" s="1"/>
  <c r="M57" i="3" s="1"/>
  <c r="M56" i="3" s="1"/>
  <c r="AH58" i="3"/>
  <c r="O58" i="3"/>
  <c r="O57" i="3" s="1"/>
  <c r="O56" i="3" s="1"/>
  <c r="C55" i="3"/>
  <c r="AI54" i="3"/>
  <c r="AH54" i="3"/>
  <c r="AA54" i="3"/>
  <c r="AI53" i="3"/>
  <c r="AA53" i="3"/>
  <c r="AA52" i="3" s="1"/>
  <c r="AA47" i="3" s="1"/>
  <c r="AI52" i="3"/>
  <c r="AI47" i="3" s="1"/>
  <c r="C51" i="3"/>
  <c r="AI50" i="3"/>
  <c r="AH50" i="3"/>
  <c r="U50" i="3"/>
  <c r="U49" i="3" s="1"/>
  <c r="U48" i="3" s="1"/>
  <c r="U47" i="3" s="1"/>
  <c r="AI49" i="3"/>
  <c r="AH49" i="3"/>
  <c r="AI48" i="3"/>
  <c r="AH48" i="3"/>
  <c r="C46" i="3"/>
  <c r="AI45" i="3"/>
  <c r="AH45" i="3"/>
  <c r="AA45" i="3"/>
  <c r="AA44" i="3" s="1"/>
  <c r="AA43" i="3" s="1"/>
  <c r="AA42" i="3" s="1"/>
  <c r="Z45" i="3"/>
  <c r="Z44" i="3" s="1"/>
  <c r="Z43" i="3" s="1"/>
  <c r="Z42" i="3" s="1"/>
  <c r="Y45" i="3"/>
  <c r="AI44" i="3"/>
  <c r="AI43" i="3" s="1"/>
  <c r="AI42" i="3" s="1"/>
  <c r="Y44" i="3"/>
  <c r="Y43" i="3"/>
  <c r="Y42" i="3" s="1"/>
  <c r="C41" i="3"/>
  <c r="AI40" i="3"/>
  <c r="AI39" i="3" s="1"/>
  <c r="AH40" i="3"/>
  <c r="T40" i="3"/>
  <c r="AH39" i="3"/>
  <c r="T39" i="3"/>
  <c r="C38" i="3"/>
  <c r="AI37" i="3"/>
  <c r="AI31" i="3" s="1"/>
  <c r="AH37" i="3"/>
  <c r="U37" i="3"/>
  <c r="C36" i="3"/>
  <c r="AI35" i="3"/>
  <c r="AH35" i="3"/>
  <c r="AF35" i="3"/>
  <c r="AF31" i="3" s="1"/>
  <c r="C34" i="3"/>
  <c r="C33" i="3"/>
  <c r="AI32" i="3"/>
  <c r="AH32" i="3"/>
  <c r="AE32" i="3"/>
  <c r="AE31" i="3" s="1"/>
  <c r="AA32" i="3"/>
  <c r="AH31" i="3"/>
  <c r="AA31" i="3"/>
  <c r="U31" i="3"/>
  <c r="C30" i="3"/>
  <c r="C29" i="3"/>
  <c r="AM28" i="3"/>
  <c r="AH28" i="3"/>
  <c r="U28" i="3"/>
  <c r="C27" i="3"/>
  <c r="AM26" i="3"/>
  <c r="AH26" i="3"/>
  <c r="U26" i="3"/>
  <c r="S26" i="3"/>
  <c r="C25" i="3"/>
  <c r="C24" i="3"/>
  <c r="C23" i="3"/>
  <c r="AM22" i="3"/>
  <c r="AM21" i="3" s="1"/>
  <c r="AH22" i="3"/>
  <c r="AA22" i="3"/>
  <c r="Z22" i="3"/>
  <c r="Y22" i="3"/>
  <c r="U22" i="3"/>
  <c r="U21" i="3" s="1"/>
  <c r="T22" i="3"/>
  <c r="S22" i="3"/>
  <c r="AA21" i="3"/>
  <c r="Z21" i="3"/>
  <c r="Y21" i="3"/>
  <c r="T21" i="3"/>
  <c r="S21" i="3"/>
  <c r="C20" i="3"/>
  <c r="AM19" i="3"/>
  <c r="AM16" i="3" s="1"/>
  <c r="AM11" i="3" s="1"/>
  <c r="AM10" i="3" s="1"/>
  <c r="AM157" i="3" s="1"/>
  <c r="AH19" i="3"/>
  <c r="AA19" i="3"/>
  <c r="Z19" i="3"/>
  <c r="Z16" i="3" s="1"/>
  <c r="Z11" i="3" s="1"/>
  <c r="Z10" i="3" s="1"/>
  <c r="Y19" i="3"/>
  <c r="U19" i="3"/>
  <c r="T19" i="3"/>
  <c r="T16" i="3" s="1"/>
  <c r="T11" i="3" s="1"/>
  <c r="T10" i="3" s="1"/>
  <c r="S19" i="3"/>
  <c r="S16" i="3" s="1"/>
  <c r="S11" i="3" s="1"/>
  <c r="S10" i="3" s="1"/>
  <c r="C18" i="3"/>
  <c r="AI17" i="3"/>
  <c r="AH17" i="3"/>
  <c r="AG17" i="3"/>
  <c r="AF17" i="3"/>
  <c r="AE17" i="3"/>
  <c r="AA17" i="3"/>
  <c r="Z17" i="3"/>
  <c r="Y17" i="3"/>
  <c r="U17" i="3"/>
  <c r="T17" i="3"/>
  <c r="S17" i="3"/>
  <c r="O17" i="3"/>
  <c r="N17" i="3"/>
  <c r="M17" i="3"/>
  <c r="AI16" i="3"/>
  <c r="AH16" i="3"/>
  <c r="AG16" i="3"/>
  <c r="AF16" i="3"/>
  <c r="AE16" i="3"/>
  <c r="AA16" i="3"/>
  <c r="AA11" i="3" s="1"/>
  <c r="AA10" i="3" s="1"/>
  <c r="Y16" i="3"/>
  <c r="U16" i="3"/>
  <c r="U11" i="3" s="1"/>
  <c r="U10" i="3" s="1"/>
  <c r="O16" i="3"/>
  <c r="O11" i="3" s="1"/>
  <c r="O10" i="3" s="1"/>
  <c r="N16" i="3"/>
  <c r="N11" i="3" s="1"/>
  <c r="N10" i="3" s="1"/>
  <c r="N157" i="3" s="1"/>
  <c r="M16" i="3"/>
  <c r="M11" i="3" s="1"/>
  <c r="M10" i="3" s="1"/>
  <c r="C15" i="3"/>
  <c r="C14" i="3"/>
  <c r="AI13" i="3"/>
  <c r="AH13" i="3"/>
  <c r="U13" i="3"/>
  <c r="AI12" i="3"/>
  <c r="U12" i="3"/>
  <c r="AG11" i="3"/>
  <c r="AG10" i="3" s="1"/>
  <c r="Y11" i="3"/>
  <c r="Y10" i="3" s="1"/>
  <c r="O157" i="3" l="1"/>
  <c r="AF11" i="3"/>
  <c r="AF10" i="3" s="1"/>
  <c r="U157" i="3"/>
  <c r="AA157" i="3"/>
  <c r="AE11" i="3"/>
  <c r="AE10" i="3" s="1"/>
  <c r="AE157" i="3" s="1"/>
  <c r="AG157" i="3"/>
  <c r="M157" i="3"/>
  <c r="AI157" i="3"/>
  <c r="Y157" i="3"/>
  <c r="Z157" i="3"/>
  <c r="AI11" i="3"/>
  <c r="AI10" i="3" s="1"/>
  <c r="S157" i="3"/>
  <c r="T157" i="3"/>
  <c r="AF157" i="3"/>
  <c r="AH63" i="3"/>
  <c r="AH12" i="3"/>
  <c r="AH44" i="3"/>
  <c r="AH57" i="3"/>
  <c r="AH53" i="3"/>
  <c r="AH21" i="3"/>
  <c r="AH56" i="3" l="1"/>
  <c r="AH43" i="3"/>
  <c r="AH11" i="3"/>
  <c r="AH52" i="3"/>
  <c r="AH47" i="3" l="1"/>
  <c r="AH157" i="3" s="1"/>
  <c r="AH10" i="3"/>
  <c r="AH42" i="3"/>
  <c r="G156" i="3" l="1"/>
  <c r="G152" i="3"/>
  <c r="G148" i="3"/>
  <c r="G139" i="3"/>
  <c r="G135" i="3"/>
  <c r="G122" i="3"/>
  <c r="G113" i="3"/>
  <c r="G104" i="3"/>
  <c r="G91" i="3"/>
  <c r="G82" i="3"/>
  <c r="G73" i="3"/>
  <c r="G34" i="3"/>
  <c r="G25" i="3"/>
  <c r="G14" i="3"/>
  <c r="G19" i="3"/>
  <c r="G132" i="3"/>
  <c r="G143" i="3"/>
  <c r="G130" i="3"/>
  <c r="G126" i="3"/>
  <c r="G117" i="3"/>
  <c r="G108" i="3"/>
  <c r="G99" i="3"/>
  <c r="G95" i="3"/>
  <c r="G86" i="3"/>
  <c r="G81" i="3"/>
  <c r="G77" i="3"/>
  <c r="G72" i="3"/>
  <c r="G61" i="3"/>
  <c r="G41" i="3"/>
  <c r="G37" i="3"/>
  <c r="G30" i="3"/>
  <c r="G27" i="3"/>
  <c r="G20" i="3"/>
  <c r="G136" i="3"/>
  <c r="G83" i="3"/>
  <c r="G155" i="3"/>
  <c r="G151" i="3"/>
  <c r="G147" i="3"/>
  <c r="G138" i="3"/>
  <c r="G134" i="3"/>
  <c r="G121" i="3"/>
  <c r="G112" i="3"/>
  <c r="G103" i="3"/>
  <c r="G94" i="3"/>
  <c r="G90" i="3"/>
  <c r="G85" i="3"/>
  <c r="G76" i="3"/>
  <c r="G71" i="3"/>
  <c r="H71" i="3" s="1"/>
  <c r="G70" i="3"/>
  <c r="G69" i="3"/>
  <c r="G60" i="3"/>
  <c r="G51" i="3"/>
  <c r="G36" i="3"/>
  <c r="G33" i="3"/>
  <c r="G24" i="3"/>
  <c r="G119" i="3"/>
  <c r="G22" i="3"/>
  <c r="G15" i="3"/>
  <c r="G146" i="3"/>
  <c r="G142" i="3"/>
  <c r="G129" i="3"/>
  <c r="G125" i="3"/>
  <c r="G116" i="3"/>
  <c r="G111" i="3"/>
  <c r="G107" i="3"/>
  <c r="G102" i="3"/>
  <c r="G98" i="3"/>
  <c r="G89" i="3"/>
  <c r="G80" i="3"/>
  <c r="G68" i="3"/>
  <c r="G55" i="3"/>
  <c r="G39" i="3"/>
  <c r="H39" i="3" s="1"/>
  <c r="G29" i="3"/>
  <c r="G154" i="3"/>
  <c r="G150" i="3"/>
  <c r="G137" i="3"/>
  <c r="G133" i="3"/>
  <c r="G124" i="3"/>
  <c r="G120" i="3"/>
  <c r="G106" i="3"/>
  <c r="G93" i="3"/>
  <c r="G84" i="3"/>
  <c r="G75" i="3"/>
  <c r="G66" i="3"/>
  <c r="G65" i="3"/>
  <c r="G62" i="3"/>
  <c r="G38" i="3"/>
  <c r="G23" i="3"/>
  <c r="G18" i="3"/>
  <c r="G17" i="3"/>
  <c r="G153" i="3"/>
  <c r="G114" i="3"/>
  <c r="G105" i="3"/>
  <c r="G145" i="3"/>
  <c r="G141" i="3"/>
  <c r="G128" i="3"/>
  <c r="G115" i="3"/>
  <c r="G110" i="3"/>
  <c r="G101" i="3"/>
  <c r="G97" i="3"/>
  <c r="G88" i="3"/>
  <c r="G79" i="3"/>
  <c r="G16" i="3"/>
  <c r="H16" i="3" s="1"/>
  <c r="G149" i="3"/>
  <c r="G74" i="3"/>
  <c r="G144" i="3"/>
  <c r="G140" i="3"/>
  <c r="G131" i="3"/>
  <c r="G127" i="3"/>
  <c r="G118" i="3"/>
  <c r="G109" i="3"/>
  <c r="G100" i="3"/>
  <c r="G96" i="3"/>
  <c r="G87" i="3"/>
  <c r="G78" i="3"/>
  <c r="G123" i="3"/>
  <c r="G92" i="3"/>
  <c r="G46" i="3"/>
  <c r="G40" i="3"/>
  <c r="G26" i="3"/>
  <c r="G48" i="3"/>
  <c r="G35" i="3"/>
  <c r="G45" i="3"/>
  <c r="G64" i="3"/>
  <c r="H64" i="3" s="1"/>
  <c r="G31" i="3"/>
  <c r="H31" i="3" s="1"/>
  <c r="G32" i="3"/>
  <c r="G58" i="3"/>
  <c r="H58" i="3" s="1"/>
  <c r="G49" i="3"/>
  <c r="H49" i="3" s="1"/>
  <c r="G50" i="3"/>
  <c r="G67" i="3"/>
  <c r="G59" i="3"/>
  <c r="G54" i="3"/>
  <c r="G13" i="3"/>
  <c r="G28" i="3"/>
  <c r="G57" i="3"/>
  <c r="G21" i="3"/>
  <c r="H21" i="3" s="1"/>
  <c r="G63" i="3"/>
  <c r="G44" i="3"/>
  <c r="H44" i="3" s="1"/>
  <c r="G53" i="3"/>
  <c r="H53" i="3" s="1"/>
  <c r="G12" i="3"/>
  <c r="H12" i="3" s="1"/>
  <c r="G52" i="3"/>
  <c r="G11" i="3"/>
  <c r="G43" i="3"/>
  <c r="G56" i="3"/>
  <c r="G42" i="3"/>
  <c r="G47" i="3"/>
  <c r="G10" i="3"/>
  <c r="C195" i="2" l="1"/>
  <c r="C194" i="2"/>
  <c r="C193" i="2"/>
  <c r="C191" i="2"/>
  <c r="C190" i="2"/>
  <c r="AI189" i="2"/>
  <c r="AH189" i="2"/>
  <c r="AG189" i="2"/>
  <c r="AG188" i="2" s="1"/>
  <c r="AG168" i="2" s="1"/>
  <c r="AG167" i="2" s="1"/>
  <c r="AF189" i="2"/>
  <c r="AE189" i="2"/>
  <c r="AE188" i="2" s="1"/>
  <c r="AE168" i="2" s="1"/>
  <c r="AE167" i="2" s="1"/>
  <c r="AA189" i="2"/>
  <c r="Z189" i="2"/>
  <c r="Z188" i="2" s="1"/>
  <c r="Z168" i="2" s="1"/>
  <c r="Z167" i="2" s="1"/>
  <c r="Y189" i="2"/>
  <c r="U189" i="2"/>
  <c r="S189" i="2"/>
  <c r="S188" i="2" s="1"/>
  <c r="S168" i="2" s="1"/>
  <c r="S167" i="2" s="1"/>
  <c r="O189" i="2"/>
  <c r="O188" i="2" s="1"/>
  <c r="N189" i="2"/>
  <c r="M189" i="2"/>
  <c r="AI188" i="2"/>
  <c r="AH188" i="2"/>
  <c r="AF188" i="2"/>
  <c r="AA188" i="2"/>
  <c r="AA168" i="2" s="1"/>
  <c r="AA167" i="2" s="1"/>
  <c r="Y188" i="2"/>
  <c r="U188" i="2"/>
  <c r="U168" i="2" s="1"/>
  <c r="U167" i="2" s="1"/>
  <c r="T188" i="2"/>
  <c r="T168" i="2" s="1"/>
  <c r="T167" i="2" s="1"/>
  <c r="N188" i="2"/>
  <c r="M188" i="2"/>
  <c r="M168" i="2" s="1"/>
  <c r="M167" i="2" s="1"/>
  <c r="AI180" i="2"/>
  <c r="AH180" i="2"/>
  <c r="AH179" i="2" s="1"/>
  <c r="O180" i="2"/>
  <c r="O179" i="2" s="1"/>
  <c r="O168" i="2" s="1"/>
  <c r="O167" i="2" s="1"/>
  <c r="N180" i="2"/>
  <c r="N179" i="2" s="1"/>
  <c r="N168" i="2" s="1"/>
  <c r="N167" i="2" s="1"/>
  <c r="M180" i="2"/>
  <c r="M179" i="2"/>
  <c r="AI170" i="2"/>
  <c r="AI169" i="2" s="1"/>
  <c r="AI168" i="2" s="1"/>
  <c r="AI167" i="2" s="1"/>
  <c r="AH170" i="2"/>
  <c r="O170" i="2"/>
  <c r="N170" i="2"/>
  <c r="M170" i="2"/>
  <c r="AH169" i="2"/>
  <c r="AF168" i="2"/>
  <c r="AF167" i="2" s="1"/>
  <c r="Y168" i="2"/>
  <c r="Y167" i="2" s="1"/>
  <c r="AI165" i="2"/>
  <c r="AH165" i="2"/>
  <c r="O165" i="2"/>
  <c r="O164" i="2"/>
  <c r="O163" i="2" s="1"/>
  <c r="O150" i="2" s="1"/>
  <c r="AI163" i="2"/>
  <c r="AH163" i="2"/>
  <c r="AA163" i="2"/>
  <c r="U163" i="2"/>
  <c r="AI161" i="2"/>
  <c r="AH161" i="2"/>
  <c r="AI159" i="2"/>
  <c r="AH159" i="2"/>
  <c r="AA159" i="2"/>
  <c r="AI157" i="2"/>
  <c r="AI156" i="2" s="1"/>
  <c r="AI155" i="2" s="1"/>
  <c r="AH157" i="2"/>
  <c r="AH156" i="2" s="1"/>
  <c r="AH155" i="2" s="1"/>
  <c r="AG156" i="2"/>
  <c r="AG155" i="2"/>
  <c r="AI153" i="2"/>
  <c r="AI152" i="2" s="1"/>
  <c r="AI151" i="2" s="1"/>
  <c r="AH153" i="2"/>
  <c r="AH152" i="2" s="1"/>
  <c r="AH151" i="2" s="1"/>
  <c r="AI148" i="2"/>
  <c r="AH148" i="2"/>
  <c r="AI146" i="2"/>
  <c r="AH146" i="2"/>
  <c r="AI144" i="2"/>
  <c r="AI143" i="2" s="1"/>
  <c r="AI142" i="2" s="1"/>
  <c r="AI141" i="2" s="1"/>
  <c r="AH144" i="2"/>
  <c r="AH143" i="2"/>
  <c r="AH142" i="2" s="1"/>
  <c r="AH141" i="2" s="1"/>
  <c r="S142" i="2"/>
  <c r="S141" i="2"/>
  <c r="AI139" i="2"/>
  <c r="AI138" i="2" s="1"/>
  <c r="AI137" i="2" s="1"/>
  <c r="AI136" i="2" s="1"/>
  <c r="AH139" i="2"/>
  <c r="AH138" i="2" s="1"/>
  <c r="AH137" i="2" s="1"/>
  <c r="AH136" i="2" s="1"/>
  <c r="O139" i="2"/>
  <c r="O138" i="2" s="1"/>
  <c r="O137" i="2" s="1"/>
  <c r="O136" i="2" s="1"/>
  <c r="AG137" i="2"/>
  <c r="AA137" i="2"/>
  <c r="T137" i="2"/>
  <c r="AI134" i="2"/>
  <c r="AH134" i="2"/>
  <c r="AI133" i="2"/>
  <c r="AH133" i="2"/>
  <c r="AH132" i="2" s="1"/>
  <c r="AG133" i="2"/>
  <c r="AF133" i="2"/>
  <c r="AE133" i="2"/>
  <c r="AI132" i="2"/>
  <c r="AG132" i="2"/>
  <c r="AF132" i="2"/>
  <c r="AE132" i="2"/>
  <c r="AI130" i="2"/>
  <c r="AH130" i="2"/>
  <c r="O130" i="2"/>
  <c r="N130" i="2"/>
  <c r="N129" i="2" s="1"/>
  <c r="M130" i="2"/>
  <c r="AI129" i="2"/>
  <c r="AH129" i="2"/>
  <c r="AG129" i="2"/>
  <c r="AG113" i="2" s="1"/>
  <c r="AF129" i="2"/>
  <c r="S129" i="2"/>
  <c r="O129" i="2"/>
  <c r="M129" i="2"/>
  <c r="AI127" i="2"/>
  <c r="AH127" i="2"/>
  <c r="O127" i="2"/>
  <c r="O122" i="2" s="1"/>
  <c r="O114" i="2" s="1"/>
  <c r="O113" i="2" s="1"/>
  <c r="AI125" i="2"/>
  <c r="AH125" i="2"/>
  <c r="O125" i="2"/>
  <c r="AI123" i="2"/>
  <c r="AI122" i="2" s="1"/>
  <c r="AH123" i="2"/>
  <c r="AH122" i="2"/>
  <c r="U122" i="2"/>
  <c r="U113" i="2" s="1"/>
  <c r="T122" i="2"/>
  <c r="S122" i="2"/>
  <c r="AI120" i="2"/>
  <c r="AH120" i="2"/>
  <c r="AI118" i="2"/>
  <c r="AH118" i="2"/>
  <c r="AI116" i="2"/>
  <c r="AI115" i="2" s="1"/>
  <c r="AH116" i="2"/>
  <c r="O116" i="2"/>
  <c r="AH115" i="2"/>
  <c r="AH114" i="2" s="1"/>
  <c r="AH113" i="2" s="1"/>
  <c r="AA115" i="2"/>
  <c r="Z115" i="2"/>
  <c r="Z113" i="2" s="1"/>
  <c r="U115" i="2"/>
  <c r="U114" i="2" s="1"/>
  <c r="T115" i="2"/>
  <c r="T113" i="2" s="1"/>
  <c r="S115" i="2"/>
  <c r="O115" i="2"/>
  <c r="AF114" i="2"/>
  <c r="AA114" i="2"/>
  <c r="Z114" i="2"/>
  <c r="S114" i="2"/>
  <c r="M114" i="2"/>
  <c r="AF113" i="2"/>
  <c r="AE113" i="2"/>
  <c r="AA113" i="2"/>
  <c r="S113" i="2"/>
  <c r="M113" i="2"/>
  <c r="AI111" i="2"/>
  <c r="AH111" i="2"/>
  <c r="O111" i="2"/>
  <c r="N111" i="2"/>
  <c r="M111" i="2"/>
  <c r="AI106" i="2"/>
  <c r="AH106" i="2"/>
  <c r="O106" i="2"/>
  <c r="N106" i="2"/>
  <c r="N100" i="2" s="1"/>
  <c r="N99" i="2" s="1"/>
  <c r="N93" i="2" s="1"/>
  <c r="M106" i="2"/>
  <c r="AI104" i="2"/>
  <c r="AH104" i="2"/>
  <c r="O104" i="2"/>
  <c r="O100" i="2" s="1"/>
  <c r="O99" i="2" s="1"/>
  <c r="O93" i="2" s="1"/>
  <c r="N104" i="2"/>
  <c r="M104" i="2"/>
  <c r="AI101" i="2"/>
  <c r="AH101" i="2"/>
  <c r="O101" i="2"/>
  <c r="N101" i="2"/>
  <c r="M101" i="2"/>
  <c r="M100" i="2" s="1"/>
  <c r="M99" i="2" s="1"/>
  <c r="M93" i="2" s="1"/>
  <c r="AH100" i="2"/>
  <c r="AH99" i="2" s="1"/>
  <c r="AG100" i="2"/>
  <c r="AF100" i="2"/>
  <c r="AF99" i="2" s="1"/>
  <c r="AF93" i="2" s="1"/>
  <c r="AI99" i="2"/>
  <c r="AG99" i="2"/>
  <c r="AG93" i="2" s="1"/>
  <c r="AE99" i="2"/>
  <c r="AE93" i="2" s="1"/>
  <c r="AA99" i="2"/>
  <c r="AA93" i="2" s="1"/>
  <c r="Z99" i="2"/>
  <c r="Z93" i="2" s="1"/>
  <c r="Y99" i="2"/>
  <c r="U99" i="2"/>
  <c r="T99" i="2"/>
  <c r="S99" i="2"/>
  <c r="S93" i="2" s="1"/>
  <c r="AI96" i="2"/>
  <c r="AH96" i="2"/>
  <c r="AH95" i="2"/>
  <c r="AI94" i="2"/>
  <c r="AH94" i="2"/>
  <c r="AH93" i="2" s="1"/>
  <c r="AA94" i="2"/>
  <c r="Z94" i="2"/>
  <c r="Y94" i="2"/>
  <c r="U94" i="2"/>
  <c r="U93" i="2" s="1"/>
  <c r="T94" i="2"/>
  <c r="Y93" i="2"/>
  <c r="T93" i="2"/>
  <c r="AI89" i="2"/>
  <c r="AH89" i="2"/>
  <c r="AF89" i="2"/>
  <c r="AF88" i="2" s="1"/>
  <c r="AA89" i="2"/>
  <c r="AA88" i="2" s="1"/>
  <c r="AI88" i="2"/>
  <c r="AI87" i="2" s="1"/>
  <c r="AH88" i="2"/>
  <c r="AH87" i="2" s="1"/>
  <c r="AI85" i="2"/>
  <c r="AH85" i="2"/>
  <c r="AI84" i="2"/>
  <c r="AI74" i="2" s="1"/>
  <c r="AH84" i="2"/>
  <c r="Y84" i="2"/>
  <c r="AI82" i="2"/>
  <c r="AH82" i="2"/>
  <c r="U82" i="2"/>
  <c r="AI79" i="2"/>
  <c r="AH79" i="2"/>
  <c r="AG79" i="2"/>
  <c r="AE79" i="2"/>
  <c r="AE75" i="2" s="1"/>
  <c r="AE74" i="2" s="1"/>
  <c r="Z79" i="2"/>
  <c r="U79" i="2"/>
  <c r="T79" i="2"/>
  <c r="T75" i="2" s="1"/>
  <c r="T74" i="2" s="1"/>
  <c r="O79" i="2"/>
  <c r="O75" i="2" s="1"/>
  <c r="O74" i="2" s="1"/>
  <c r="AI76" i="2"/>
  <c r="AH76" i="2"/>
  <c r="AH75" i="2" s="1"/>
  <c r="AH74" i="2" s="1"/>
  <c r="Z76" i="2"/>
  <c r="Y76" i="2"/>
  <c r="Y75" i="2" s="1"/>
  <c r="Y74" i="2" s="1"/>
  <c r="U76" i="2"/>
  <c r="AI75" i="2"/>
  <c r="AG75" i="2"/>
  <c r="AG74" i="2" s="1"/>
  <c r="Z75" i="2"/>
  <c r="Z74" i="2" s="1"/>
  <c r="U75" i="2"/>
  <c r="U74" i="2" s="1"/>
  <c r="AI72" i="2"/>
  <c r="AH72" i="2"/>
  <c r="AG72" i="2"/>
  <c r="AI69" i="2"/>
  <c r="AH69" i="2"/>
  <c r="AA69" i="2"/>
  <c r="Z69" i="2"/>
  <c r="Y69" i="2"/>
  <c r="U69" i="2"/>
  <c r="T69" i="2"/>
  <c r="AI67" i="2"/>
  <c r="AH67" i="2"/>
  <c r="AH63" i="2" s="1"/>
  <c r="AA67" i="2"/>
  <c r="AA63" i="2" s="1"/>
  <c r="Z67" i="2"/>
  <c r="U67" i="2"/>
  <c r="T67" i="2"/>
  <c r="AI64" i="2"/>
  <c r="AI63" i="2" s="1"/>
  <c r="AH64" i="2"/>
  <c r="AG64" i="2"/>
  <c r="AF64" i="2"/>
  <c r="AF63" i="2" s="1"/>
  <c r="AE64" i="2"/>
  <c r="AE63" i="2" s="1"/>
  <c r="AA64" i="2"/>
  <c r="Z64" i="2"/>
  <c r="Y64" i="2"/>
  <c r="Y63" i="2" s="1"/>
  <c r="U64" i="2"/>
  <c r="U63" i="2" s="1"/>
  <c r="T64" i="2"/>
  <c r="S64" i="2"/>
  <c r="O64" i="2"/>
  <c r="O63" i="2" s="1"/>
  <c r="N64" i="2"/>
  <c r="N63" i="2" s="1"/>
  <c r="M64" i="2"/>
  <c r="AG63" i="2"/>
  <c r="Z63" i="2"/>
  <c r="T63" i="2"/>
  <c r="S63" i="2"/>
  <c r="M63" i="2"/>
  <c r="AI60" i="2"/>
  <c r="AH60" i="2"/>
  <c r="AF60" i="2"/>
  <c r="AI56" i="2"/>
  <c r="AH56" i="2"/>
  <c r="AG56" i="2"/>
  <c r="AF56" i="2"/>
  <c r="AF52" i="2" s="1"/>
  <c r="AE56" i="2"/>
  <c r="AE52" i="2" s="1"/>
  <c r="AA56" i="2"/>
  <c r="AA52" i="2" s="1"/>
  <c r="Z56" i="2"/>
  <c r="Y56" i="2"/>
  <c r="U56" i="2"/>
  <c r="T56" i="2"/>
  <c r="S56" i="2"/>
  <c r="O56" i="2"/>
  <c r="O52" i="2" s="1"/>
  <c r="N56" i="2"/>
  <c r="N52" i="2" s="1"/>
  <c r="M56" i="2"/>
  <c r="M52" i="2" s="1"/>
  <c r="AI53" i="2"/>
  <c r="AH53" i="2"/>
  <c r="Z53" i="2"/>
  <c r="Z52" i="2" s="1"/>
  <c r="Y53" i="2"/>
  <c r="Y52" i="2" s="1"/>
  <c r="U53" i="2"/>
  <c r="T53" i="2"/>
  <c r="AI52" i="2"/>
  <c r="AH52" i="2"/>
  <c r="AG52" i="2"/>
  <c r="U52" i="2"/>
  <c r="T52" i="2"/>
  <c r="S52" i="2"/>
  <c r="AH49" i="2"/>
  <c r="AI46" i="2"/>
  <c r="AH46" i="2"/>
  <c r="AF46" i="2"/>
  <c r="AE46" i="2"/>
  <c r="AI44" i="2"/>
  <c r="AI43" i="2" s="1"/>
  <c r="AH44" i="2"/>
  <c r="AF44" i="2"/>
  <c r="AF43" i="2" s="1"/>
  <c r="AH43" i="2"/>
  <c r="AE43" i="2"/>
  <c r="AI40" i="2"/>
  <c r="AH40" i="2"/>
  <c r="AG40" i="2"/>
  <c r="AF40" i="2"/>
  <c r="AE40" i="2"/>
  <c r="AA40" i="2"/>
  <c r="AA32" i="2" s="1"/>
  <c r="Z40" i="2"/>
  <c r="Y40" i="2"/>
  <c r="U40" i="2"/>
  <c r="T40" i="2"/>
  <c r="S40" i="2"/>
  <c r="O40" i="2"/>
  <c r="N40" i="2"/>
  <c r="M40" i="2"/>
  <c r="M32" i="2" s="1"/>
  <c r="AI37" i="2"/>
  <c r="AH37" i="2"/>
  <c r="AH32" i="2" s="1"/>
  <c r="AF37" i="2"/>
  <c r="AE37" i="2"/>
  <c r="AA37" i="2"/>
  <c r="Z37" i="2"/>
  <c r="Y37" i="2"/>
  <c r="U37" i="2"/>
  <c r="T37" i="2"/>
  <c r="T32" i="2" s="1"/>
  <c r="S37" i="2"/>
  <c r="S32" i="2" s="1"/>
  <c r="O37" i="2"/>
  <c r="N37" i="2"/>
  <c r="M37" i="2"/>
  <c r="AI33" i="2"/>
  <c r="AI32" i="2" s="1"/>
  <c r="AH33" i="2"/>
  <c r="AG33" i="2"/>
  <c r="AF33" i="2"/>
  <c r="AF32" i="2" s="1"/>
  <c r="AE33" i="2"/>
  <c r="AE32" i="2" s="1"/>
  <c r="AA33" i="2"/>
  <c r="Z33" i="2"/>
  <c r="Y33" i="2"/>
  <c r="Y32" i="2" s="1"/>
  <c r="U33" i="2"/>
  <c r="U32" i="2" s="1"/>
  <c r="T33" i="2"/>
  <c r="S33" i="2"/>
  <c r="O33" i="2"/>
  <c r="O32" i="2" s="1"/>
  <c r="N33" i="2"/>
  <c r="N32" i="2" s="1"/>
  <c r="M33" i="2"/>
  <c r="AG32" i="2"/>
  <c r="Z32" i="2"/>
  <c r="AI28" i="2"/>
  <c r="AI27" i="2" s="1"/>
  <c r="AH28" i="2"/>
  <c r="Y28" i="2"/>
  <c r="Y27" i="2" s="1"/>
  <c r="AH27" i="2"/>
  <c r="AI25" i="2"/>
  <c r="AH25" i="2"/>
  <c r="AF25" i="2"/>
  <c r="AF13" i="2" s="1"/>
  <c r="AE25" i="2"/>
  <c r="AA25" i="2"/>
  <c r="Z25" i="2"/>
  <c r="Y25" i="2"/>
  <c r="Y13" i="2" s="1"/>
  <c r="Y12" i="2" s="1"/>
  <c r="Y11" i="2" s="1"/>
  <c r="Y196" i="2" s="1"/>
  <c r="U25" i="2"/>
  <c r="T25" i="2"/>
  <c r="S25" i="2"/>
  <c r="O25" i="2"/>
  <c r="N25" i="2"/>
  <c r="AI20" i="2"/>
  <c r="AH20" i="2"/>
  <c r="AG20" i="2"/>
  <c r="AG13" i="2" s="1"/>
  <c r="AG12" i="2" s="1"/>
  <c r="AG11" i="2" s="1"/>
  <c r="AG196" i="2" s="1"/>
  <c r="AF20" i="2"/>
  <c r="AE20" i="2"/>
  <c r="AA20" i="2"/>
  <c r="AA13" i="2" s="1"/>
  <c r="Z20" i="2"/>
  <c r="Z13" i="2" s="1"/>
  <c r="Y20" i="2"/>
  <c r="U20" i="2"/>
  <c r="T20" i="2"/>
  <c r="T13" i="2" s="1"/>
  <c r="S20" i="2"/>
  <c r="S13" i="2" s="1"/>
  <c r="S12" i="2" s="1"/>
  <c r="S11" i="2" s="1"/>
  <c r="S196" i="2" s="1"/>
  <c r="O20" i="2"/>
  <c r="N20" i="2"/>
  <c r="M20" i="2"/>
  <c r="M13" i="2" s="1"/>
  <c r="AI17" i="2"/>
  <c r="AI13" i="2" s="1"/>
  <c r="AH17" i="2"/>
  <c r="AF17" i="2"/>
  <c r="AE17" i="2"/>
  <c r="AI14" i="2"/>
  <c r="AH14" i="2"/>
  <c r="AH13" i="2" s="1"/>
  <c r="AH12" i="2" s="1"/>
  <c r="O14" i="2"/>
  <c r="O13" i="2" s="1"/>
  <c r="N14" i="2"/>
  <c r="AE13" i="2"/>
  <c r="U13" i="2"/>
  <c r="N13" i="2"/>
  <c r="T12" i="2" l="1"/>
  <c r="T11" i="2" s="1"/>
  <c r="T196" i="2" s="1"/>
  <c r="N12" i="2"/>
  <c r="N11" i="2" s="1"/>
  <c r="N196" i="2" s="1"/>
  <c r="AH168" i="2"/>
  <c r="AH167" i="2" s="1"/>
  <c r="AE12" i="2"/>
  <c r="AE11" i="2" s="1"/>
  <c r="AE196" i="2" s="1"/>
  <c r="Z12" i="2"/>
  <c r="Z11" i="2" s="1"/>
  <c r="Z196" i="2" s="1"/>
  <c r="AA12" i="2"/>
  <c r="AA11" i="2" s="1"/>
  <c r="AA196" i="2" s="1"/>
  <c r="AH150" i="2"/>
  <c r="N113" i="2"/>
  <c r="N114" i="2"/>
  <c r="U12" i="2"/>
  <c r="U11" i="2" s="1"/>
  <c r="U196" i="2" s="1"/>
  <c r="AI12" i="2"/>
  <c r="AF12" i="2"/>
  <c r="AF11" i="2" s="1"/>
  <c r="AF196" i="2" s="1"/>
  <c r="M12" i="2"/>
  <c r="M11" i="2" s="1"/>
  <c r="M196" i="2" s="1"/>
  <c r="O12" i="2"/>
  <c r="O11" i="2" s="1"/>
  <c r="O196" i="2" s="1"/>
  <c r="AI114" i="2"/>
  <c r="AI113" i="2" s="1"/>
  <c r="AI150" i="2"/>
  <c r="AG114" i="2"/>
  <c r="T114" i="2"/>
  <c r="AI196" i="2" l="1"/>
  <c r="AH196" i="2"/>
  <c r="G118" i="1" l="1"/>
  <c r="AM117" i="1"/>
  <c r="AM116" i="1" s="1"/>
  <c r="AM115" i="1" s="1"/>
  <c r="AM114" i="1" s="1"/>
  <c r="AM113" i="1" s="1"/>
  <c r="AM118" i="1" s="1"/>
  <c r="AH117" i="1"/>
  <c r="G117" i="1" s="1"/>
  <c r="C117" i="1"/>
  <c r="AF116" i="1"/>
  <c r="AF115" i="1" s="1"/>
  <c r="AF114" i="1" s="1"/>
  <c r="AF113" i="1" s="1"/>
  <c r="T112" i="1"/>
  <c r="G112" i="1"/>
  <c r="O111" i="1"/>
  <c r="O110" i="1" s="1"/>
  <c r="O106" i="1" s="1"/>
  <c r="O105" i="1" s="1"/>
  <c r="O104" i="1" s="1"/>
  <c r="G111" i="1"/>
  <c r="AL110" i="1"/>
  <c r="AI110" i="1"/>
  <c r="AH110" i="1"/>
  <c r="G110" i="1" s="1"/>
  <c r="T110" i="1"/>
  <c r="T106" i="1" s="1"/>
  <c r="T105" i="1" s="1"/>
  <c r="T104" i="1" s="1"/>
  <c r="AG109" i="1"/>
  <c r="AA109" i="1"/>
  <c r="U109" i="1"/>
  <c r="G109" i="1"/>
  <c r="AG108" i="1"/>
  <c r="AG107" i="1" s="1"/>
  <c r="AG106" i="1" s="1"/>
  <c r="AG105" i="1" s="1"/>
  <c r="AG104" i="1" s="1"/>
  <c r="AF108" i="1"/>
  <c r="AF107" i="1" s="1"/>
  <c r="AF106" i="1" s="1"/>
  <c r="AF105" i="1" s="1"/>
  <c r="AF104" i="1" s="1"/>
  <c r="AE108" i="1"/>
  <c r="AA108" i="1"/>
  <c r="S108" i="1"/>
  <c r="S107" i="1" s="1"/>
  <c r="S106" i="1" s="1"/>
  <c r="S105" i="1" s="1"/>
  <c r="S104" i="1" s="1"/>
  <c r="N108" i="1"/>
  <c r="N107" i="1" s="1"/>
  <c r="N106" i="1" s="1"/>
  <c r="N105" i="1" s="1"/>
  <c r="N104" i="1" s="1"/>
  <c r="G108" i="1"/>
  <c r="AL107" i="1"/>
  <c r="AL106" i="1" s="1"/>
  <c r="AL105" i="1" s="1"/>
  <c r="AL104" i="1" s="1"/>
  <c r="AI107" i="1"/>
  <c r="AI106" i="1" s="1"/>
  <c r="AI105" i="1" s="1"/>
  <c r="AI104" i="1" s="1"/>
  <c r="AH107" i="1"/>
  <c r="AH106" i="1" s="1"/>
  <c r="AE107" i="1"/>
  <c r="AE106" i="1" s="1"/>
  <c r="AE105" i="1" s="1"/>
  <c r="AE104" i="1" s="1"/>
  <c r="AA107" i="1"/>
  <c r="AA106" i="1" s="1"/>
  <c r="AA105" i="1" s="1"/>
  <c r="AA104" i="1" s="1"/>
  <c r="U107" i="1"/>
  <c r="G107" i="1"/>
  <c r="U106" i="1"/>
  <c r="U105" i="1" s="1"/>
  <c r="U104" i="1" s="1"/>
  <c r="AA103" i="1"/>
  <c r="AA102" i="1" s="1"/>
  <c r="AA101" i="1" s="1"/>
  <c r="AA100" i="1" s="1"/>
  <c r="AA99" i="1" s="1"/>
  <c r="S103" i="1"/>
  <c r="G103" i="1"/>
  <c r="AL102" i="1"/>
  <c r="AL101" i="1" s="1"/>
  <c r="AL100" i="1" s="1"/>
  <c r="AL99" i="1" s="1"/>
  <c r="AI102" i="1"/>
  <c r="AI101" i="1" s="1"/>
  <c r="AI100" i="1" s="1"/>
  <c r="AI99" i="1" s="1"/>
  <c r="AH102" i="1"/>
  <c r="S102" i="1"/>
  <c r="G102" i="1"/>
  <c r="AH101" i="1"/>
  <c r="G101" i="1" s="1"/>
  <c r="S101" i="1"/>
  <c r="S100" i="1"/>
  <c r="S99" i="1" s="1"/>
  <c r="AF98" i="1"/>
  <c r="AE98" i="1"/>
  <c r="AA98" i="1"/>
  <c r="Z98" i="1"/>
  <c r="Y98" i="1"/>
  <c r="U98" i="1"/>
  <c r="T98" i="1"/>
  <c r="S98" i="1"/>
  <c r="O98" i="1"/>
  <c r="N98" i="1"/>
  <c r="G98" i="1"/>
  <c r="M97" i="1"/>
  <c r="G97" i="1"/>
  <c r="AL96" i="1"/>
  <c r="AL95" i="1" s="1"/>
  <c r="AI96" i="1"/>
  <c r="AH96" i="1"/>
  <c r="AF96" i="1"/>
  <c r="AF95" i="1" s="1"/>
  <c r="AE96" i="1"/>
  <c r="AE95" i="1" s="1"/>
  <c r="AA96" i="1"/>
  <c r="Z96" i="1"/>
  <c r="Y96" i="1"/>
  <c r="U96" i="1"/>
  <c r="U95" i="1" s="1"/>
  <c r="T96" i="1"/>
  <c r="S96" i="1"/>
  <c r="O96" i="1"/>
  <c r="O95" i="1" s="1"/>
  <c r="N96" i="1"/>
  <c r="N95" i="1" s="1"/>
  <c r="M96" i="1"/>
  <c r="G96" i="1"/>
  <c r="AI95" i="1"/>
  <c r="AI93" i="1" s="1"/>
  <c r="AH95" i="1"/>
  <c r="AA95" i="1"/>
  <c r="AA94" i="1" s="1"/>
  <c r="Z95" i="1"/>
  <c r="Z93" i="1" s="1"/>
  <c r="Y95" i="1"/>
  <c r="T95" i="1"/>
  <c r="T93" i="1" s="1"/>
  <c r="S95" i="1"/>
  <c r="M95" i="1"/>
  <c r="M93" i="1" s="1"/>
  <c r="G95" i="1"/>
  <c r="AH94" i="1"/>
  <c r="G94" i="1" s="1"/>
  <c r="Z94" i="1"/>
  <c r="Y94" i="1"/>
  <c r="S94" i="1"/>
  <c r="AH93" i="1"/>
  <c r="Y93" i="1"/>
  <c r="S93" i="1"/>
  <c r="G93" i="1"/>
  <c r="U92" i="1"/>
  <c r="U90" i="1" s="1"/>
  <c r="U87" i="1" s="1"/>
  <c r="U86" i="1" s="1"/>
  <c r="U85" i="1" s="1"/>
  <c r="G92" i="1"/>
  <c r="AE91" i="1"/>
  <c r="Y91" i="1"/>
  <c r="T91" i="1"/>
  <c r="G91" i="1"/>
  <c r="AL90" i="1"/>
  <c r="AI90" i="1"/>
  <c r="AH90" i="1"/>
  <c r="G90" i="1" s="1"/>
  <c r="AE90" i="1"/>
  <c r="Y90" i="1"/>
  <c r="T90" i="1"/>
  <c r="T87" i="1" s="1"/>
  <c r="T86" i="1" s="1"/>
  <c r="T85" i="1" s="1"/>
  <c r="Z89" i="1"/>
  <c r="G89" i="1"/>
  <c r="AL88" i="1"/>
  <c r="AL87" i="1" s="1"/>
  <c r="AL86" i="1" s="1"/>
  <c r="AL85" i="1" s="1"/>
  <c r="AI88" i="1"/>
  <c r="AI87" i="1" s="1"/>
  <c r="AI86" i="1" s="1"/>
  <c r="AI85" i="1" s="1"/>
  <c r="AH88" i="1"/>
  <c r="AH87" i="1" s="1"/>
  <c r="Z88" i="1"/>
  <c r="G88" i="1"/>
  <c r="AE87" i="1"/>
  <c r="Z87" i="1"/>
  <c r="Z86" i="1" s="1"/>
  <c r="Z85" i="1" s="1"/>
  <c r="Y87" i="1"/>
  <c r="Y86" i="1" s="1"/>
  <c r="Y85" i="1" s="1"/>
  <c r="X87" i="1"/>
  <c r="W87" i="1"/>
  <c r="V87" i="1"/>
  <c r="AE86" i="1"/>
  <c r="AE85" i="1" s="1"/>
  <c r="AG84" i="1"/>
  <c r="AF84" i="1"/>
  <c r="AF83" i="1" s="1"/>
  <c r="AF82" i="1" s="1"/>
  <c r="AF81" i="1" s="1"/>
  <c r="AF80" i="1" s="1"/>
  <c r="AE84" i="1"/>
  <c r="AA84" i="1"/>
  <c r="Z84" i="1"/>
  <c r="Z83" i="1" s="1"/>
  <c r="Z82" i="1" s="1"/>
  <c r="Z81" i="1" s="1"/>
  <c r="Z80" i="1" s="1"/>
  <c r="Y84" i="1"/>
  <c r="Y83" i="1" s="1"/>
  <c r="Y82" i="1" s="1"/>
  <c r="Y81" i="1" s="1"/>
  <c r="Y80" i="1" s="1"/>
  <c r="U84" i="1"/>
  <c r="T84" i="1"/>
  <c r="S84" i="1"/>
  <c r="O84" i="1"/>
  <c r="O83" i="1" s="1"/>
  <c r="O82" i="1" s="1"/>
  <c r="O81" i="1" s="1"/>
  <c r="O80" i="1" s="1"/>
  <c r="N84" i="1"/>
  <c r="G84" i="1"/>
  <c r="AL83" i="1"/>
  <c r="AL82" i="1" s="1"/>
  <c r="AL81" i="1" s="1"/>
  <c r="AL80" i="1" s="1"/>
  <c r="AI83" i="1"/>
  <c r="AI82" i="1" s="1"/>
  <c r="AI81" i="1" s="1"/>
  <c r="AI80" i="1" s="1"/>
  <c r="AH83" i="1"/>
  <c r="G83" i="1" s="1"/>
  <c r="AG83" i="1"/>
  <c r="AE83" i="1"/>
  <c r="AE82" i="1" s="1"/>
  <c r="AE81" i="1" s="1"/>
  <c r="AE80" i="1" s="1"/>
  <c r="AA83" i="1"/>
  <c r="U83" i="1"/>
  <c r="U82" i="1" s="1"/>
  <c r="U81" i="1" s="1"/>
  <c r="U80" i="1" s="1"/>
  <c r="T83" i="1"/>
  <c r="S83" i="1"/>
  <c r="N83" i="1"/>
  <c r="N82" i="1" s="1"/>
  <c r="N81" i="1" s="1"/>
  <c r="N80" i="1" s="1"/>
  <c r="AH82" i="1"/>
  <c r="AH81" i="1" s="1"/>
  <c r="AG82" i="1"/>
  <c r="AA82" i="1"/>
  <c r="AA81" i="1" s="1"/>
  <c r="AA80" i="1" s="1"/>
  <c r="T82" i="1"/>
  <c r="T81" i="1" s="1"/>
  <c r="T80" i="1" s="1"/>
  <c r="S82" i="1"/>
  <c r="G82" i="1"/>
  <c r="AG81" i="1"/>
  <c r="AG80" i="1" s="1"/>
  <c r="S81" i="1"/>
  <c r="S80" i="1" s="1"/>
  <c r="AF79" i="1"/>
  <c r="Z79" i="1"/>
  <c r="Z76" i="1" s="1"/>
  <c r="Z75" i="1" s="1"/>
  <c r="U79" i="1"/>
  <c r="G79" i="1"/>
  <c r="AE78" i="1"/>
  <c r="Y78" i="1"/>
  <c r="Y76" i="1" s="1"/>
  <c r="Y75" i="1" s="1"/>
  <c r="T78" i="1"/>
  <c r="T76" i="1" s="1"/>
  <c r="T75" i="1" s="1"/>
  <c r="G78" i="1"/>
  <c r="M77" i="1"/>
  <c r="M76" i="1" s="1"/>
  <c r="M75" i="1" s="1"/>
  <c r="G77" i="1"/>
  <c r="AL76" i="1"/>
  <c r="AI76" i="1"/>
  <c r="AH76" i="1"/>
  <c r="AF76" i="1"/>
  <c r="AF75" i="1" s="1"/>
  <c r="AE76" i="1"/>
  <c r="U76" i="1"/>
  <c r="U75" i="1" s="1"/>
  <c r="G76" i="1"/>
  <c r="AL75" i="1"/>
  <c r="AI75" i="1"/>
  <c r="AH75" i="1"/>
  <c r="AE75" i="1"/>
  <c r="G75" i="1"/>
  <c r="O74" i="1"/>
  <c r="G74" i="1"/>
  <c r="AL73" i="1"/>
  <c r="AI73" i="1"/>
  <c r="AH73" i="1"/>
  <c r="O73" i="1"/>
  <c r="G73" i="1"/>
  <c r="N72" i="1"/>
  <c r="N71" i="1" s="1"/>
  <c r="G72" i="1"/>
  <c r="AL71" i="1"/>
  <c r="AI71" i="1"/>
  <c r="AH71" i="1"/>
  <c r="G71" i="1"/>
  <c r="AG70" i="1"/>
  <c r="AF70" i="1"/>
  <c r="AE70" i="1"/>
  <c r="AA70" i="1"/>
  <c r="Z70" i="1"/>
  <c r="Y70" i="1"/>
  <c r="U70" i="1"/>
  <c r="T70" i="1"/>
  <c r="S70" i="1"/>
  <c r="O70" i="1"/>
  <c r="N70" i="1"/>
  <c r="M70" i="1"/>
  <c r="G70" i="1"/>
  <c r="AL69" i="1"/>
  <c r="AI69" i="1"/>
  <c r="AH69" i="1"/>
  <c r="G69" i="1" s="1"/>
  <c r="AG69" i="1"/>
  <c r="AF69" i="1"/>
  <c r="AE69" i="1"/>
  <c r="AA69" i="1"/>
  <c r="Z69" i="1"/>
  <c r="Y69" i="1"/>
  <c r="U69" i="1"/>
  <c r="T69" i="1"/>
  <c r="T62" i="1" s="1"/>
  <c r="S69" i="1"/>
  <c r="O69" i="1"/>
  <c r="N69" i="1"/>
  <c r="M69" i="1"/>
  <c r="M62" i="1" s="1"/>
  <c r="AG68" i="1"/>
  <c r="AF68" i="1"/>
  <c r="AF67" i="1" s="1"/>
  <c r="U68" i="1"/>
  <c r="O68" i="1"/>
  <c r="G68" i="1"/>
  <c r="AL67" i="1"/>
  <c r="AI67" i="1"/>
  <c r="AH67" i="1"/>
  <c r="AG67" i="1"/>
  <c r="U67" i="1"/>
  <c r="O67" i="1"/>
  <c r="O62" i="1" s="1"/>
  <c r="G67" i="1"/>
  <c r="AF66" i="1"/>
  <c r="AA66" i="1"/>
  <c r="U66" i="1"/>
  <c r="S66" i="1"/>
  <c r="G66" i="1"/>
  <c r="AL65" i="1"/>
  <c r="AL62" i="1" s="1"/>
  <c r="AI65" i="1"/>
  <c r="AH65" i="1"/>
  <c r="G65" i="1" s="1"/>
  <c r="AF65" i="1"/>
  <c r="AA65" i="1"/>
  <c r="AA62" i="1" s="1"/>
  <c r="U65" i="1"/>
  <c r="S65" i="1"/>
  <c r="AG64" i="1"/>
  <c r="AG63" i="1" s="1"/>
  <c r="AG62" i="1" s="1"/>
  <c r="AE64" i="1"/>
  <c r="AE63" i="1" s="1"/>
  <c r="AE62" i="1" s="1"/>
  <c r="Z64" i="1"/>
  <c r="U64" i="1"/>
  <c r="U63" i="1" s="1"/>
  <c r="U62" i="1" s="1"/>
  <c r="S64" i="1"/>
  <c r="S63" i="1" s="1"/>
  <c r="S62" i="1" s="1"/>
  <c r="N64" i="1"/>
  <c r="G64" i="1"/>
  <c r="AL63" i="1"/>
  <c r="AI63" i="1"/>
  <c r="AI62" i="1" s="1"/>
  <c r="AH63" i="1"/>
  <c r="AH62" i="1" s="1"/>
  <c r="G62" i="1" s="1"/>
  <c r="Z63" i="1"/>
  <c r="N63" i="1"/>
  <c r="G63" i="1"/>
  <c r="Z62" i="1"/>
  <c r="Y62" i="1"/>
  <c r="AF61" i="1"/>
  <c r="AF60" i="1" s="1"/>
  <c r="G61" i="1"/>
  <c r="AL60" i="1"/>
  <c r="AI60" i="1"/>
  <c r="AH60" i="1"/>
  <c r="G60" i="1"/>
  <c r="AG59" i="1"/>
  <c r="AG56" i="1" s="1"/>
  <c r="AG55" i="1" s="1"/>
  <c r="AF59" i="1"/>
  <c r="AF56" i="1" s="1"/>
  <c r="AE59" i="1"/>
  <c r="AA59" i="1"/>
  <c r="Z59" i="1"/>
  <c r="Y59" i="1"/>
  <c r="U59" i="1"/>
  <c r="T59" i="1"/>
  <c r="S59" i="1"/>
  <c r="S56" i="1" s="1"/>
  <c r="S55" i="1" s="1"/>
  <c r="O59" i="1"/>
  <c r="O56" i="1" s="1"/>
  <c r="O55" i="1" s="1"/>
  <c r="N59" i="1"/>
  <c r="M59" i="1"/>
  <c r="G59" i="1"/>
  <c r="AG58" i="1"/>
  <c r="AF58" i="1"/>
  <c r="AE58" i="1"/>
  <c r="AA58" i="1"/>
  <c r="AA56" i="1" s="1"/>
  <c r="AA55" i="1" s="1"/>
  <c r="Z58" i="1"/>
  <c r="Z56" i="1" s="1"/>
  <c r="Z55" i="1" s="1"/>
  <c r="Y58" i="1"/>
  <c r="Y56" i="1" s="1"/>
  <c r="Y55" i="1" s="1"/>
  <c r="U58" i="1"/>
  <c r="T58" i="1"/>
  <c r="S58" i="1"/>
  <c r="O58" i="1"/>
  <c r="N58" i="1"/>
  <c r="M58" i="1"/>
  <c r="M56" i="1" s="1"/>
  <c r="M55" i="1" s="1"/>
  <c r="G58" i="1"/>
  <c r="AG57" i="1"/>
  <c r="AF57" i="1"/>
  <c r="AE57" i="1"/>
  <c r="AA57" i="1"/>
  <c r="Z57" i="1"/>
  <c r="Y57" i="1"/>
  <c r="U57" i="1"/>
  <c r="T57" i="1"/>
  <c r="T56" i="1" s="1"/>
  <c r="T55" i="1" s="1"/>
  <c r="S57" i="1"/>
  <c r="O57" i="1"/>
  <c r="N57" i="1"/>
  <c r="N56" i="1" s="1"/>
  <c r="N55" i="1" s="1"/>
  <c r="M57" i="1"/>
  <c r="G57" i="1"/>
  <c r="AL56" i="1"/>
  <c r="AI56" i="1"/>
  <c r="AH56" i="1"/>
  <c r="G56" i="1" s="1"/>
  <c r="AE56" i="1"/>
  <c r="AE55" i="1" s="1"/>
  <c r="U56" i="1"/>
  <c r="AL55" i="1"/>
  <c r="AI55" i="1"/>
  <c r="U55" i="1"/>
  <c r="Z54" i="1"/>
  <c r="G54" i="1"/>
  <c r="AL53" i="1"/>
  <c r="AI53" i="1"/>
  <c r="AH53" i="1"/>
  <c r="G53" i="1" s="1"/>
  <c r="Z53" i="1"/>
  <c r="AF52" i="1"/>
  <c r="G52" i="1"/>
  <c r="AL51" i="1"/>
  <c r="AI51" i="1"/>
  <c r="AH51" i="1"/>
  <c r="AF51" i="1"/>
  <c r="G51" i="1"/>
  <c r="T50" i="1"/>
  <c r="G50" i="1"/>
  <c r="AL49" i="1"/>
  <c r="AI49" i="1"/>
  <c r="AH49" i="1"/>
  <c r="G49" i="1" s="1"/>
  <c r="T49" i="1"/>
  <c r="AG48" i="1"/>
  <c r="AG46" i="1" s="1"/>
  <c r="G48" i="1"/>
  <c r="U47" i="1"/>
  <c r="G47" i="1"/>
  <c r="AL46" i="1"/>
  <c r="AI46" i="1"/>
  <c r="AH46" i="1"/>
  <c r="G46" i="1" s="1"/>
  <c r="U46" i="1"/>
  <c r="AG45" i="1"/>
  <c r="AF45" i="1"/>
  <c r="AF44" i="1" s="1"/>
  <c r="AE45" i="1"/>
  <c r="AE44" i="1" s="1"/>
  <c r="AA45" i="1"/>
  <c r="AA44" i="1" s="1"/>
  <c r="AA33" i="1" s="1"/>
  <c r="Z45" i="1"/>
  <c r="Y45" i="1"/>
  <c r="U45" i="1"/>
  <c r="U44" i="1" s="1"/>
  <c r="T45" i="1"/>
  <c r="S45" i="1"/>
  <c r="O45" i="1"/>
  <c r="O44" i="1" s="1"/>
  <c r="O33" i="1" s="1"/>
  <c r="N45" i="1"/>
  <c r="N44" i="1" s="1"/>
  <c r="N33" i="1" s="1"/>
  <c r="G45" i="1"/>
  <c r="AL44" i="1"/>
  <c r="AI44" i="1"/>
  <c r="AH44" i="1"/>
  <c r="G44" i="1" s="1"/>
  <c r="AG44" i="1"/>
  <c r="Z44" i="1"/>
  <c r="Y44" i="1"/>
  <c r="T44" i="1"/>
  <c r="S44" i="1"/>
  <c r="AG43" i="1"/>
  <c r="AF43" i="1"/>
  <c r="AF42" i="1" s="1"/>
  <c r="AE43" i="1"/>
  <c r="Y43" i="1"/>
  <c r="Y42" i="1" s="1"/>
  <c r="S43" i="1"/>
  <c r="G43" i="1"/>
  <c r="AL42" i="1"/>
  <c r="AI42" i="1"/>
  <c r="AH42" i="1"/>
  <c r="G42" i="1" s="1"/>
  <c r="AG42" i="1"/>
  <c r="AE42" i="1"/>
  <c r="S42" i="1"/>
  <c r="AE41" i="1"/>
  <c r="G41" i="1"/>
  <c r="AF40" i="1"/>
  <c r="AA40" i="1"/>
  <c r="G40" i="1"/>
  <c r="AL39" i="1"/>
  <c r="AI39" i="1"/>
  <c r="AH39" i="1"/>
  <c r="G39" i="1" s="1"/>
  <c r="AF39" i="1"/>
  <c r="AE39" i="1"/>
  <c r="AE33" i="1" s="1"/>
  <c r="AA39" i="1"/>
  <c r="AG38" i="1"/>
  <c r="AF38" i="1"/>
  <c r="AE38" i="1"/>
  <c r="AA38" i="1"/>
  <c r="Z38" i="1"/>
  <c r="Y38" i="1"/>
  <c r="U38" i="1"/>
  <c r="T38" i="1"/>
  <c r="S38" i="1"/>
  <c r="O38" i="1"/>
  <c r="N38" i="1"/>
  <c r="M38" i="1"/>
  <c r="G38" i="1"/>
  <c r="AF37" i="1"/>
  <c r="AF34" i="1" s="1"/>
  <c r="AF33" i="1" s="1"/>
  <c r="Y37" i="1"/>
  <c r="G37" i="1"/>
  <c r="AG36" i="1"/>
  <c r="AG34" i="1" s="1"/>
  <c r="AF36" i="1"/>
  <c r="AE36" i="1"/>
  <c r="AA36" i="1"/>
  <c r="Z36" i="1"/>
  <c r="Z34" i="1" s="1"/>
  <c r="Y36" i="1"/>
  <c r="U36" i="1"/>
  <c r="T36" i="1"/>
  <c r="T34" i="1" s="1"/>
  <c r="S36" i="1"/>
  <c r="S34" i="1" s="1"/>
  <c r="S33" i="1" s="1"/>
  <c r="O36" i="1"/>
  <c r="N36" i="1"/>
  <c r="M36" i="1"/>
  <c r="G36" i="1"/>
  <c r="AA35" i="1"/>
  <c r="U35" i="1"/>
  <c r="U34" i="1" s="1"/>
  <c r="U33" i="1" s="1"/>
  <c r="G35" i="1"/>
  <c r="AL34" i="1"/>
  <c r="AL33" i="1" s="1"/>
  <c r="AI34" i="1"/>
  <c r="AH34" i="1"/>
  <c r="AE34" i="1"/>
  <c r="AA34" i="1"/>
  <c r="Y34" i="1"/>
  <c r="Y33" i="1" s="1"/>
  <c r="O34" i="1"/>
  <c r="N34" i="1"/>
  <c r="M34" i="1"/>
  <c r="G34" i="1"/>
  <c r="M33" i="1"/>
  <c r="AG32" i="1"/>
  <c r="AA32" i="1"/>
  <c r="O32" i="1"/>
  <c r="G32" i="1"/>
  <c r="AG31" i="1"/>
  <c r="AF31" i="1"/>
  <c r="AF29" i="1" s="1"/>
  <c r="AE31" i="1"/>
  <c r="AE29" i="1" s="1"/>
  <c r="AA31" i="1"/>
  <c r="Z31" i="1"/>
  <c r="Y31" i="1"/>
  <c r="U31" i="1"/>
  <c r="T31" i="1"/>
  <c r="S31" i="1"/>
  <c r="O31" i="1"/>
  <c r="N31" i="1"/>
  <c r="N29" i="1" s="1"/>
  <c r="G31" i="1"/>
  <c r="AG30" i="1"/>
  <c r="AG29" i="1" s="1"/>
  <c r="AA30" i="1"/>
  <c r="U30" i="1"/>
  <c r="S30" i="1"/>
  <c r="S29" i="1" s="1"/>
  <c r="O30" i="1"/>
  <c r="G30" i="1"/>
  <c r="AL29" i="1"/>
  <c r="AI29" i="1"/>
  <c r="AH29" i="1"/>
  <c r="AA29" i="1"/>
  <c r="Z29" i="1"/>
  <c r="Y29" i="1"/>
  <c r="U29" i="1"/>
  <c r="T29" i="1"/>
  <c r="G29" i="1"/>
  <c r="Z28" i="1"/>
  <c r="Z27" i="1" s="1"/>
  <c r="G28" i="1"/>
  <c r="AL27" i="1"/>
  <c r="AI27" i="1"/>
  <c r="AH27" i="1"/>
  <c r="G27" i="1"/>
  <c r="AG26" i="1"/>
  <c r="G26" i="1"/>
  <c r="AG25" i="1"/>
  <c r="AG24" i="1" s="1"/>
  <c r="G25" i="1"/>
  <c r="AL24" i="1"/>
  <c r="AI24" i="1"/>
  <c r="AH24" i="1"/>
  <c r="G24" i="1"/>
  <c r="AH23" i="1"/>
  <c r="U23" i="1" s="1"/>
  <c r="U22" i="1" s="1"/>
  <c r="AG23" i="1"/>
  <c r="AG22" i="1" s="1"/>
  <c r="AE23" i="1"/>
  <c r="AE22" i="1" s="1"/>
  <c r="T23" i="1"/>
  <c r="T22" i="1" s="1"/>
  <c r="S23" i="1"/>
  <c r="S22" i="1" s="1"/>
  <c r="AN22" i="1"/>
  <c r="AN13" i="1" s="1"/>
  <c r="AN12" i="1" s="1"/>
  <c r="AN11" i="1" s="1"/>
  <c r="AN118" i="1" s="1"/>
  <c r="O21" i="1"/>
  <c r="O20" i="1" s="1"/>
  <c r="G21" i="1"/>
  <c r="AL20" i="1"/>
  <c r="AL13" i="1" s="1"/>
  <c r="AL12" i="1" s="1"/>
  <c r="AL11" i="1" s="1"/>
  <c r="AI20" i="1"/>
  <c r="AH20" i="1"/>
  <c r="G20" i="1" s="1"/>
  <c r="AF19" i="1"/>
  <c r="AE19" i="1"/>
  <c r="AA19" i="1"/>
  <c r="Z19" i="1"/>
  <c r="Y19" i="1"/>
  <c r="U19" i="1"/>
  <c r="T19" i="1"/>
  <c r="S19" i="1"/>
  <c r="O19" i="1"/>
  <c r="N19" i="1"/>
  <c r="N14" i="1" s="1"/>
  <c r="N13" i="1" s="1"/>
  <c r="G19" i="1"/>
  <c r="AF18" i="1"/>
  <c r="AE18" i="1"/>
  <c r="AA18" i="1"/>
  <c r="Z18" i="1"/>
  <c r="Y18" i="1"/>
  <c r="U18" i="1"/>
  <c r="T18" i="1"/>
  <c r="S18" i="1"/>
  <c r="O18" i="1"/>
  <c r="N18" i="1"/>
  <c r="G18" i="1"/>
  <c r="AG17" i="1"/>
  <c r="AF17" i="1"/>
  <c r="AE17" i="1"/>
  <c r="AA17" i="1"/>
  <c r="Z17" i="1"/>
  <c r="Z14" i="1" s="1"/>
  <c r="Y17" i="1"/>
  <c r="Y14" i="1" s="1"/>
  <c r="U17" i="1"/>
  <c r="T17" i="1"/>
  <c r="S17" i="1"/>
  <c r="O17" i="1"/>
  <c r="N17" i="1"/>
  <c r="G17" i="1"/>
  <c r="AG16" i="1"/>
  <c r="AG14" i="1" s="1"/>
  <c r="AG13" i="1" s="1"/>
  <c r="AF16" i="1"/>
  <c r="AF14" i="1" s="1"/>
  <c r="AE16" i="1"/>
  <c r="AA16" i="1"/>
  <c r="Z16" i="1"/>
  <c r="Y16" i="1"/>
  <c r="U16" i="1"/>
  <c r="T16" i="1"/>
  <c r="S16" i="1"/>
  <c r="S14" i="1" s="1"/>
  <c r="S13" i="1" s="1"/>
  <c r="S12" i="1" s="1"/>
  <c r="S11" i="1" s="1"/>
  <c r="S118" i="1" s="1"/>
  <c r="O16" i="1"/>
  <c r="O14" i="1" s="1"/>
  <c r="N16" i="1"/>
  <c r="G16" i="1"/>
  <c r="M15" i="1"/>
  <c r="G15" i="1"/>
  <c r="AL14" i="1"/>
  <c r="AI14" i="1"/>
  <c r="AI13" i="1" s="1"/>
  <c r="AH14" i="1"/>
  <c r="G14" i="1" s="1"/>
  <c r="AE14" i="1"/>
  <c r="U14" i="1"/>
  <c r="T14" i="1"/>
  <c r="T13" i="1" s="1"/>
  <c r="M14" i="1"/>
  <c r="M13" i="1"/>
  <c r="U13" i="1" l="1"/>
  <c r="U12" i="1" s="1"/>
  <c r="U11" i="1" s="1"/>
  <c r="U118" i="1" s="1"/>
  <c r="AA14" i="1"/>
  <c r="G87" i="1"/>
  <c r="AH86" i="1"/>
  <c r="AH13" i="1"/>
  <c r="AE13" i="1"/>
  <c r="AE12" i="1" s="1"/>
  <c r="AE11" i="1" s="1"/>
  <c r="AE118" i="1" s="1"/>
  <c r="Z33" i="1"/>
  <c r="AF55" i="1"/>
  <c r="AH55" i="1"/>
  <c r="G55" i="1" s="1"/>
  <c r="AE93" i="1"/>
  <c r="AE94" i="1"/>
  <c r="AG33" i="1"/>
  <c r="AG12" i="1" s="1"/>
  <c r="AG11" i="1" s="1"/>
  <c r="AG118" i="1" s="1"/>
  <c r="AI33" i="1"/>
  <c r="AI12" i="1" s="1"/>
  <c r="AI11" i="1" s="1"/>
  <c r="AI118" i="1" s="1"/>
  <c r="AF62" i="1"/>
  <c r="O93" i="1"/>
  <c r="O94" i="1"/>
  <c r="AF93" i="1"/>
  <c r="AF94" i="1"/>
  <c r="M12" i="1"/>
  <c r="M11" i="1" s="1"/>
  <c r="M118" i="1" s="1"/>
  <c r="N93" i="1"/>
  <c r="N94" i="1"/>
  <c r="AF23" i="1"/>
  <c r="AF22" i="1" s="1"/>
  <c r="AF13" i="1" s="1"/>
  <c r="G23" i="1"/>
  <c r="AA23" i="1"/>
  <c r="AA22" i="1" s="1"/>
  <c r="AH22" i="1"/>
  <c r="G22" i="1" s="1"/>
  <c r="Z23" i="1"/>
  <c r="Z22" i="1" s="1"/>
  <c r="Z13" i="1" s="1"/>
  <c r="Z12" i="1" s="1"/>
  <c r="Z11" i="1" s="1"/>
  <c r="Z118" i="1" s="1"/>
  <c r="Y23" i="1"/>
  <c r="Y22" i="1" s="1"/>
  <c r="Y13" i="1" s="1"/>
  <c r="Y12" i="1" s="1"/>
  <c r="Y11" i="1" s="1"/>
  <c r="Y118" i="1" s="1"/>
  <c r="O29" i="1"/>
  <c r="O13" i="1" s="1"/>
  <c r="O12" i="1" s="1"/>
  <c r="O11" i="1" s="1"/>
  <c r="O118" i="1" s="1"/>
  <c r="T33" i="1"/>
  <c r="T12" i="1" s="1"/>
  <c r="T11" i="1" s="1"/>
  <c r="T118" i="1" s="1"/>
  <c r="N62" i="1"/>
  <c r="N12" i="1" s="1"/>
  <c r="N11" i="1" s="1"/>
  <c r="N118" i="1" s="1"/>
  <c r="G106" i="1"/>
  <c r="AH105" i="1"/>
  <c r="G81" i="1"/>
  <c r="AH80" i="1"/>
  <c r="G80" i="1" s="1"/>
  <c r="U93" i="1"/>
  <c r="U94" i="1"/>
  <c r="AL93" i="1"/>
  <c r="AL118" i="1" s="1"/>
  <c r="AL94" i="1"/>
  <c r="M94" i="1"/>
  <c r="AH33" i="1"/>
  <c r="G33" i="1" s="1"/>
  <c r="AA93" i="1"/>
  <c r="AH116" i="1"/>
  <c r="AH100" i="1"/>
  <c r="T94" i="1"/>
  <c r="AI94" i="1"/>
  <c r="AH12" i="1" l="1"/>
  <c r="G13" i="1"/>
  <c r="G100" i="1"/>
  <c r="AH99" i="1"/>
  <c r="G99" i="1" s="1"/>
  <c r="G116" i="1"/>
  <c r="AH115" i="1"/>
  <c r="AA13" i="1"/>
  <c r="AA12" i="1" s="1"/>
  <c r="AA11" i="1" s="1"/>
  <c r="AA118" i="1" s="1"/>
  <c r="G86" i="1"/>
  <c r="AH85" i="1"/>
  <c r="G85" i="1" s="1"/>
  <c r="AH104" i="1"/>
  <c r="G104" i="1" s="1"/>
  <c r="G105" i="1"/>
  <c r="AF12" i="1"/>
  <c r="AF11" i="1" s="1"/>
  <c r="AF118" i="1" s="1"/>
  <c r="AH11" i="1" l="1"/>
  <c r="G11" i="1" s="1"/>
  <c r="G12" i="1"/>
  <c r="G115" i="1"/>
  <c r="AH114" i="1"/>
  <c r="G114" i="1" l="1"/>
  <c r="AH113" i="1"/>
  <c r="G113" i="1" s="1"/>
</calcChain>
</file>

<file path=xl/comments1.xml><?xml version="1.0" encoding="utf-8"?>
<comments xmlns="http://schemas.openxmlformats.org/spreadsheetml/2006/main">
  <authors>
    <author>Elias Taufik Saca Pineda</author>
    <author>alarcon</author>
  </authors>
  <commentList>
    <comment ref="C50" authorId="0">
      <text>
        <r>
          <rPr>
            <b/>
            <sz val="9"/>
            <color indexed="81"/>
            <rFont val="Tahoma"/>
            <charset val="1"/>
          </rPr>
          <t>Elias Taufik Saca Pineda:</t>
        </r>
        <r>
          <rPr>
            <sz val="9"/>
            <color indexed="81"/>
            <rFont val="Tahoma"/>
            <charset val="1"/>
          </rPr>
          <t xml:space="preserve">
648 invernaderos</t>
        </r>
      </text>
    </comment>
    <comment ref="C51" authorId="0">
      <text>
        <r>
          <rPr>
            <b/>
            <sz val="9"/>
            <color indexed="81"/>
            <rFont val="Tahoma"/>
            <charset val="1"/>
          </rPr>
          <t>Elias Taufik Saca Pineda:</t>
        </r>
        <r>
          <rPr>
            <sz val="9"/>
            <color indexed="81"/>
            <rFont val="Tahoma"/>
            <charset val="1"/>
          </rPr>
          <t xml:space="preserve">
200 sistemas de riego 
</t>
        </r>
      </text>
    </comment>
    <comment ref="E173" authorId="1">
      <text>
        <r>
          <rPr>
            <b/>
            <sz val="9"/>
            <color indexed="81"/>
            <rFont val="Tahoma"/>
            <family val="2"/>
          </rPr>
          <t>alarcon:</t>
        </r>
        <r>
          <rPr>
            <sz val="9"/>
            <color indexed="81"/>
            <rFont val="Tahoma"/>
            <family val="2"/>
          </rPr>
          <t xml:space="preserve">
Ciudadania Informada</t>
        </r>
      </text>
    </comment>
    <comment ref="B193" authorId="1">
      <text>
        <r>
          <rPr>
            <b/>
            <sz val="9"/>
            <color indexed="81"/>
            <rFont val="Tahoma"/>
            <family val="2"/>
          </rPr>
          <t>alarcon:</t>
        </r>
        <r>
          <rPr>
            <sz val="9"/>
            <color indexed="81"/>
            <rFont val="Tahoma"/>
            <family val="2"/>
          </rPr>
          <t xml:space="preserve">
Generación y Transferencia</t>
        </r>
      </text>
    </comment>
  </commentList>
</comments>
</file>

<file path=xl/comments2.xml><?xml version="1.0" encoding="utf-8"?>
<comments xmlns="http://schemas.openxmlformats.org/spreadsheetml/2006/main">
  <authors>
    <author>Gerardo Rauda</author>
  </authors>
  <commentList>
    <comment ref="P15" authorId="0">
      <text>
        <r>
          <rPr>
            <b/>
            <sz val="9"/>
            <color indexed="81"/>
            <rFont val="Tahoma"/>
            <family val="2"/>
          </rPr>
          <t>Formulación dos (2) Planes de Negocio (PNO) en las organizaciones: 1) Asociación Cooperativa de Producción Agropecuaria Campesinos Unidos 2014 de R.L. (ACOPACU de R.L.)  y 2) Asociación Cooperativa de Producción Agropecuaria Cosechando tu Futuro de R.L. (ACPACOF de R.L.), ambos grupos pertenecientes a la cadena de hortalizas.</t>
        </r>
        <r>
          <rPr>
            <sz val="9"/>
            <color indexed="81"/>
            <rFont val="Tahoma"/>
            <family val="2"/>
          </rPr>
          <t xml:space="preserve">
</t>
        </r>
      </text>
    </comment>
    <comment ref="W15" authorId="0">
      <text>
        <r>
          <rPr>
            <sz val="9"/>
            <color indexed="81"/>
            <rFont val="Tahoma"/>
            <family val="2"/>
          </rPr>
          <t>1) Asociación Cooperativa de Producción Agropecuaria El Marín de R.L. (cadena de hortalizas)
2) Asociación Cooperativa de Producción Agropecuaria San Juan Arriba de R.L.  (cadena de hortalizas)
3) Sociedad Cooperativa de Caficultores Jucuapenses de R.L.  (cadena de hortalizas)
4) Asociaciòn Cooperativa de Producción Agropecuaria La Maroma de R.L. (cadena de frutas)</t>
        </r>
        <r>
          <rPr>
            <sz val="9"/>
            <color indexed="81"/>
            <rFont val="Tahoma"/>
            <family val="2"/>
          </rPr>
          <t xml:space="preserve">
</t>
        </r>
      </text>
    </comment>
    <comment ref="L16" authorId="0">
      <text>
        <r>
          <rPr>
            <sz val="9"/>
            <color indexed="81"/>
            <rFont val="Tahoma"/>
            <family val="2"/>
          </rPr>
          <t xml:space="preserve">Cooperativa de Producción Artesanal y Comercialización Planta Comunitaria de Compostaje El Tizate de R.L. (ACOMPOST), cuyo proyecto de inversión fue aprobado durante el 2021 
</t>
        </r>
        <r>
          <rPr>
            <sz val="9"/>
            <color indexed="81"/>
            <rFont val="Tahoma"/>
            <family val="2"/>
          </rPr>
          <t xml:space="preserve">
</t>
        </r>
      </text>
    </comment>
    <comment ref="Q16" authorId="0">
      <text>
        <r>
          <rPr>
            <b/>
            <sz val="9"/>
            <color indexed="81"/>
            <rFont val="Tahoma"/>
            <family val="2"/>
          </rPr>
          <t xml:space="preserve">Sociedad Cooperativa de Viveristas, Productores, Transformadores y Comercializadores de Productos de Café de R.L. de C.V.(SOCOCAFE) (Chinameca, San Miguel)
</t>
        </r>
        <r>
          <rPr>
            <sz val="9"/>
            <color indexed="81"/>
            <rFont val="Tahoma"/>
            <family val="2"/>
          </rPr>
          <t xml:space="preserve">
</t>
        </r>
      </text>
    </comment>
    <comment ref="R16" authorId="0">
      <text>
        <r>
          <rPr>
            <b/>
            <sz val="9"/>
            <color indexed="81"/>
            <rFont val="Tahoma"/>
            <family val="2"/>
          </rPr>
          <t>Para el mes de junio se reporta a la Asociación Cooperativa de Producción Agropecuaria "Cosechando Tu Futuro" de R.L. con la aprobación de recursos financieros para la implementación de proyecto en la cadena de hortalizas</t>
        </r>
        <r>
          <rPr>
            <sz val="9"/>
            <color indexed="81"/>
            <rFont val="Tahoma"/>
            <family val="2"/>
          </rPr>
          <t xml:space="preserve">
</t>
        </r>
      </text>
    </comment>
    <comment ref="V16" authorId="0">
      <text>
        <r>
          <rPr>
            <sz val="9"/>
            <color indexed="81"/>
            <rFont val="Tahoma"/>
            <family val="2"/>
          </rPr>
          <t xml:space="preserve">Se indorma a la Asociación de Producción Agropecuaria "Campesinos Unidos 2014" de R.L.
</t>
        </r>
      </text>
    </comment>
    <comment ref="X16" authorId="0">
      <text>
        <r>
          <rPr>
            <sz val="9"/>
            <color indexed="81"/>
            <rFont val="Tahoma"/>
            <family val="2"/>
          </rPr>
          <t>CAP SEPTIEMBRE: 1)  Sociedad Cooperativa de Caficultores Jucuapenses de R.L. 2) Asociaciòn Cooperativa de Producción Agropecuaria La Maroma de R.L</t>
        </r>
        <r>
          <rPr>
            <b/>
            <sz val="9"/>
            <color indexed="81"/>
            <rFont val="Tahoma"/>
            <family val="2"/>
          </rPr>
          <t>.</t>
        </r>
        <r>
          <rPr>
            <sz val="9"/>
            <color indexed="81"/>
            <rFont val="Tahoma"/>
            <family val="2"/>
          </rPr>
          <t xml:space="preserve">
</t>
        </r>
      </text>
    </comment>
    <comment ref="AC16" authorId="0">
      <text>
        <r>
          <rPr>
            <sz val="9"/>
            <color indexed="81"/>
            <rFont val="Tahoma"/>
            <family val="2"/>
          </rPr>
          <t xml:space="preserve">1) Asociación Cooperativa de Producción Agropecuaria El Marín de R.L 2) Asociación Cooperativa de Producción Agropecuaria San Juan Arriba de R.L. (ACOPASAJUA) </t>
        </r>
      </text>
    </comment>
    <comment ref="J19" authorId="0">
      <text>
        <r>
          <rPr>
            <b/>
            <sz val="9"/>
            <color indexed="81"/>
            <rFont val="Tahoma"/>
            <family val="2"/>
          </rPr>
          <t xml:space="preserve">PNO Asociación Cooperativa de Aprovisionamiento, Ahorro, Crédito y Consumo de Mujeres del Bajo Lempa “Marta González”, de RL (ACAMG, de R.L.) </t>
        </r>
        <r>
          <rPr>
            <sz val="9"/>
            <color indexed="81"/>
            <rFont val="Tahoma"/>
            <family val="2"/>
          </rPr>
          <t xml:space="preserve">
</t>
        </r>
      </text>
    </comment>
    <comment ref="W19" authorId="0">
      <text>
        <r>
          <rPr>
            <b/>
            <sz val="9"/>
            <color indexed="81"/>
            <rFont val="Tahoma"/>
            <family val="2"/>
          </rPr>
          <t>: 1) Asociación Cooperativa de Producción Agropecuaria San Gerardo de R.L. 2) Asociaciòn Salvadoreña de Productores Agropecuarios de Usulutàn (ASPAU)</t>
        </r>
        <r>
          <rPr>
            <sz val="9"/>
            <color indexed="81"/>
            <rFont val="Tahoma"/>
            <family val="2"/>
          </rPr>
          <t xml:space="preserve">
</t>
        </r>
      </text>
    </comment>
    <comment ref="J20" authorId="0">
      <text>
        <r>
          <rPr>
            <b/>
            <sz val="9"/>
            <color indexed="81"/>
            <rFont val="Tahoma"/>
            <family val="2"/>
          </rPr>
          <t>1er. Comité de Aprobación de Propuestas (CAP) del 2021: cadena de lácteos presentados por las organizaciones siguientes: 1) Asociación Cooperativa de Aprovisionamiento, Ahorro, Crédito y Consumo de Mujeres del Bajo Lempa “Marta González”, de Responsabilidad Limitada (ACAMG, de R.L.) 2) Asociación Agropecuaria Amigos de Chalpetique de Responsabidad Limitada (ASACHA de R.L.)</t>
        </r>
        <r>
          <rPr>
            <sz val="9"/>
            <color indexed="81"/>
            <rFont val="Tahoma"/>
            <family val="2"/>
          </rPr>
          <t xml:space="preserve">
</t>
        </r>
      </text>
    </comment>
    <comment ref="X20" authorId="0">
      <text>
        <r>
          <rPr>
            <sz val="9"/>
            <color indexed="81"/>
            <rFont val="Tahoma"/>
            <family val="2"/>
          </rPr>
          <t>CAP septiembre:
1) Asociación Cooperativa de Producción Agropecuaria San Gerardo de R.L. 2) Asociaciòn Salvadoreña de Productores Agropecuarios de Usulutàn (ASPAU)</t>
        </r>
      </text>
    </comment>
    <comment ref="P23" authorId="0">
      <text>
        <r>
          <rPr>
            <b/>
            <sz val="9"/>
            <color indexed="81"/>
            <rFont val="Tahoma"/>
            <family val="2"/>
          </rPr>
          <t>Formulación tres (3) Planes de Negocio (PNO) en las organizaciones: 1) Asociación Cooperativa de Producción Agropecuaria Apicultores de Kakawira de R.L. ACOPAKA de R.L. 2) Asociación Cooperativa de Producción Agropecuaria "Apícola El Cacahuatique" de R.L. (ACOPAC) 3) Asociación Cooperativa de Producción Agropecuaria de Usulután de R.L. (ACOPAU de RL)</t>
        </r>
        <r>
          <rPr>
            <sz val="9"/>
            <color indexed="81"/>
            <rFont val="Tahoma"/>
            <family val="2"/>
          </rPr>
          <t xml:space="preserve">
</t>
        </r>
      </text>
    </comment>
    <comment ref="V24" authorId="0">
      <text>
        <r>
          <rPr>
            <b/>
            <sz val="9"/>
            <color indexed="81"/>
            <rFont val="Tahoma"/>
            <family val="2"/>
          </rPr>
          <t xml:space="preserve">Implementación de tres (3) Planes de Negocio (PNO) en las organizaciones: 
1) Asociación Cooperativa de Producción Agropecuaria Apicultores de Kakawira de R.L. ACOPAKA de R.L. 
2) Asociación Cooperativa de Producción Agropecuaria "Apícola El Cacahuatique" de R.L. (ACOPAC) 
3) Asociación Cooperativa de Producción Agropecuaria de Usulután de R.L. (ACOPAU de RL)
</t>
        </r>
        <r>
          <rPr>
            <sz val="9"/>
            <color indexed="81"/>
            <rFont val="Tahoma"/>
            <family val="2"/>
          </rPr>
          <t xml:space="preserve">
</t>
        </r>
      </text>
    </comment>
    <comment ref="P27" authorId="0">
      <text>
        <r>
          <rPr>
            <sz val="9"/>
            <color indexed="81"/>
            <rFont val="Tahoma"/>
            <family val="2"/>
          </rPr>
          <t xml:space="preserve">Formulación tres (3) Planes de Negocio (PNO) en las organizaciones:  1) Asociación Cooperativa de Producción Agropecuaria y Pesquera "Excombatientes Emprendedores de Limones" ACOPAPEL de R.L.
2) Asociación de Pescadores Artesanales de Playa el Cuco (APESCU) 
3) Asociación Cooperativa de Producción Agropecuaria Pesquera y Servicios Múltiples El Jocotal de R.L.
</t>
        </r>
      </text>
    </comment>
    <comment ref="V27" authorId="0">
      <text>
        <r>
          <rPr>
            <sz val="9"/>
            <color indexed="81"/>
            <rFont val="Tahoma"/>
            <family val="2"/>
          </rPr>
          <t xml:space="preserve">SE reporta la formulación del PNO de la Asociación Cooperativa de Producción Agropecuaria y Pesquera las Doce Playas de R.L.
</t>
        </r>
      </text>
    </comment>
    <comment ref="W27" authorId="0">
      <text>
        <r>
          <rPr>
            <sz val="9"/>
            <color indexed="81"/>
            <rFont val="Tahoma"/>
            <family val="2"/>
          </rPr>
          <t>1) Asociación Cooperativa de Producción Agropecuaria y Pesquera y Acuícola "Bosques de Galería Alegría de R.L" (ACOPABOGA de R.L.)
2) Sociedad Cooperativa El Zompopero de R.L.
3) Asociación Cooperativa de Producción Pesquera El Arrecife de R.L.
4) Asociación Cooperativa de Producción Agropecuaria y Servicios Múltiples Wilber Mendoza de R.L.</t>
        </r>
        <r>
          <rPr>
            <sz val="9"/>
            <color indexed="81"/>
            <rFont val="Tahoma"/>
            <family val="2"/>
          </rPr>
          <t xml:space="preserve">
</t>
        </r>
      </text>
    </comment>
    <comment ref="X27" authorId="0">
      <text>
        <r>
          <rPr>
            <sz val="9"/>
            <color indexed="81"/>
            <rFont val="Tahoma"/>
            <family val="2"/>
          </rPr>
          <t xml:space="preserve">COOPERATIVA CUCHE DE MONTE
</t>
        </r>
      </text>
    </comment>
    <comment ref="V28" authorId="0">
      <text>
        <r>
          <rPr>
            <sz val="9"/>
            <color indexed="81"/>
            <rFont val="Tahoma"/>
            <family val="2"/>
          </rPr>
          <t xml:space="preserve">Implementación de cuatro (4) Planes de Negocio (PNO) en las organizaciones:  
1) Asociación Cooperativa de Producción Agropecuaria y Pesquera "Excombatientes Emprendedores de Limones" ACOPAPEL de R.L. 
2) Asociación de Pescadores Artesanales de Playa el Cuco (APESCU) 
3) Asociación Cooperativa de Producción Agropecuaria Pesquera y Servicios Múltiples El Jocotal de R.L.
4) Asociación Cooperativa de Producción Agropecuaria y Pesquera las Doce Playas de R.L.
</t>
        </r>
      </text>
    </comment>
    <comment ref="X28" authorId="0">
      <text>
        <r>
          <rPr>
            <sz val="9"/>
            <color indexed="81"/>
            <rFont val="Tahoma"/>
            <family val="2"/>
          </rPr>
          <t xml:space="preserve">1) Asociación Cooperativa de Producción Agropecuaria y Pesquera y Acuícola "Bosques de Galería Alegría de R.L" (ACOPABOGA de R.L.)
2) Sociedad Cooperativa El Zompopero de R.L.
3)  Asociación Cooperativa de Producción Pesquera El Arrecife de R.L.
4) Asociación Cooperativa de Producción Agropecuaria y Servicios Múltiples Wilber Mendoza de R.L.
5) Cooperativa Cuche de Monte </t>
        </r>
      </text>
    </comment>
    <comment ref="W87" authorId="0">
      <text>
        <r>
          <rPr>
            <sz val="9"/>
            <color indexed="81"/>
            <rFont val="Tahoma"/>
            <family val="2"/>
          </rPr>
          <t>1) Autonomía económica y servicios financieros básicos para mujeres de grupos de ahorro (30/08/21) (M=17) 
2) Capacitación a jovenes lideres para la formación sobre masculinidad en coordinación con ISDEMU (26/08/21) (H=23)
3) Capacitación a liderezas de organizaciones con PFO en planes de negocio (11/08/21) (M=17)
4) Capacitación a redes juveniles de Morazán, para elección de Junta Directiva, elaboración de plan estratégico y elección de representantes (12/08/21) (M=14; H=8)
5) Capacitación a jovenes lideres para la formación sobre masculinidad en coordinación con CENTA (19/08/21) (M=1; H=16)</t>
        </r>
        <r>
          <rPr>
            <b/>
            <sz val="9"/>
            <color indexed="81"/>
            <rFont val="Tahoma"/>
            <family val="2"/>
          </rPr>
          <t xml:space="preserve">
</t>
        </r>
      </text>
    </comment>
    <comment ref="L94" authorId="0">
      <text>
        <r>
          <rPr>
            <sz val="9"/>
            <color indexed="81"/>
            <rFont val="Tahoma"/>
            <family val="2"/>
          </rPr>
          <t xml:space="preserve">1)  "Curso de Excel Nivel Básico"  con el objetivo de que desarrollen las competencias digitales necesarias para el fortalecimiento de las presentaciones que reportan para informes y manejo de los montos de los Planes Operativos 
2) Capacitación a Formuladores de Planes de Negocios y personal Técnico de la UGP sobre la Plataforma AGRIPLAN en coordinación con técnicos especialistas del FIDA del área de Negocios y acceso a mercados, ambos realizados de manera virtual 
</t>
        </r>
      </text>
    </comment>
    <comment ref="Q94" authorId="0">
      <text>
        <r>
          <rPr>
            <sz val="9"/>
            <color indexed="81"/>
            <rFont val="Tahoma"/>
            <family val="2"/>
          </rPr>
          <t xml:space="preserve">Se reporta las capacitaciones desarrolladas en las áreas de 1) Computación (Curso de Excel Avanzado) (16 M Y 9 H) y 2) el ABC de igualdad sustantiva en género (9 M y 16 H), impartidos para el personal técnico y administrativo del Programa Rural Adelante; así también, se reporta la ejecución financiera de capacitación a personal técnico del Programa Rural Adelante en adaptación y mitigación al cambio climático
</t>
        </r>
      </text>
    </comment>
    <comment ref="W94" authorId="0">
      <text>
        <r>
          <rPr>
            <sz val="9"/>
            <color indexed="81"/>
            <rFont val="Tahoma"/>
            <family val="2"/>
          </rPr>
          <t>1) Socialización a personal técnico del CENTA de la producción de 175,000 plantines de tomate en invernaderos con enfoque al cambio climático (31/08/21) (M=6 ;H=18)
2) Presentación de avance en las inversiones y revisión de medidas ambientales en actividades productivas de las cadenas de valor (16/08/21) (M=8; H=17)</t>
        </r>
        <r>
          <rPr>
            <b/>
            <sz val="9"/>
            <color indexed="81"/>
            <rFont val="Tahoma"/>
            <family val="2"/>
          </rPr>
          <t xml:space="preserve">
</t>
        </r>
        <r>
          <rPr>
            <sz val="9"/>
            <color indexed="81"/>
            <rFont val="Tahoma"/>
            <family val="2"/>
          </rPr>
          <t xml:space="preserve">
</t>
        </r>
      </text>
    </comment>
    <comment ref="R98" authorId="0">
      <text>
        <r>
          <rPr>
            <b/>
            <sz val="9"/>
            <color indexed="81"/>
            <rFont val="Tahoma"/>
            <family val="2"/>
          </rPr>
          <t xml:space="preserve">El Programa Rural Adelante reporta para este mes de junio 2021 como producto de la reunión del Comité de Aprobación de Propuestas (CAP) la aprobación para implementación de 6 Planes de Fortalecimiento Organizacional (PFO) y Acciones Afirmativas en ligual número de organizaciones, siendo estas:
1) Asociación de Desarrollo Comunal "Jesús El Salvador", (ADESCOJES), 2) Asociación de Desarrollo Comunal “Flor de Maravilla” (ADESCOFM), 3) “Asociación Cooperativa de Ahorro y Crédito, Comercialización y Producción Agropecuaria “Mujeres con Esperanza”, de RL (ACREMUES, de R.L.) 4) “Comité de Desarrollo del Municipio de Cacaopera (CODEM) 5) Asociación de Desarrollo Comunal “Estrella de Oriente” (ADESCOEO), 6) Asociación de Desarrollo Comunal “El Palmar”, 
</t>
        </r>
        <r>
          <rPr>
            <sz val="9"/>
            <color indexed="81"/>
            <rFont val="Tahoma"/>
            <family val="2"/>
          </rPr>
          <t xml:space="preserve">
</t>
        </r>
      </text>
    </comment>
    <comment ref="L105" authorId="0">
      <text>
        <r>
          <rPr>
            <b/>
            <sz val="12"/>
            <color indexed="81"/>
            <rFont val="Tahoma"/>
            <family val="2"/>
          </rPr>
          <t xml:space="preserve">Se apoyaron los procesos de legalización en las organizaciones: 1) Grupo de interes de San Jorge, 2) AGAES, 3) Caulotillo, Managuara, 4) Grupo de interes de Tijeretas y 5) jóvenes de Jocoitique sobre la actualización de membresías, actualización de </t>
        </r>
        <r>
          <rPr>
            <b/>
            <sz val="9"/>
            <color indexed="81"/>
            <rFont val="Tahoma"/>
            <family val="2"/>
          </rPr>
          <t>credenciales y gestión de personería jurídica</t>
        </r>
        <r>
          <rPr>
            <sz val="9"/>
            <color indexed="81"/>
            <rFont val="Tahoma"/>
            <family val="2"/>
          </rPr>
          <t xml:space="preserve">
</t>
        </r>
      </text>
    </comment>
    <comment ref="Q105" authorId="0">
      <text>
        <r>
          <rPr>
            <b/>
            <sz val="9"/>
            <color indexed="81"/>
            <rFont val="Tahoma"/>
            <family val="2"/>
          </rPr>
          <t>Las organizaciones que estan siendo apoyadas en su legalización, previa aprobación del por parte del Comité son: 1) Mujeres emprendedoras 2) Mujeres Guerreras de Padrón, 3) Mujeres Hortalizas 4) Grupo de interes El Castaño 5) Grupo de jóvenes en el área de  electricista y 6) Grupo de Mujeres de la Mesa Rural de Oriente.</t>
        </r>
        <r>
          <rPr>
            <sz val="9"/>
            <color indexed="81"/>
            <rFont val="Tahoma"/>
            <family val="2"/>
          </rPr>
          <t xml:space="preserve">
</t>
        </r>
      </text>
    </comment>
  </commentList>
</comments>
</file>

<file path=xl/sharedStrings.xml><?xml version="1.0" encoding="utf-8"?>
<sst xmlns="http://schemas.openxmlformats.org/spreadsheetml/2006/main" count="9722" uniqueCount="4503">
  <si>
    <t>MINISTERIO DE AGRICULTURA Y GANADERIA</t>
  </si>
  <si>
    <t>RE-PROGRAMACION DE METAS FISICAS Y FINANCIERAS</t>
  </si>
  <si>
    <t>Área Ministerial: Dependencia Centralizada</t>
  </si>
  <si>
    <t>Dirección / Oficina:  Dirección General de Desarrollo de la Pesca y la Acuicultura (CENDEPESCA)</t>
  </si>
  <si>
    <t>Periodo de Ejecución: Enero a diciembre 2021</t>
  </si>
  <si>
    <t>Código</t>
  </si>
  <si>
    <t>Eje/Línea/Resultado / Acción Estratégica/Acción Operativa</t>
  </si>
  <si>
    <t>Meta</t>
  </si>
  <si>
    <t>Unidad de Medida</t>
  </si>
  <si>
    <t>Indicador de resultados</t>
  </si>
  <si>
    <t>Medio de Verificación</t>
  </si>
  <si>
    <t>Costo Porcentual</t>
  </si>
  <si>
    <t>Peso ponderado Resultado</t>
  </si>
  <si>
    <t>Peso Ponderado Acción</t>
  </si>
  <si>
    <t>Distribución de Metas</t>
  </si>
  <si>
    <t>Fuente de Financiamiento ($)</t>
  </si>
  <si>
    <t>Ubicación Geográfica</t>
  </si>
  <si>
    <t>Responsable</t>
  </si>
  <si>
    <t>Observación</t>
  </si>
  <si>
    <t>Trimestre 1</t>
  </si>
  <si>
    <t>Trimestre 2</t>
  </si>
  <si>
    <t>Trimestre 3</t>
  </si>
  <si>
    <t>Trimestre 4</t>
  </si>
  <si>
    <t>Costo Total</t>
  </si>
  <si>
    <t>Fondo
General</t>
  </si>
  <si>
    <t>Presamos
Externos</t>
  </si>
  <si>
    <t xml:space="preserve">Donación </t>
  </si>
  <si>
    <t>FAE F.P.</t>
  </si>
  <si>
    <t>Cooperación Técnica Internacional</t>
  </si>
  <si>
    <t>Otros
Fideicomiso</t>
  </si>
  <si>
    <t>físico</t>
  </si>
  <si>
    <t>financiero</t>
  </si>
  <si>
    <t>E</t>
  </si>
  <si>
    <t>F</t>
  </si>
  <si>
    <t>M</t>
  </si>
  <si>
    <t>A</t>
  </si>
  <si>
    <t>J</t>
  </si>
  <si>
    <t>S</t>
  </si>
  <si>
    <t>O</t>
  </si>
  <si>
    <t>N</t>
  </si>
  <si>
    <t>D</t>
  </si>
  <si>
    <t>01.00.00.00.00.</t>
  </si>
  <si>
    <t>Eje 1: Fomento a la competitividad y productividad de cadenas agroproductivas</t>
  </si>
  <si>
    <t>CENDEPESCA</t>
  </si>
  <si>
    <t>01.01.00.00.00.</t>
  </si>
  <si>
    <t>Línea 1: Transformación Agropecuaria Sostenible para la Seguridad y Soberanía Alimentaria</t>
  </si>
  <si>
    <t>01.01.28.00.00.</t>
  </si>
  <si>
    <t>Incremento de la producción  Pesquera  y Acuícola</t>
  </si>
  <si>
    <t>01.01.28.04.00.</t>
  </si>
  <si>
    <t>Fomentar la diversificación productiva de especies de alto valor comercial.</t>
  </si>
  <si>
    <t>Beneficiario</t>
  </si>
  <si>
    <t>Pescador y Acuicultor, capacitado</t>
  </si>
  <si>
    <t>Informe</t>
  </si>
  <si>
    <t>01.01.28.04.01.</t>
  </si>
  <si>
    <t>Elaborar plan de asistencia técnica y capacitación a productores pesqueros y acuícolas</t>
  </si>
  <si>
    <t>Plan</t>
  </si>
  <si>
    <t>Plan, elaborado</t>
  </si>
  <si>
    <t>Documento</t>
  </si>
  <si>
    <t xml:space="preserve">Nivel Nacional: Oficinas de Pesca y Estaciones de  Acuicultura  </t>
  </si>
  <si>
    <t>Saúl Patricio Pacheco,             División de Fomento y Desarrollo Pesquero y Acuícola</t>
  </si>
  <si>
    <t xml:space="preserve">Apoyo de los  Coordinadores de Oficinas de Pesca y Estaciones de Acuicultura </t>
  </si>
  <si>
    <t>01.01.28.04.02.</t>
  </si>
  <si>
    <t>Asistir técnicamente a productores pesqueros</t>
  </si>
  <si>
    <t>Pescador</t>
  </si>
  <si>
    <t>Pescador, asistido y capacitado</t>
  </si>
  <si>
    <t>01.01.28.04.03.</t>
  </si>
  <si>
    <t>Asistir técnicamente a productores acuícola</t>
  </si>
  <si>
    <t>Acuicultor</t>
  </si>
  <si>
    <t>Acuicultor, asistido y capacitado</t>
  </si>
  <si>
    <t>01.01.28.04.04.</t>
  </si>
  <si>
    <t>Jornadas de capacitación a productores acuícolas</t>
  </si>
  <si>
    <t>Jornada</t>
  </si>
  <si>
    <t>Jornada, realizada</t>
  </si>
  <si>
    <t xml:space="preserve">Apoyo de los  Coordinadores de  Estaciones de Acuicultura </t>
  </si>
  <si>
    <t>01.01.28.04.05.</t>
  </si>
  <si>
    <t>Capacitar a productores acuícolas</t>
  </si>
  <si>
    <t>Acuicultor, capacitado</t>
  </si>
  <si>
    <t>01.01.28.05.00.</t>
  </si>
  <si>
    <t>Fomentar la inversión en infraestructura productiva para el desarrollo de las actividades pesqueras y acuícolas.</t>
  </si>
  <si>
    <t>Proyecto, formulado</t>
  </si>
  <si>
    <t>01.01.28.05.01.</t>
  </si>
  <si>
    <t>Apoyar la formulación de proyectos de infraestructura productiva en acuicultura</t>
  </si>
  <si>
    <t>Proyecto, Formulado</t>
  </si>
  <si>
    <t xml:space="preserve">Nivel Nacional: Estaciones de Acuicultura   </t>
  </si>
  <si>
    <t>01.01.28.07.00.</t>
  </si>
  <si>
    <t>Elaborar proyectos para la entrega de  insumos y equipos a los productores para la producción y comercialización.</t>
  </si>
  <si>
    <t xml:space="preserve">Proyecto </t>
  </si>
  <si>
    <t>Proyecto productivo, ejecutado</t>
  </si>
  <si>
    <t>01.01.28.07.01.</t>
  </si>
  <si>
    <t>Ejecutar proyectos productivos para el desarrollo de la pesca (FIDEICOMISO PESCAR)</t>
  </si>
  <si>
    <t>Nivel Nacional: Oficinas de Pesca</t>
  </si>
  <si>
    <t>Roberto Villalobos, Fideicomiso PESCAR</t>
  </si>
  <si>
    <t xml:space="preserve">Apoyo de los Coordinadores de las Oficinas de Pesca </t>
  </si>
  <si>
    <t>01.01.28.09.00.</t>
  </si>
  <si>
    <t>Fortalecer los centros de producción de alevines y post larvas de camarón marino</t>
  </si>
  <si>
    <t>Técnico</t>
  </si>
  <si>
    <t>Técnicos, capacitado</t>
  </si>
  <si>
    <t>01.01.28.09.01.</t>
  </si>
  <si>
    <t>Capacitar al personal técnico en nuevas tecnologías de producción de post larvas de camarón marino</t>
  </si>
  <si>
    <t>Técnico, capacitado</t>
  </si>
  <si>
    <t>Oficina Central,  La Libertad, Santa Tecla</t>
  </si>
  <si>
    <t>01.01.28.09.02.</t>
  </si>
  <si>
    <t>Capacitar al personal técnico en nuevas tecnologías de producción de alevines de tilapia</t>
  </si>
  <si>
    <t>01.01.28.10.00.</t>
  </si>
  <si>
    <t>Establecer alternativas para el uso de insumos pesqueros y acuícolas.</t>
  </si>
  <si>
    <t>01.01.28.10.01.</t>
  </si>
  <si>
    <t>Formular proyecto de factibilidad técnica y económica para la elaboración de alimento alternativo de peces</t>
  </si>
  <si>
    <t>01.01.28.12.00.</t>
  </si>
  <si>
    <t>Impulsar un plan de reproducción de larvas de camarón y alevines de tilapia, para repoblar los estuarios y cuerpos de agua.</t>
  </si>
  <si>
    <t>Millón</t>
  </si>
  <si>
    <t>Semilla, producida</t>
  </si>
  <si>
    <t>Plan de producción y distribución</t>
  </si>
  <si>
    <t>01.01.28.12.01.</t>
  </si>
  <si>
    <t>Producir post larva de camarón marino para el desarrollo de la acuicultura</t>
  </si>
  <si>
    <t>Post larva</t>
  </si>
  <si>
    <t>Post larva de camarón marino, producida</t>
  </si>
  <si>
    <t>Sonsonate, Acajutla, Los Cóbanos</t>
  </si>
  <si>
    <t>01.01.28.12.02.</t>
  </si>
  <si>
    <t>Producir alevín de tilapia para el desarrollo de la acuicultura</t>
  </si>
  <si>
    <t>Alevín</t>
  </si>
  <si>
    <t>Alevín de tilapia, producido</t>
  </si>
  <si>
    <t>Nivel Nacional,        Estaciones de Acuicultura</t>
  </si>
  <si>
    <t>01.01.28.12.04.</t>
  </si>
  <si>
    <t>Producir semilla de conchas para el desarrollo de la acuicultura</t>
  </si>
  <si>
    <t>Concha</t>
  </si>
  <si>
    <t>Semilla de conchas, producida</t>
  </si>
  <si>
    <t>Usulután, Puerto El Triunfo</t>
  </si>
  <si>
    <t>01.01.29.00.00.</t>
  </si>
  <si>
    <t>Disponibilidad de alternativas tecnológicas para el subsector Pesquero y Acuícola</t>
  </si>
  <si>
    <t>01.01.29.02.00.</t>
  </si>
  <si>
    <t>Evaluar los recursos pesqueros y acuícolas marinos y continentales.</t>
  </si>
  <si>
    <t>Proyecto de investigación, elaborado</t>
  </si>
  <si>
    <t>01.01.29.02.01.</t>
  </si>
  <si>
    <t>Realizar investigaciones de evaluación de los recursos pesqueros para el aprovechamiento sostenible</t>
  </si>
  <si>
    <t xml:space="preserve">Oficinas de Pesca  </t>
  </si>
  <si>
    <t xml:space="preserve">Ana Marlene Galdámez, División de Investigación Pesquera y Acuícola  </t>
  </si>
  <si>
    <t xml:space="preserve">Apoyo de Numa Rafael Hernández y Jazmín Cárdenas </t>
  </si>
  <si>
    <t>01.01.29.02.02.</t>
  </si>
  <si>
    <t>Elaborar informes de resultados de la investigaciones de evaluación de los recursos pesqueros para el aprovechamiento sostenible</t>
  </si>
  <si>
    <t>Informes de resultados de la investigaciones de evaluación de los recursos pesqueros para el aprovechamiento sostenible, elaborado</t>
  </si>
  <si>
    <t>01.01.29.02.03.</t>
  </si>
  <si>
    <t>Realizar investigaciones acuícolas para transferencia de nuevas tecnologías</t>
  </si>
  <si>
    <t xml:space="preserve">Estaciones de Acuicultura  </t>
  </si>
  <si>
    <t xml:space="preserve">Apoyo de Saúl Patricio Pacheco </t>
  </si>
  <si>
    <t>01.01.29.02.04.</t>
  </si>
  <si>
    <t>Elaborar informes de resultados de la investigaciones acuícolas para transferencia de nuevas tecnologías</t>
  </si>
  <si>
    <t>Informes de resultados de la investigaciones acuícolas para transferencia de nuevas tecnologías, elaborado</t>
  </si>
  <si>
    <t>01.01.29.03.00.</t>
  </si>
  <si>
    <t>Establecer medidas de ordenamiento, y adaptación de las actividades de la pesca y la acuicultura al cambio climático.</t>
  </si>
  <si>
    <t>Resolución</t>
  </si>
  <si>
    <t>Resolución, publicada</t>
  </si>
  <si>
    <t>Plan e informe</t>
  </si>
  <si>
    <t>01.01.29.03.01.</t>
  </si>
  <si>
    <t>Establecer medidas de ordenación pesquera y acuícola</t>
  </si>
  <si>
    <t xml:space="preserve">Numa Rafael Hernández, División de Administración y Ordenación Pesquera y Acuícola  </t>
  </si>
  <si>
    <t>01.01.29.03.02.</t>
  </si>
  <si>
    <t>Establecer medidas de ordenación pesquera y acuícola adaptadas al cambio climático</t>
  </si>
  <si>
    <t>01.01.29.07.00.</t>
  </si>
  <si>
    <t>Fortalecer el cultivo de moluscos en el país por medio de los laboratorios.</t>
  </si>
  <si>
    <t>Proyecto</t>
  </si>
  <si>
    <t>Proyecto de cultivo de moluscos, ejecutado</t>
  </si>
  <si>
    <t>Proyecto implementado</t>
  </si>
  <si>
    <t>01.01.29.07.01.</t>
  </si>
  <si>
    <t>Desarrollo de proyectos de cultivo de moluscos (ostra y conchas)</t>
  </si>
  <si>
    <t>01.01.29.08.00.</t>
  </si>
  <si>
    <t>Continuar con la repoblación de los espejos de agua para facilitar alimento rico en proteína a la población.</t>
  </si>
  <si>
    <t>Repoblación</t>
  </si>
  <si>
    <t>Cuerpo de agua continentales, repoblados</t>
  </si>
  <si>
    <t>Informes de repoblaciones realizadas</t>
  </si>
  <si>
    <t>01.01.29.08.01.</t>
  </si>
  <si>
    <t>Realizar repoblaciones de cuerpos de agua continentales con especies pesqueras</t>
  </si>
  <si>
    <t>Cuerpo de agua continentales, repoblado</t>
  </si>
  <si>
    <t>01.01.29.09.00.</t>
  </si>
  <si>
    <t>Actualizar la ley de ordenación y promoción de la pesca y la acuicultura y su reglamento, adecuándola a los nuevos cambios tecnológicos, mercados y normativa nacional e internacional .</t>
  </si>
  <si>
    <t>Nueva Anteproyecto de ley de ordenación y promoción de la pesca y la acuicultura y su reglamento, adecuándola a los nuevos cambios tecnológicos, mercados y normativa nacional e internacional, revisado</t>
  </si>
  <si>
    <t>01.01.29.09.01.</t>
  </si>
  <si>
    <t>Revisar nuevo anteproyecto de ley general de ordenación y promoción de la pesca y la acuicultura</t>
  </si>
  <si>
    <t>Nuevo anteproyecto de ley general de ordenación y promoción de la pesca y la acuicultura, revisado</t>
  </si>
  <si>
    <t>Acta de reuniones y listado participantes</t>
  </si>
  <si>
    <t>01.01.29.09.02.</t>
  </si>
  <si>
    <t>Presentar nuevo anteproyecto de ley general de ordenación y promoción de la pesca y la acuicultura</t>
  </si>
  <si>
    <t>Nuevo anteproyecto de ley general de ordenación y promoción de la pesca y la acuicultura, presentado</t>
  </si>
  <si>
    <t>Nota de remisión de anteproyecto de Ley</t>
  </si>
  <si>
    <t>01.01.29.10.00.</t>
  </si>
  <si>
    <t>Coordinar con MARN el desarrollo de ordenamiento pesquero, para aplicar normas que incentiven y no limiten el desarrollo pesquero y acuícola.</t>
  </si>
  <si>
    <t>Mesa de trabajo, establecida</t>
  </si>
  <si>
    <t>Acta, informe y Listado de participantes</t>
  </si>
  <si>
    <t>01.01.29.10.01.</t>
  </si>
  <si>
    <t>Establecer una mesa de trabajo permanente  interinstitucional de pesca, acuicultura  y medio ambiente</t>
  </si>
  <si>
    <t xml:space="preserve">Apoyo de Saúl Patricio Pacheco y Ana Marelene Galdámez, pudiendo  incorporar a otros técnicos como apoyo </t>
  </si>
  <si>
    <t>01.01.29.11.00.</t>
  </si>
  <si>
    <r>
      <t>Coordinar alianzas estratégicas entre Policía Nacional Civil y Fuerza Naval</t>
    </r>
    <r>
      <rPr>
        <strike/>
        <sz val="12"/>
        <rFont val="Arial"/>
        <family val="2"/>
      </rPr>
      <t xml:space="preserve"> </t>
    </r>
    <r>
      <rPr>
        <sz val="12"/>
        <rFont val="Arial"/>
        <family val="2"/>
      </rPr>
      <t>para aumentar la cobertura de patrullajes en aguas territoriales.</t>
    </r>
  </si>
  <si>
    <t>Convenio, establecido</t>
  </si>
  <si>
    <t>01.01.29.11.01.</t>
  </si>
  <si>
    <t>Establecer alianza estratégica con Ministerio de Defensa y con Ministerio de Seguridad Publica para mejorar la cobertura del control y vigilancia en los territorios.</t>
  </si>
  <si>
    <t xml:space="preserve">Numa Rafael Hernández, División de Administración y Ordenación Pesquera y Acuíola  </t>
  </si>
  <si>
    <t>Apoyo de Romero Guerrero y Jasmín Cardenas.</t>
  </si>
  <si>
    <t>01.01.29.17.00.</t>
  </si>
  <si>
    <t>Fortalecer la investigación en el uso y manejo de embarcaciones para pescas de mayor profundidad.</t>
  </si>
  <si>
    <t>01.01.29.17.01.</t>
  </si>
  <si>
    <t>Formular proyecto de investigación y validación de embarcaciones artesanales para pesca de especies de mayor profundidad</t>
  </si>
  <si>
    <t>Apoyo de Numa Rafael Hernández, Jasmín Cárdenas y Romeo Guerrero</t>
  </si>
  <si>
    <t>01.01.30.00.00.</t>
  </si>
  <si>
    <t>Mayor volumen de productos y subproductos  Pesqueros y Acuícolas comercializados</t>
  </si>
  <si>
    <t>01.01.30.02.00.</t>
  </si>
  <si>
    <t>Fortalecer el sistema de estadísticas que incorpore la información de unidades productivas.</t>
  </si>
  <si>
    <t>Resolución, emitida y registrada</t>
  </si>
  <si>
    <t>01.01.30.02.02.</t>
  </si>
  <si>
    <t>Elaborar informes de generación de estadísticas pesqueras y acuícolas</t>
  </si>
  <si>
    <t>Informe, elaborado</t>
  </si>
  <si>
    <t xml:space="preserve">Oficina Central, La Libertad, Santa Tecla, y Oficinas de Pesca y Estaciones de Acuicultura </t>
  </si>
  <si>
    <t>Cecilia Aguillón, Departamento de Estadísticas Pesqueras y Acuícolas</t>
  </si>
  <si>
    <t>Apoyo de las Oficinas de Pesca y Estaciones de Acuicultura</t>
  </si>
  <si>
    <t>01.01.30.02.03.</t>
  </si>
  <si>
    <t>Emitir y registrar autorizaciones de pesca y acuicultura</t>
  </si>
  <si>
    <t>Apoyo de las Oficinas de Pesca y  Encargado (a) del Registro Nacional de Pesca y Acuicultura.</t>
  </si>
  <si>
    <t>01.01.30.02.04.</t>
  </si>
  <si>
    <t>Emitir y registrar licencias de embarcaciones pesqueras</t>
  </si>
  <si>
    <t>01.01.30.03.00.</t>
  </si>
  <si>
    <t>Promover el consumo interno de los productos pesquero y acuícolas.</t>
  </si>
  <si>
    <t>Campaña</t>
  </si>
  <si>
    <t>Campaña promocional de consumo interno de los productos pesquero y acuícolas, realizado</t>
  </si>
  <si>
    <t>01.01.30.03.01.</t>
  </si>
  <si>
    <t>Apoyar el desarrollo de campañas de divulgación para el consumo de productos pesqueros y acuícolas</t>
  </si>
  <si>
    <t>Campaña de divulgación,  apoyada</t>
  </si>
  <si>
    <t xml:space="preserve">Verónica Aguirre, Enlace de comunicaciones </t>
  </si>
  <si>
    <t>Apoyo de  Romeo Guerrero,  Helen Martínez y Lourdes Méndez; asi como de las Oficinas de Pesca y Estaciones de Acuicultura</t>
  </si>
  <si>
    <t>01.01.31.00.00.</t>
  </si>
  <si>
    <t>Mayor sinergia o complementariedad en la ejecución de acciones para el subsector Pesquero y Acuícola</t>
  </si>
  <si>
    <t>01.01.31.01.00.</t>
  </si>
  <si>
    <t>Facilitar los  espacios de actores involucrados para establecimiento de consensos de veda.</t>
  </si>
  <si>
    <t>Reunión</t>
  </si>
  <si>
    <t>Reunión, desarrollada</t>
  </si>
  <si>
    <t xml:space="preserve">Acta y Listado de Asistencia </t>
  </si>
  <si>
    <t>01.01.31.01.01.</t>
  </si>
  <si>
    <t>Desarrollar reuniones de mesas de consulta con pescadores y acuicultores organizados y no organizados</t>
  </si>
  <si>
    <t xml:space="preserve">Apoyo de Saúl Patricio Pacheco, División de Fomento y Desarrollo Pesquero y Acuícola  </t>
  </si>
  <si>
    <t>01.01.31.02.00.</t>
  </si>
  <si>
    <t>Dar continuidad al Consejo Nacional de Pesca (CONAPESCA)</t>
  </si>
  <si>
    <t>01.01.31.02.01.</t>
  </si>
  <si>
    <t xml:space="preserve">Desarrollar reuniones de trabajo del Consejo Nacional de Pesca y Acuicultura (CONAPESCA) </t>
  </si>
  <si>
    <t xml:space="preserve">Francisco Saca, Director General </t>
  </si>
  <si>
    <t>Apoyo de Numa Rafael Hernández,  Rosa Triguero y  otros técnicos de acuerdo a los temas de Agenda propuestos.</t>
  </si>
  <si>
    <t>01.01.31.06.00.</t>
  </si>
  <si>
    <t>Fortalecer los encadenamientos productivos articulando productores con la agroindustria.</t>
  </si>
  <si>
    <t>Proyecto, ejecutado</t>
  </si>
  <si>
    <t>01.01.31.06.01.</t>
  </si>
  <si>
    <t xml:space="preserve">Ejecutar un Plan de Formación y Fortalecimiento de Capacidades de los productores acuícolas, orientado al encadenamiento productivo. </t>
  </si>
  <si>
    <t>Oficina Central, La Libertad, Santa Tecla</t>
  </si>
  <si>
    <t>Apoyo de Benjamín Zepeda Nehemías Ulloa, Sara Mejía y Lourdes Méndez</t>
  </si>
  <si>
    <t>01.01.31.07.00.</t>
  </si>
  <si>
    <t>Continuar con la coordinación con autoridades nacionales y sector privado, para evitar la pesca ilegal por medio de la aplicación de la normativa existente.</t>
  </si>
  <si>
    <t>Inspección</t>
  </si>
  <si>
    <t>Inspección, realizada</t>
  </si>
  <si>
    <t>01.01.31.07.01.</t>
  </si>
  <si>
    <t>Realizar inspecciones de monitoreo control y vigilancia de actividades pesqueras y acuícolas</t>
  </si>
  <si>
    <t>Nivel Nacional, Oficinas de Pesca</t>
  </si>
  <si>
    <t>01.01.31.08.00.</t>
  </si>
  <si>
    <t>Reforzar la coordinación para el control de contrabando transfronterizo de camarón pequeño.</t>
  </si>
  <si>
    <t>Mesa, establecida</t>
  </si>
  <si>
    <t>01.01.31.08.01.</t>
  </si>
  <si>
    <t xml:space="preserve">Establecer mesa de coordinación interinstitucional con el Ministerio de Hacienda y Policía Nacional Civil para regular el contrabando de camarón </t>
  </si>
  <si>
    <t>01.01.31.09.00.</t>
  </si>
  <si>
    <t>Crear, en coordinación con otras instituciones, una mesa de la cadena de valor para la mejora de la competitividad del subsector, como mecanismo permanente de diálogo y la ejecución de agendas de trabajo conjuntas a mediano y largo plazo.</t>
  </si>
  <si>
    <t>Mesa de coordinación interinstitucional, funcionando</t>
  </si>
  <si>
    <t>01.01.31.09.01.</t>
  </si>
  <si>
    <t>Establecer mesa de coordinar con el Ministerio de  Economía y Conamype para desarrollar  acciones que contribuyan al desarrollo de la cadena de valor en pesca y acuicultura</t>
  </si>
  <si>
    <t>01.01.32.00.00.</t>
  </si>
  <si>
    <t>Organizaciones de  pescadores y acuicultores con mayor capacidad organizacional y empresarial</t>
  </si>
  <si>
    <t>01.01.32.02.00.</t>
  </si>
  <si>
    <t>Fortalecer la asociatividad entre actores de la cadena pesquera y acuícola.</t>
  </si>
  <si>
    <t xml:space="preserve">Organización </t>
  </si>
  <si>
    <t>Organización pesquera y acuícola, constituida</t>
  </si>
  <si>
    <t>01.01.32.02.01.</t>
  </si>
  <si>
    <t>Elaborar plan de organización de productores pesqueros y acuícolas</t>
  </si>
  <si>
    <t>01.01.32.02.02.</t>
  </si>
  <si>
    <t>Ejecutar plan de organización de productores pesqueros</t>
  </si>
  <si>
    <t>Organización pesquera, constituida</t>
  </si>
  <si>
    <t>Oficinas de Pesca</t>
  </si>
  <si>
    <t>01.01.32.02.03.</t>
  </si>
  <si>
    <t>Ejecutar plan de organización de productores acuícolas</t>
  </si>
  <si>
    <t>Organización acuícola, constituida</t>
  </si>
  <si>
    <t>Oficinas de Acuicultura</t>
  </si>
  <si>
    <t>02.00.00.00.00.</t>
  </si>
  <si>
    <t xml:space="preserve">Eje 2: Desarrollo y Protección Social  </t>
  </si>
  <si>
    <t>02.03.00.00.00.</t>
  </si>
  <si>
    <t>Línea 3. Asistencia técnica a la producción familiar</t>
  </si>
  <si>
    <t>02.03.02.00.00.</t>
  </si>
  <si>
    <t>Incremento de las capacidades técnicas de la población rural</t>
  </si>
  <si>
    <t>02.03.02.02.00.</t>
  </si>
  <si>
    <t>Desarrollar capacidades técnicas de pequeños y medianos productores para el desarrollo de una agricultura familiar y actividades relacionadas.</t>
  </si>
  <si>
    <t>Acuicultor, asistido</t>
  </si>
  <si>
    <t>02.03.02.02.01.</t>
  </si>
  <si>
    <t>Brindar asistencia Técnica en producción de tilapia</t>
  </si>
  <si>
    <t>Estaciones de Acuicultura</t>
  </si>
  <si>
    <t>Cobertura de acuerdo a la ubicación de los beneficiarios</t>
  </si>
  <si>
    <t>03.00.00.00.00.</t>
  </si>
  <si>
    <t>Eje 3: Gestión ambiental y cambio climático</t>
  </si>
  <si>
    <t>03.03.00.00.00.</t>
  </si>
  <si>
    <t>Línea 3. Gestión ambiental para el desarrollo sustentable</t>
  </si>
  <si>
    <t>03.03.02.00.00.</t>
  </si>
  <si>
    <t>Mayor adaptación y mitigación al Cambio climático en el sector</t>
  </si>
  <si>
    <t>03.03.02.02.00.</t>
  </si>
  <si>
    <t>Articular interinstitucionalmente la coordinación de proyectos y acciones hacia la adaptación y mitigación al cambio climático.</t>
  </si>
  <si>
    <t>Acuerdo tomado en la asamblea general del Sistema Nacional de Medio Ambiente (SINAMA), reportado</t>
  </si>
  <si>
    <t>Informe de acuerdos tomados en el SINAMA</t>
  </si>
  <si>
    <t>03.03.02.02.01.</t>
  </si>
  <si>
    <t>Establecer sinergias interinstitucionales para fomentar medidas  preventivas para reducir la contaminación, destrucción de hábitat y resiliencia de las poblaciones pesqueras y acuicultura</t>
  </si>
  <si>
    <t>Informe de acciones, ejecutadas</t>
  </si>
  <si>
    <t xml:space="preserve">Informe </t>
  </si>
  <si>
    <t>Apoyo de Diana Barahona, Numa Rafael Hernández y Jasmín Cárdenas.</t>
  </si>
  <si>
    <t>03.03.02.03.00.</t>
  </si>
  <si>
    <t>Proporcionar asistencia a productores/as en la recuperación de sistemas naturales degradados</t>
  </si>
  <si>
    <t>Jornada de capacitación a productores y productoras acuícolas, desarrollada</t>
  </si>
  <si>
    <t>Listado de participantes</t>
  </si>
  <si>
    <t>03.03.02.03.01.</t>
  </si>
  <si>
    <t>Capacitar a productores acuícolas en buenas prácticas de producción para minimizar el impacto del cambio climático en la acuicultura</t>
  </si>
  <si>
    <t>Oficina Central, La Libertad, Santa Tecla, Estaciones de Acuicultura</t>
  </si>
  <si>
    <t xml:space="preserve">Apoyo de Benjamín Zepeda Nehemías Ulloa, Marlene Galdámez, Diana Barahona </t>
  </si>
  <si>
    <t>03.03.02.03.02.</t>
  </si>
  <si>
    <t>Capacitar a técnicos en medidas de adaptación al cambio climático en pesca y acuicultura</t>
  </si>
  <si>
    <t xml:space="preserve">Técnico </t>
  </si>
  <si>
    <t>05.00.00.00.00.</t>
  </si>
  <si>
    <t>Eje 5: Género, Juventud y Población Indígena</t>
  </si>
  <si>
    <t>05.01.00.00.00.</t>
  </si>
  <si>
    <t>Línea 1. Fortalecimiento de los mecanismos internos para la transversalización del enfoque de género, derechos humanos de las mujeres, juventud y población indígena.</t>
  </si>
  <si>
    <t>05.01.01.00.00.</t>
  </si>
  <si>
    <t>Mayores niveles de transversalización</t>
  </si>
  <si>
    <t>05.01.01.02.00.</t>
  </si>
  <si>
    <t>Promover servicios de atención, capacitación y asistencia técnica integral y diferenciada para mujeres, juventud y pueblos indígenas</t>
  </si>
  <si>
    <t>Informe de Documentos con enfoque de género, incorporado</t>
  </si>
  <si>
    <t>05.01.01.02.01.</t>
  </si>
  <si>
    <t>Elaborar el Plan de capacitación para organizaciones pesqueras y acuícolas</t>
  </si>
  <si>
    <t>Plan de capacitación para organizaciones pesqueras y acuícolas, elaborado</t>
  </si>
  <si>
    <t>Oficina Central, La Libertad, Santa Tecla, Oficinas de Pesca y Estaciones de Acuicultura</t>
  </si>
  <si>
    <t>05.01.01.02.02.</t>
  </si>
  <si>
    <t>Capacitar a Organizaciones pesqueras y acuícolas</t>
  </si>
  <si>
    <t>Organizaciones pesqueras y acuícolas, capacitadas</t>
  </si>
  <si>
    <t>07.00.00.00.00.</t>
  </si>
  <si>
    <t>Eje 7: Financiamiento y cooperación</t>
  </si>
  <si>
    <t>07.04.00.00.00.</t>
  </si>
  <si>
    <t>Línea 4. Gestión de fondos de la cooperación internacional</t>
  </si>
  <si>
    <t>07.04.01.00.00.</t>
  </si>
  <si>
    <t>Mayores niveles de cooperación externa para el desarrollo del sector</t>
  </si>
  <si>
    <t>07.04.01.03.00.</t>
  </si>
  <si>
    <t>Gestionar cooperación externa en base a demanda, para impulsar el desarrollo sostenible y sustentable de los recursos pesqueros y acuícolas.</t>
  </si>
  <si>
    <t>07.04.01.03.01.</t>
  </si>
  <si>
    <t>Formular proyectos para la gestión de cooperación externa para impulsar el desarrollo sostenible y sustentable de recursos pesqueros y acuícolas</t>
  </si>
  <si>
    <t>Oficina Central, La Libertad, Santa Tecla.</t>
  </si>
  <si>
    <t>08.00.00.00.00.</t>
  </si>
  <si>
    <t>Eje 8 Modernización institucional</t>
  </si>
  <si>
    <t>08.02.00.00.00.</t>
  </si>
  <si>
    <t>Línea 2. Desarrollo de liderazgo</t>
  </si>
  <si>
    <t>08.02.01.00.00.</t>
  </si>
  <si>
    <t xml:space="preserve">Mayor nivel de satisfacción del usuario </t>
  </si>
  <si>
    <t>08.02.01.02.00.</t>
  </si>
  <si>
    <t>Mejorar la estructura interna para la ejecución del modelo de la gestión de la calidad y excelencia del MAG.</t>
  </si>
  <si>
    <t>Dependencia</t>
  </si>
  <si>
    <t>Estructura interna para la ejecución del modelo de la gestión de la calidad y excelencia de las dependencias del MAG, mejorada</t>
  </si>
  <si>
    <t>08.02.01.02.04.</t>
  </si>
  <si>
    <t>Implementar la propuesta de reestructuración de CENDEPESCA.</t>
  </si>
  <si>
    <t>informe</t>
  </si>
  <si>
    <t>Propuesta de reestructuración de CENDEPESCA, implementada</t>
  </si>
  <si>
    <t>Informe de la implementación de la reestructuración.</t>
  </si>
  <si>
    <t>Apoyo de Numa Rafael Hernández, Ana Marlene Galdámez y Saúl Patricio Pacheco.</t>
  </si>
  <si>
    <t>08.02.01.02.06.</t>
  </si>
  <si>
    <t>Implementar propuesta de  fortalecimiento de Oficinas de Pesca y Estaciones de Acuicultura.</t>
  </si>
  <si>
    <t>Propuesta de fortalecimiento de Oficinas de Pesca y Estaciones de Acuicultura, implementada</t>
  </si>
  <si>
    <t>08.02.01.03.00.</t>
  </si>
  <si>
    <t>Mejorar las leyes aplicables por dependencia.</t>
  </si>
  <si>
    <t>Propuestas de diferentes documentos jurídicos, elaborados</t>
  </si>
  <si>
    <t xml:space="preserve">Nota de remisión de la propuesta de reforma </t>
  </si>
  <si>
    <t>08.02.01.03.17.</t>
  </si>
  <si>
    <t>Elaborar propuesta de reforma de ley de autorización para la creación del Fideicomiso PESCAR</t>
  </si>
  <si>
    <t>Propuesta de reforma de ley de autorización para la creación del Fideicomiso PESCAR, elaborada</t>
  </si>
  <si>
    <t>Actas de reuniones y listado de participantes</t>
  </si>
  <si>
    <t>08.02.01.03.18.</t>
  </si>
  <si>
    <t>Presentar propuesta de reforma de ley de autorización para la creación del Fideicomiso PESCAR</t>
  </si>
  <si>
    <t>Propuesta de reforma de ley de autorización para la creación del Fideicomiso PESCAR, presentada</t>
  </si>
  <si>
    <t>09.00.00.00.00</t>
  </si>
  <si>
    <t>Acciones misionales</t>
  </si>
  <si>
    <t>09.16.00.00.00</t>
  </si>
  <si>
    <t>Dirección General de Desarrollo de la Pesca y la Acuicultura</t>
  </si>
  <si>
    <t>09.16.01.00.00</t>
  </si>
  <si>
    <t>División de Fomento y Desarrollo Pesquero y Acuícola</t>
  </si>
  <si>
    <t>09.16.01.01.00</t>
  </si>
  <si>
    <t>Promover y gestionar la formulación y ejecución de proyectos productivos para desarrollo de la pesca y acuicultura</t>
  </si>
  <si>
    <t>09.16.01.01.01</t>
  </si>
  <si>
    <t>Rehabilitar y adecuar infraestructura para establecer el Centro de Desarrollo de Acuicultura de Santa Cruz Porrillo</t>
  </si>
  <si>
    <t>Informe de inversión del Centro de Desarrollo de Acuicultura de Santa Cruz Porrillo, elaborado</t>
  </si>
  <si>
    <t>1. Proyecto ejecutado
2. Informe</t>
  </si>
  <si>
    <t>San Vicente, Tecoluca.</t>
  </si>
  <si>
    <t>Donación de Gobierno de China (Taiwán )</t>
  </si>
  <si>
    <t>MINISTERIO DE AGRICULTURA Y GANADERÍA</t>
  </si>
  <si>
    <t xml:space="preserve">RE PROGRAMACIÓN DE METAS FÍSICAS Y FINANCIERAS </t>
  </si>
  <si>
    <t xml:space="preserve">Formulario F-3 </t>
  </si>
  <si>
    <t>Área Ministerial: Dependencias descentralizadas</t>
  </si>
  <si>
    <t>Dependencia: Centro Nacional de Tecnología Agropecuaria y Forestal (CENTA)</t>
  </si>
  <si>
    <t>Resultado / Acción Estratégica</t>
  </si>
  <si>
    <t>Unidad
de Medida</t>
  </si>
  <si>
    <t>Peso Porcentual</t>
  </si>
  <si>
    <t>Peso ponderado acción</t>
  </si>
  <si>
    <t>Ubicación
Geográfica</t>
  </si>
  <si>
    <t>Costo
Total</t>
  </si>
  <si>
    <t>Prest.
Ext.</t>
  </si>
  <si>
    <t>Donac.</t>
  </si>
  <si>
    <t>F.A.E. 
F.P.</t>
  </si>
  <si>
    <t>Coop.
Tec
 Inter</t>
  </si>
  <si>
    <t>Otros
(Fideic.)</t>
  </si>
  <si>
    <t>01.00.00.00.00</t>
  </si>
  <si>
    <t>Eje 1. Fomento a la Competitividad y Productividad de cadenas agro productivas</t>
  </si>
  <si>
    <t>01.01.00.00.00</t>
  </si>
  <si>
    <t>Línea 1. Transformación Agropecuaria Sostenible para la Seguridad Alimentaria</t>
  </si>
  <si>
    <t>01.01.01.00.00</t>
  </si>
  <si>
    <t>Incremento de la producción  de Granos Básicos</t>
  </si>
  <si>
    <t>01.01.01.01.00</t>
  </si>
  <si>
    <t>Facilitar el servicio de análisis de suelo en las zonas productivas, para orientar al productor en los requerimientos de fertilizantes para los cultivos de granos básicos.</t>
  </si>
  <si>
    <t>01.01.01.01.01</t>
  </si>
  <si>
    <t>Capacitar productores en metodologías de toma de muestra de suelo</t>
  </si>
  <si>
    <t>Hombre</t>
  </si>
  <si>
    <t>Productores en metodologías para la toma  de muestras de suelos, capacitados</t>
  </si>
  <si>
    <t xml:space="preserve">Listados de  participación </t>
  </si>
  <si>
    <t>Nivel nacional</t>
  </si>
  <si>
    <t>Francisco Torres, Ger. Transferencia</t>
  </si>
  <si>
    <t>Mujer</t>
  </si>
  <si>
    <t>01.01.03.02.00</t>
  </si>
  <si>
    <t>Transferir tecnología post-cosecha y ampliar la capacidad de almacenamiento de pequeños y medianos productores.</t>
  </si>
  <si>
    <t>01.01.02.02.02</t>
  </si>
  <si>
    <t>Capacitar productores en manejo pos cosecha de granos básicos</t>
  </si>
  <si>
    <t>Productores en manejo pos cosecha de granos básicos, capacitados</t>
  </si>
  <si>
    <t>01.01.01.03.00</t>
  </si>
  <si>
    <t>Fortalecer la asistencia técnica del CENTA para brindar orientación para el manejo del cultivo y la atención de plagas y enfermedades.</t>
  </si>
  <si>
    <t>01.01.01.03.01</t>
  </si>
  <si>
    <t>Asistencia técnica y capacitación para el manejo de cultivos y el control de plagas y enfermedades</t>
  </si>
  <si>
    <t>Productores asistidos</t>
  </si>
  <si>
    <t>Informes</t>
  </si>
  <si>
    <t>Meta no acumulativa</t>
  </si>
  <si>
    <t>01.01.01.03.02</t>
  </si>
  <si>
    <t>Capacitar extensionistas en metodologías de muestreo y manejo de plagas y enfermedades</t>
  </si>
  <si>
    <t>Técnicos</t>
  </si>
  <si>
    <t>Extensionistas en  muestreo y manejo de plagas y enfermedades, capacitados</t>
  </si>
  <si>
    <t>Ciudad Arce, La Libertad</t>
  </si>
  <si>
    <t>Reina de Serrano,Lab. Parasit. Vegetal. Lauro Alarcón, Granos Básicos</t>
  </si>
  <si>
    <t>01.01.01.03.04</t>
  </si>
  <si>
    <t>Asistencia técnica para la producción de semilla de frijol</t>
  </si>
  <si>
    <t>Productor</t>
  </si>
  <si>
    <t>Productor asistido</t>
  </si>
  <si>
    <t xml:space="preserve">Informes </t>
  </si>
  <si>
    <t>Lauro Alarcón, Programa de Granos básicos</t>
  </si>
  <si>
    <t>01.01.01.05.00</t>
  </si>
  <si>
    <t>Fomentar las capacidades técnicas para el procesamiento, agregación de valor y comercialización de los granos básicos.</t>
  </si>
  <si>
    <t>01.01.01.05.04</t>
  </si>
  <si>
    <t>Transferir tecnologías en procesamiento y agregación de valor</t>
  </si>
  <si>
    <t>Productores en procesamiento y agregación de valor a los granos básicos, capacitados</t>
  </si>
  <si>
    <t>Listados de participación</t>
  </si>
  <si>
    <t>Patricia de Esquivel, Lab. Tecn. Alimentos</t>
  </si>
  <si>
    <t>01.01.02.00.00</t>
  </si>
  <si>
    <t>Disponibilidad de alternativas tecnológicas para el subsector de Granos Básicos</t>
  </si>
  <si>
    <t>01.01.02.02.00</t>
  </si>
  <si>
    <t>Liberar híbridos de maíz blanco, arroz, frijol y sorgo de alto rendimiento y valor nutritivo para mejorar la productividad y contribuir a la seguridad alimentaria.</t>
  </si>
  <si>
    <t>01.01.02.02.01</t>
  </si>
  <si>
    <t>Generar híbridos y/o variedades de maíz de alto potencial de producción</t>
  </si>
  <si>
    <t>Tecnología</t>
  </si>
  <si>
    <t>Híbridos o variedades de maíz con alto potencial de rendimiento y/o valor nutritivo, generado</t>
  </si>
  <si>
    <t xml:space="preserve">Ficha técnica </t>
  </si>
  <si>
    <t>A nivel nacional</t>
  </si>
  <si>
    <t>Lauro Alarcón, Coordinador Granos Básicos</t>
  </si>
  <si>
    <t>Generar tecnologías de manejo en maíz</t>
  </si>
  <si>
    <t>Tecnologías en manejo agroecológico del cultivo de maíz,  generadas</t>
  </si>
  <si>
    <t>01.01.02.02.03</t>
  </si>
  <si>
    <t>Generar variedades de frijol de alto potencial de rendimiento</t>
  </si>
  <si>
    <t>Variedad de frijol para condiciones de humedad limitada, generada</t>
  </si>
  <si>
    <t>01.01.06.00.00</t>
  </si>
  <si>
    <t>Incremento de la producción de  Frutas y hortalizas</t>
  </si>
  <si>
    <t>01.01.06.01.00</t>
  </si>
  <si>
    <t>Aumentar la oferta de frutas y hortalizas, diversificarla y agregarle valor en respuesta a las oportunidades reales del mercado.</t>
  </si>
  <si>
    <t>01.01.06.01.01</t>
  </si>
  <si>
    <t>Asistir técnicamente para incrementar nuevas áreas de cultivo de hortalizas con materiales mejorados de alto valor como producto fresco y procesado</t>
  </si>
  <si>
    <t>Manzana</t>
  </si>
  <si>
    <t>Manzanas incrementadas</t>
  </si>
  <si>
    <t>01.01.06.01.02</t>
  </si>
  <si>
    <t>Asistir técnicamente para incrementar nuevas áreas de cultivo de frutas con materiales mejorados de alto valor como producto fresco y procesado</t>
  </si>
  <si>
    <t>01.01.06.01.04</t>
  </si>
  <si>
    <t>Producir  plantas frutales  introducidas y adaptadas a las condiciones locales para ser entregada a productores para autoabastecimiento y mercado local</t>
  </si>
  <si>
    <t>Planta</t>
  </si>
  <si>
    <t>Plantas de frutales producidas</t>
  </si>
  <si>
    <t>Ignacio Sandoval, EE San Andrés</t>
  </si>
  <si>
    <t>01.01.06.04.00</t>
  </si>
  <si>
    <t>Potenciar la producción de plántulas in vitro en la ENA y el CENTA, que permita mejorar producción y productividad en campo.</t>
  </si>
  <si>
    <t>01.01.06.04.01</t>
  </si>
  <si>
    <t>Multiplicar en laboratorios de cultivos de tejidos, materiales genéticos de hortalizas de  alta demanda para poner a disposición de los productores</t>
  </si>
  <si>
    <t>Plantas  de hortalizas mediante multiplicación en laboratorios de cultivo de tejidos, reproducidas</t>
  </si>
  <si>
    <t>Carlos Arévalo, Laboratorio Biotecnología</t>
  </si>
  <si>
    <t>01.01.06.04.02</t>
  </si>
  <si>
    <t>Multiplicar en laboratorios de cultivos de tejidos, materiales genéticos de frutas de alta demanda para poner a disposición de los productores</t>
  </si>
  <si>
    <t>Plantas de frutas  mediante multiplicación en laboratorios de cultivo de tejidos, reproducidas</t>
  </si>
  <si>
    <t>01.01.06.06.00</t>
  </si>
  <si>
    <t>Establecer alternativas para el uso de insumos agropecuarios.</t>
  </si>
  <si>
    <t>01.01.06.06.01</t>
  </si>
  <si>
    <t>Asistir a productores para el uso de insumos agropecuarios</t>
  </si>
  <si>
    <t>Productores en la elaboración y uso de insumos orgánicos, asistidos</t>
  </si>
  <si>
    <t>Nomina de capacitados</t>
  </si>
  <si>
    <t>01.01.07.00.00</t>
  </si>
  <si>
    <t>Disponibilidad de alternativas tecnológicas e industrialización de Frutas y hortalizas</t>
  </si>
  <si>
    <t>01.01.07.01.00</t>
  </si>
  <si>
    <t>Generar o capturar tecnologías para producción de frutas y hortalizas bajo condiciones protegidas</t>
  </si>
  <si>
    <t>01.01.07.01.01</t>
  </si>
  <si>
    <t>Generar tecnologías de producción de frutas y hortalizas en ambientes protegidos</t>
  </si>
  <si>
    <t>Tecnologias generadas y capturadas sobre produccion de frutas y hortalizas en ambientes protegidos</t>
  </si>
  <si>
    <t>Fichas tecnicas</t>
  </si>
  <si>
    <t>Eduardo Vides, Coordinador de Frutales</t>
  </si>
  <si>
    <t>01.01.07.02.00</t>
  </si>
  <si>
    <t>Fomentar la aplicación de tecnologías apropiadas amigables con el medio ambiente.</t>
  </si>
  <si>
    <t>01.01.07.02.01</t>
  </si>
  <si>
    <t>Generar tecnologias apropiadas amigables con el medio ambiente</t>
  </si>
  <si>
    <t>Tecnologias agroecologicas amigables con el medio ambien en cultivo de hortalizas y frutales</t>
  </si>
  <si>
    <t xml:space="preserve">Ficha tecnicas </t>
  </si>
  <si>
    <t>01.01.07.02.02</t>
  </si>
  <si>
    <t>Generar o captura de   tecnologias agroecologicas en cultivo de hortalizas y frutales</t>
  </si>
  <si>
    <t>Tecnologias para el  manejo agroecológico de hortalizas generadas</t>
  </si>
  <si>
    <t>Luis A. Díaz, Coordinador de Hortalizas</t>
  </si>
  <si>
    <t>01.01.07.09.00.</t>
  </si>
  <si>
    <t xml:space="preserve">Instalar invernaderos y sistemas de riego </t>
  </si>
  <si>
    <t xml:space="preserve">Sistema </t>
  </si>
  <si>
    <t>Invernaderos y sistemas de riego, instalados</t>
  </si>
  <si>
    <r>
      <t xml:space="preserve">Programada en el </t>
    </r>
    <r>
      <rPr>
        <b/>
        <sz val="12"/>
        <rFont val="Bembo Std"/>
        <family val="1"/>
      </rPr>
      <t>RE-PEI MAG-CENTA 2019-2024</t>
    </r>
    <r>
      <rPr>
        <sz val="12"/>
        <rFont val="Bembo Std"/>
        <family val="1"/>
      </rPr>
      <t>, no en el POA 2021 CENTA</t>
    </r>
  </si>
  <si>
    <t>01.01.07.09.01.</t>
  </si>
  <si>
    <t>Instalar invernaderos para la producción de hortalizas seleccionadas</t>
  </si>
  <si>
    <t>Invernadero</t>
  </si>
  <si>
    <t>Invernaderos, instalados</t>
  </si>
  <si>
    <t>01.01.07.09.02.</t>
  </si>
  <si>
    <t>Instalar sistemas de riego para la producción de hortalizas seleccionadas</t>
  </si>
  <si>
    <t>Sistemas de riego, instalados</t>
  </si>
  <si>
    <t>01.01.11.00.00</t>
  </si>
  <si>
    <t>Incremento de la producción de la Ganadería Bovina</t>
  </si>
  <si>
    <t>01.01.11.06.00</t>
  </si>
  <si>
    <t xml:space="preserve">Fomentar en las explotaciones ganaderas los procesos de producción y almacenamiento de pastos y forrajes para garantizar la disponibilidad de alimento forrajero y subproductos. </t>
  </si>
  <si>
    <t>01.01.11.06.01</t>
  </si>
  <si>
    <t>Asistir tecnicamente a ganaderos en produccion y almacenamiento de pasto y forrajes</t>
  </si>
  <si>
    <t>Productores asitidos</t>
  </si>
  <si>
    <t>01.01.11.06.02</t>
  </si>
  <si>
    <t>01.01.11.10.00</t>
  </si>
  <si>
    <t>Promover la capacitación a productores en temas relacionados a la producción, procesamiento de productos y subproductos lácteos, sanidad animal.</t>
  </si>
  <si>
    <t>01.01.11.10.01</t>
  </si>
  <si>
    <t>Asistir tecnicamente a productores sobre la producción del ganado bovino</t>
  </si>
  <si>
    <t>01.01.12.00.00</t>
  </si>
  <si>
    <t>Disponibilidad de alternativas tecnológicas e industrialización de productos y
subproductos de la Ganadería Bovina</t>
  </si>
  <si>
    <t>01.01.12.03.00</t>
  </si>
  <si>
    <t>Generar y adaptar tecnologías en manejo, alimentación, salud animal, genética y administración de fincas del hato ganadero que se adapten a las condiciones edafoclimáticas.</t>
  </si>
  <si>
    <t>01.01.12.03.01</t>
  </si>
  <si>
    <t>Generar y adaptar tecnologías en manejo del hato</t>
  </si>
  <si>
    <t>Tecnologia desarrollada</t>
  </si>
  <si>
    <t>Ficha Técnica</t>
  </si>
  <si>
    <t>Domingo Palacios, Coordinador de Producción Animal</t>
  </si>
  <si>
    <t>01.01.12.03.02</t>
  </si>
  <si>
    <t>Generar y adaptar tecnologías en alimentación en hato</t>
  </si>
  <si>
    <t>01.01.23.00.00</t>
  </si>
  <si>
    <t>Incremento de la producción Apícola</t>
  </si>
  <si>
    <t>01.01.23.01.00</t>
  </si>
  <si>
    <t>Brindar asistencia técnica en prácticas innovadoras para la producción y extracción de miel, de acuerdo a las demandas del mercado.</t>
  </si>
  <si>
    <t>01.01.23.01.01</t>
  </si>
  <si>
    <t>Asistir tecnicamente a productores en practicas innovadoras para la producccion y extraccion de miel</t>
  </si>
  <si>
    <t>01.01.23.04.00</t>
  </si>
  <si>
    <t>Fomentar la formación de proveedores para la fabricación de material y equipos, para el sector apícola.</t>
  </si>
  <si>
    <t>01.01.23.04.01</t>
  </si>
  <si>
    <t>Capacitar  proveedores para la fabricacion de material y equipos para el sector apicola</t>
  </si>
  <si>
    <t>Proveedor</t>
  </si>
  <si>
    <t>Proveedor capacitado</t>
  </si>
  <si>
    <t>Domingo Palacios, Coordinador Producción Animal</t>
  </si>
  <si>
    <t>01.01.23.05.00</t>
  </si>
  <si>
    <t>01.01.23.05.01</t>
  </si>
  <si>
    <t>Asistir tecnicamente a productores sobre el uso de alternativas de nutrción apícola</t>
  </si>
  <si>
    <t>01.01.24.03.00</t>
  </si>
  <si>
    <t>Incentivar la investigación sobre la flora nacional y sus características para realizar sub-productos derivados de la miel de abejas.</t>
  </si>
  <si>
    <t>01.01.24.03.01</t>
  </si>
  <si>
    <t>Caracterizar la miel proveniente de la flora Nacional</t>
  </si>
  <si>
    <t>Caracterizaciones realizadas</t>
  </si>
  <si>
    <t>01.04.00.00.00.</t>
  </si>
  <si>
    <t>Línea 4. Fomento Sostenible de la transformación y generación de valor agregado del Cacao</t>
  </si>
  <si>
    <t>01.04.01.00.00</t>
  </si>
  <si>
    <t>Incremento de la producción y valor agregado del Cacao</t>
  </si>
  <si>
    <t>01.04.01.01.00</t>
  </si>
  <si>
    <t>Fortalecer la asistencia Fitosanitarias del cultivo, productividad y control de la trazabilidad.</t>
  </si>
  <si>
    <t>01.04.01.01.02</t>
  </si>
  <si>
    <t>Caracterizar a nivel sensorial materiales genéticos de cacao local</t>
  </si>
  <si>
    <t>Germoplasma</t>
  </si>
  <si>
    <t>Materiales genéticos de cacao local, caracterizado</t>
  </si>
  <si>
    <t>Margarita Alvarado, Agroindustria</t>
  </si>
  <si>
    <t>01.04.01.01.03</t>
  </si>
  <si>
    <t>Capacitar a técnico en Fito sanidad</t>
  </si>
  <si>
    <t>Técnico capacitado</t>
  </si>
  <si>
    <t>Eduardo Vides, Frutales y Cacao</t>
  </si>
  <si>
    <t>01.04.01.04.00</t>
  </si>
  <si>
    <t>Promover las buenas prácticas de manufactura para garantizar la calidad y la inocuidad del producto final, por medio de la instalación de módulos de acopio, procesamiento y transformación a nivel regional.</t>
  </si>
  <si>
    <t>01.04.01.04.01</t>
  </si>
  <si>
    <t>Capacitar a productores sobre las buenas practicas de manufactura y la promoción de  uso de Centros de acopio para el procesamiento a nivel regional</t>
  </si>
  <si>
    <t xml:space="preserve">Productores Capacitados </t>
  </si>
  <si>
    <t>01.04.01.04.02</t>
  </si>
  <si>
    <t>Capacitar en la  estandarización de la calidad del grano cacao a través de procesos agroindustriales</t>
  </si>
  <si>
    <t>Productores capacitados</t>
  </si>
  <si>
    <t>Registro de participantes</t>
  </si>
  <si>
    <t>01.04.01.05.00</t>
  </si>
  <si>
    <t>01.04.01.05.01</t>
  </si>
  <si>
    <t>Establecer  parcelas demostrativas de materiales promisorios, en coordinación con actores de los territorios</t>
  </si>
  <si>
    <t>Parcela</t>
  </si>
  <si>
    <t>Parcelas establecidas</t>
  </si>
  <si>
    <t>San Andrés, La Libertad</t>
  </si>
  <si>
    <t>Eduardo Vides,Frutales y Cacao</t>
  </si>
  <si>
    <t>01.04.02.00.00</t>
  </si>
  <si>
    <t>Disponibilidad de alternativas tecnológicas e industrialización del Cacao</t>
  </si>
  <si>
    <t>01.04.02.03.00</t>
  </si>
  <si>
    <t>Fortalecer el proceso de adaptación de materiales genéticos en los diferentes ecosistemas</t>
  </si>
  <si>
    <t>01.04.02.03.01</t>
  </si>
  <si>
    <t>Adaptar tecnología de un sistema agroforestal  que mejore la sostenibilidad del cultivo de cacao</t>
  </si>
  <si>
    <t>Tecnología adaptada</t>
  </si>
  <si>
    <t>Ficha tecnológica</t>
  </si>
  <si>
    <t>01.05.00.00.00</t>
  </si>
  <si>
    <t>Línea 5. Desarrrollo Sostenible Forestal</t>
  </si>
  <si>
    <t>01.05.02.00.00</t>
  </si>
  <si>
    <t>Disponibilidad de 
alternativas tecnológicas para el subsector Forestal</t>
  </si>
  <si>
    <t>01.05.02.01.00</t>
  </si>
  <si>
    <t>Desarrollar Investigaciones sobre especies que se adapten a las condiciones edafoclimáticas de los territorios.</t>
  </si>
  <si>
    <t>01.05.02.01.03</t>
  </si>
  <si>
    <t>Generar tecnología de especies forestales tolerantes a condiciones edafoclimaticas adversas</t>
  </si>
  <si>
    <t>Tecnología forestal generada</t>
  </si>
  <si>
    <t>Ficha tecnica</t>
  </si>
  <si>
    <t>Faustino Portillo, Coordinador de Recursos Naturales</t>
  </si>
  <si>
    <t>01.05.02.01.04</t>
  </si>
  <si>
    <t>Generar tecnología de especies forestales adaptadas a condciones edafoclimaticas especificas</t>
  </si>
  <si>
    <t>Tecnologías de manejo forestal generadas</t>
  </si>
  <si>
    <t>Ficha técnica</t>
  </si>
  <si>
    <t>01.05.02.01.05</t>
  </si>
  <si>
    <t>Desarrollar tecnología en  sistemas agroforestales conservacionistas en cultivos promisarios</t>
  </si>
  <si>
    <t>Tecnología agroforestal generada</t>
  </si>
  <si>
    <t>02.00.00.00.00</t>
  </si>
  <si>
    <t>Eje 2. Desarrollo y Protección Social</t>
  </si>
  <si>
    <t>02.01.00.00.00</t>
  </si>
  <si>
    <t>Línea 1. Entrega eficaz de insumos agropecuarios</t>
  </si>
  <si>
    <t>02.01.01.00.00</t>
  </si>
  <si>
    <t>Incremento de la disponibilidad de alimentos</t>
  </si>
  <si>
    <t>02.01.01.08.00</t>
  </si>
  <si>
    <t>Fomentar la diversificación de la producción en frutas y hortalizas.</t>
  </si>
  <si>
    <t>02.01.01.08.01</t>
  </si>
  <si>
    <t>Brindar asistencia tecnica para la diversificación en frutas y hortalizas</t>
  </si>
  <si>
    <t>02.03.00.00.00</t>
  </si>
  <si>
    <t>Línea 3. Asistencia  técnica a la producción familiar</t>
  </si>
  <si>
    <t>02.03.02.00.00</t>
  </si>
  <si>
    <t>02.03.02.01.00</t>
  </si>
  <si>
    <t>Implementar un plan de asistencia técnica para brindar orientación para la producción de alimentos a nivel familiar.</t>
  </si>
  <si>
    <t>02.03.02.01.01</t>
  </si>
  <si>
    <t>Transferir tecnologia para la producción de alimentos</t>
  </si>
  <si>
    <t>02.03.02.03.00</t>
  </si>
  <si>
    <t>Focalizar el programa de paquetes de semillas, acompañándolo de un esquema de transferencia tecnológica a través de CENTA con financiamiento del BFA y evaluaciones de impacto anuales.</t>
  </si>
  <si>
    <t>02.03.02.03.01</t>
  </si>
  <si>
    <t>Tranferir tecnologia en granos basicos</t>
  </si>
  <si>
    <t>Productor, capacitado</t>
  </si>
  <si>
    <t>Registro de productores</t>
  </si>
  <si>
    <t>02.03.02.04.00</t>
  </si>
  <si>
    <t>Fortalecer el programa de producción de semilla básica para maíz blanco, frijol, arroz y sorgo en el CENTA.</t>
  </si>
  <si>
    <t>02.03.02.04.01</t>
  </si>
  <si>
    <t>Producir semilla basica de maiz</t>
  </si>
  <si>
    <t>Quintal</t>
  </si>
  <si>
    <t>Quintales, producidos</t>
  </si>
  <si>
    <t xml:space="preserve">Informe de Quintales de semilla producidos </t>
  </si>
  <si>
    <t>Mario García, Jefe de Tecnología de semillas</t>
  </si>
  <si>
    <t>02.03.02.04.02</t>
  </si>
  <si>
    <t>Producir semilla basica de arroz</t>
  </si>
  <si>
    <t>02.03.02.04.03</t>
  </si>
  <si>
    <t>Producir semilla basica de sorgo</t>
  </si>
  <si>
    <t>02.03.02.04.04</t>
  </si>
  <si>
    <t>Producir semilla basica de frijol</t>
  </si>
  <si>
    <t>02.03.02.05.00</t>
  </si>
  <si>
    <t>Apoyar el programa de alimentación escolar.</t>
  </si>
  <si>
    <t>02.03.02.05.01</t>
  </si>
  <si>
    <t>Brindar asistencia tecnica a productores para la alimentación escolar</t>
  </si>
  <si>
    <t>03.00.00.00.00</t>
  </si>
  <si>
    <t>Eje 3. Gestión ambiental y cambio climático</t>
  </si>
  <si>
    <t>03.01.00.00.00</t>
  </si>
  <si>
    <t>Línea 1. Restauración de ecosistemas degradados relacionados con el sector</t>
  </si>
  <si>
    <t>03.01.01.00.00</t>
  </si>
  <si>
    <t>Incremento de las capacidades de resiliencia a los impactos negativos del cambio climático</t>
  </si>
  <si>
    <t>03.01.01.02.00</t>
  </si>
  <si>
    <t>Construir reservorios y tanques de captación y almacenamiento de aguas lluvias para usos agropecuarios y doméstico.</t>
  </si>
  <si>
    <t>03.01.01.02.01</t>
  </si>
  <si>
    <t>Asistir técnicamente a los productores para la construcción de reservorios para captura de agua lluvia</t>
  </si>
  <si>
    <t>03.01.01.03.00</t>
  </si>
  <si>
    <t>Establecer fincas demostrativas integrales con prácticas agroecológicas de adaptación al cambio climático.</t>
  </si>
  <si>
    <t>03.01.01.03.01</t>
  </si>
  <si>
    <t>Asistir técnicamente para el establecimiento de fincas demostrativas con prácticas agroecológicas de adaptación al cambio climático.</t>
  </si>
  <si>
    <t>03.01.01.04.00</t>
  </si>
  <si>
    <t>Fomentar uso de fertilizantes orgánicos para la producción agrícola sostenible.</t>
  </si>
  <si>
    <t>03.01.01.04.01</t>
  </si>
  <si>
    <t>Asistir técnicamente en fertilización de parcelas con abono orgánico</t>
  </si>
  <si>
    <t>Parcela establecida</t>
  </si>
  <si>
    <t>03.01.02.00.00</t>
  </si>
  <si>
    <t>Áreas restauradas de sistemas naturales degradados relacionados con el sector</t>
  </si>
  <si>
    <t>03.01.02.02.00</t>
  </si>
  <si>
    <t>Impulsar el establecimiento de áreas cultivadas con sistemas agroforestales y agrosilvopastoriles.</t>
  </si>
  <si>
    <t>03.01.02.02.01</t>
  </si>
  <si>
    <t>Asistir tecnicamente para  el establecimiento de sistemas agroforestales</t>
  </si>
  <si>
    <t>Productor, asistido</t>
  </si>
  <si>
    <t>03.01.02.03.00</t>
  </si>
  <si>
    <t>Impulsar el establecimiento de áreas con obras de conservación de suelos y agua construidos.</t>
  </si>
  <si>
    <t>03.01.02.03.01</t>
  </si>
  <si>
    <t>Asistir tecnicamente para la protección del suelo con obras y prácticas de conservación</t>
  </si>
  <si>
    <t>Manzana, conservada</t>
  </si>
  <si>
    <t>03.01.02.04.00</t>
  </si>
  <si>
    <t>Proporcionar asistencia a productores/as en la recuperación de sistemas naturales degradados.</t>
  </si>
  <si>
    <t>03.01.02.04.01</t>
  </si>
  <si>
    <t>Asistir tecnicamente a productores y productoras sobre el manejo sostenible de los recursos naturales</t>
  </si>
  <si>
    <t>Productor capacitado</t>
  </si>
  <si>
    <t>03.01.03.00.00</t>
  </si>
  <si>
    <t>Generación de alternativas tecnológicas al cambio climático</t>
  </si>
  <si>
    <t>03.01.03.02.00</t>
  </si>
  <si>
    <t>Capacitar  a productores/as en tecnologías de riego para la adaptación al cambio climático.</t>
  </si>
  <si>
    <t>03.01.03.02.01</t>
  </si>
  <si>
    <t>Asistir tecnicamente a productores sobre el manejo de cultivos bajo riego</t>
  </si>
  <si>
    <t>Productor/a capacitado</t>
  </si>
  <si>
    <t>03.02.00.00.00</t>
  </si>
  <si>
    <t xml:space="preserve">Línea 2. Desarrollo y aprovechamiento del recurso hidrico </t>
  </si>
  <si>
    <t>03.02.02.00.00</t>
  </si>
  <si>
    <t>Mayores capacidades productivas en el desarrollo de la agricultura bajo riego en áreas de secano con pequeños productores de ladera</t>
  </si>
  <si>
    <t>03.02.02.01.00</t>
  </si>
  <si>
    <t>Implementar soluciones tecnológicas de riego en áreas de secano.</t>
  </si>
  <si>
    <t>03.02.02.01.01</t>
  </si>
  <si>
    <t>Asistir tecnicamente a productores para  el establecimiento de sistemas de riego en areas de secano en lugares factibles</t>
  </si>
  <si>
    <t>Productor asistido tecnicamente</t>
  </si>
  <si>
    <t>05.00.00.00.00</t>
  </si>
  <si>
    <t>Género, Juventud y Población Indígena</t>
  </si>
  <si>
    <t>05.01.00.00.00</t>
  </si>
  <si>
    <t>05.01.01.00.00</t>
  </si>
  <si>
    <t>05.01.01.01.00</t>
  </si>
  <si>
    <t>Fortalecer y ampliar la cobertura del programa de capacitación para el personal en formación de derechos humanos de las mujeres y juventud, masculinidades e Igualdad de Género.</t>
  </si>
  <si>
    <t>05.01.01.01.01</t>
  </si>
  <si>
    <t>Ejecutar un Plan de capacitación para el personal de CENTA sobre género y derechos humanos de las mujeres</t>
  </si>
  <si>
    <t>Plan de capacitación para el personal sobre género y derechos humanos de las mujeres, ejecutado</t>
  </si>
  <si>
    <t>Margarita Ledezma Unidad de Genero</t>
  </si>
  <si>
    <t>06.00.00.00.00</t>
  </si>
  <si>
    <t>Educación, Investigación e Innovación Agropecuaria</t>
  </si>
  <si>
    <t>06.02.00.00.00</t>
  </si>
  <si>
    <t>Desarrollo de innovaciones tecnológicas</t>
  </si>
  <si>
    <t>06.02.01.00.00</t>
  </si>
  <si>
    <t>Mayor oferta de soluciones tecnológicas en agroindustria.</t>
  </si>
  <si>
    <t>06.02.01.02.00</t>
  </si>
  <si>
    <t>Poner a disposición cursos especializados en actividades relacionadas con el sector.</t>
  </si>
  <si>
    <t>06.02.01.02.02</t>
  </si>
  <si>
    <t>Desarrollar cursos de  procesamiento de Cacao</t>
  </si>
  <si>
    <t>Persona</t>
  </si>
  <si>
    <t>Personas capacitadas</t>
  </si>
  <si>
    <t>Listados de asistencia de personas beneficiadas.</t>
  </si>
  <si>
    <t>Margarita Alvarado, Jefa Programa Agroindustria</t>
  </si>
  <si>
    <t>06.02.01.03.00.</t>
  </si>
  <si>
    <t>Generar tecnologías innovadoras</t>
  </si>
  <si>
    <t xml:space="preserve">Tecnología </t>
  </si>
  <si>
    <t>Tecnologías, generadas</t>
  </si>
  <si>
    <t>06.02.01.03.01.</t>
  </si>
  <si>
    <t xml:space="preserve">Generar tecnologías innovadoras </t>
  </si>
  <si>
    <t>Tecnologías generadas</t>
  </si>
  <si>
    <t>06.02.01.04.00.</t>
  </si>
  <si>
    <t>Validar soluciones tecnológicas innovadoras</t>
  </si>
  <si>
    <t>Tecnologías, validadas</t>
  </si>
  <si>
    <t>06.02.01.04.01.</t>
  </si>
  <si>
    <t xml:space="preserve">Validar tecnologías innovadoras </t>
  </si>
  <si>
    <t>08.00.00.00.00</t>
  </si>
  <si>
    <t>Eje 8. Modernización institucional</t>
  </si>
  <si>
    <t>08.01.00.00.00.</t>
  </si>
  <si>
    <t>Línea 1. Transformación institucional (Estructura organizacional, infraestructura, sistemas transaccionales y gerenciales)</t>
  </si>
  <si>
    <t>08.01.01.00.00.</t>
  </si>
  <si>
    <t>Mayor capacidad institucional de atención</t>
  </si>
  <si>
    <t>08.01.01.07.00.</t>
  </si>
  <si>
    <t xml:space="preserve">Fortalecer Laboratorios existentes </t>
  </si>
  <si>
    <t xml:space="preserve">Laboratorio </t>
  </si>
  <si>
    <t>Laboratorios, fortalecidos</t>
  </si>
  <si>
    <t>08.01.01.07.01.</t>
  </si>
  <si>
    <t>Programada en el RE-PEI MAG-CENTA 2019-2024, no en el POA 2021 CENTA</t>
  </si>
  <si>
    <t>08.03.00.00.00</t>
  </si>
  <si>
    <t>Línea 3. Planeamiento estratégico</t>
  </si>
  <si>
    <t>08.03.01.00.00</t>
  </si>
  <si>
    <t>Mayor capacidad de toma de desiciones</t>
  </si>
  <si>
    <t>08.03.01.01.00</t>
  </si>
  <si>
    <t>Desarrollar políticas, estrategias, planes, objetivos, metas y sistemas orientados a la consecución de los objetivos institucionales.</t>
  </si>
  <si>
    <t>08.03.01.01.05</t>
  </si>
  <si>
    <t xml:space="preserve">Elaborar el Plan Operativo Anual (POA) del CENTA </t>
  </si>
  <si>
    <t>POA elaborado</t>
  </si>
  <si>
    <t>Documento elaborado y aprobado</t>
  </si>
  <si>
    <t>Mario Alarcón, Jefe División de Planificación</t>
  </si>
  <si>
    <t>08.04.00.00.00</t>
  </si>
  <si>
    <t>Línea 4. Orientación hacia la ciudadanáa</t>
  </si>
  <si>
    <t>08.04.01.00.00</t>
  </si>
  <si>
    <t>Mayor participación cuidadana</t>
  </si>
  <si>
    <t>08.04.01.02.00</t>
  </si>
  <si>
    <t>Implementar cartas en las cuales se exprese el compromiso asumido en la prestación de los servicios institucionales.</t>
  </si>
  <si>
    <t>08.04.01.02.01</t>
  </si>
  <si>
    <t>Suscribir cartas de entendimiento y convenios</t>
  </si>
  <si>
    <t>Cartas y/ò convenios suscritos</t>
  </si>
  <si>
    <t>Documentos aprobados</t>
  </si>
  <si>
    <t>Emilio Suadi, Director Ejecutivo</t>
  </si>
  <si>
    <t>08.06.00.00.00</t>
  </si>
  <si>
    <t>Línea 6. Gestión de procesos</t>
  </si>
  <si>
    <t>08.06.01.00.00</t>
  </si>
  <si>
    <t>Mayor eficiencia de los procesos</t>
  </si>
  <si>
    <t>08.06.01.04.00</t>
  </si>
  <si>
    <t>Gestionar los recursos financieros oportunos y eficientes.</t>
  </si>
  <si>
    <t>08.06.01.04.02</t>
  </si>
  <si>
    <t>Formular perfiles de proyectos para búsqueda de financiamiento</t>
  </si>
  <si>
    <t>Perfil</t>
  </si>
  <si>
    <t>Perfiles de proyectos ejecutados</t>
  </si>
  <si>
    <t>Informes elaborados sobre la elaboración de perfiles de proyectos</t>
  </si>
  <si>
    <t>Acciones Misionales</t>
  </si>
  <si>
    <t>09.18.00.00.00</t>
  </si>
  <si>
    <t>CENTA</t>
  </si>
  <si>
    <t>09.18.01.00.00</t>
  </si>
  <si>
    <t>Dirección Superior</t>
  </si>
  <si>
    <t>09.18.01.01.00</t>
  </si>
  <si>
    <t>Planificar y administrar eficientemente los recursos de la institución</t>
  </si>
  <si>
    <t>09.18.01.01.01</t>
  </si>
  <si>
    <t>Conducir el proceso de planificación, seguimiento y evaluaciòn Institucional</t>
  </si>
  <si>
    <t>Documentos de Planificación  y segumiento, elaborados</t>
  </si>
  <si>
    <t>09.18.01.01.02</t>
  </si>
  <si>
    <t>Informar periòdicamente a la Junta Directiva del CENTA  del avance de la gestiòn institucional</t>
  </si>
  <si>
    <t>Informes de gestiòn institucional  elaborados</t>
  </si>
  <si>
    <t>09.18.01.01.03</t>
  </si>
  <si>
    <t>Facilitar el aceso a la informaciòn pùblica, generar espacios de participaciòn ciudadana de la OIR y atenciòn ciudadana</t>
  </si>
  <si>
    <t xml:space="preserve">Informe               </t>
  </si>
  <si>
    <t>OIR   fortalecida</t>
  </si>
  <si>
    <t>Silvia Margoth Mejía, Oficial de información de OIR</t>
  </si>
  <si>
    <t>09.18.01.01.04</t>
  </si>
  <si>
    <t>Apoyar los procesos de investigación y transferencia de tecnología mediante un proceso oportuno de comunicación</t>
  </si>
  <si>
    <t>Documentos de comunicación, producidos</t>
  </si>
  <si>
    <t>Karina Matute, Jefa de División de Comunicaciones</t>
  </si>
  <si>
    <t>09.18.01.01.05</t>
  </si>
  <si>
    <t>Asesorar legalmente las diferentes unidades para el cumplimiento de las leyes y reglamentos</t>
  </si>
  <si>
    <t>Documentos jurídicos, elaborados</t>
  </si>
  <si>
    <t>Mauricio Velasco, Jefe Unidad de Asesoria Jurídica</t>
  </si>
  <si>
    <t>09.18.01.01.06</t>
  </si>
  <si>
    <t>Examinar la eficiencia, eficacia y economía de la administración de los recursos financieros y materiales de la institución.</t>
  </si>
  <si>
    <t>Informes de auditoria, elaborados</t>
  </si>
  <si>
    <t xml:space="preserve">Ángela E. Novales, Jefe Unidad de Auditoria Interna </t>
  </si>
  <si>
    <t>09.18.01.01.07</t>
  </si>
  <si>
    <t>Realizar acciones y gestiones en cumplimiento de las normas y regulaciones ambientales a nivel institucional</t>
  </si>
  <si>
    <t>Informes sobre la gestiòn ambiental,  elaborados</t>
  </si>
  <si>
    <t>Juana Pérez, Coordinadora Unidad Ambiental</t>
  </si>
  <si>
    <t>09.18.01.01.08</t>
  </si>
  <si>
    <t>Coordinar con las distintas unidades del CENTA las acciones orientadas a la igualdad de género</t>
  </si>
  <si>
    <t xml:space="preserve">Informes vinculados al tema de género, elaborados </t>
  </si>
  <si>
    <t>Margarita Ledezma Unidad de Género</t>
  </si>
  <si>
    <t>09.18.02.00.00</t>
  </si>
  <si>
    <t>Administración y Finanzas</t>
  </si>
  <si>
    <t>09.18.02.01.00</t>
  </si>
  <si>
    <t>Garantizar el uso racional y eficiente de los recursos humanos, materiales y finacieros</t>
  </si>
  <si>
    <t>09.18.02.01.01</t>
  </si>
  <si>
    <t>Proveer los recursos y servicios a las diferentes unidades oportunamente y con calidad</t>
  </si>
  <si>
    <t>Documentos de bienes y servicios, elaborados</t>
  </si>
  <si>
    <t xml:space="preserve">
Milton González, Jefe UACI-GAF</t>
  </si>
  <si>
    <t>09.18.02.01.02</t>
  </si>
  <si>
    <t>Administrar eficientemente los recursos humanos de la Institución</t>
  </si>
  <si>
    <t>Informes de operaciones de control y estudio de personal, realizados</t>
  </si>
  <si>
    <t xml:space="preserve">
Olga Marina de Castillo, Jefa Recursos Humanos-GAF</t>
  </si>
  <si>
    <t>09.18.02.01.03</t>
  </si>
  <si>
    <t>Mantener en buenas condiciones los activos fijos y el equipo en apoyo a la investigación y extensión agropecuaria.</t>
  </si>
  <si>
    <t>Informes sobre el mantenimiento de la infraestructura física y equipo de la institución, elaborados</t>
  </si>
  <si>
    <t>Doris E. Díaz, Jefa Servicios Generales-GAF</t>
  </si>
  <si>
    <t>09.18.02.01.04</t>
  </si>
  <si>
    <t>Administrar eficientemente el equipo e infraestructura tecnológica instalada para el servicio de las diferentes unidades y proporcionar el apoyo técnico necesario a cada una de ellas para que puedan realizar sus operaciones diarias.</t>
  </si>
  <si>
    <t>Informes de mantenimiento del equipo informático de la institución, elaborados</t>
  </si>
  <si>
    <t xml:space="preserve">
Néstor Fabián, Jefe Informática-GAF</t>
  </si>
  <si>
    <t>09.18.02.01.05</t>
  </si>
  <si>
    <t>Realizar acciones de administraciòn general y comercializaciòn de productos y servicios</t>
  </si>
  <si>
    <t>Informes de gestiòn administrativa gerencial y de comercilizaciòn, elaborados</t>
  </si>
  <si>
    <t xml:space="preserve">
Guillermo Díaz a. i., Gerente  Administrativo-GAF</t>
  </si>
  <si>
    <t>09.18.02.01.06</t>
  </si>
  <si>
    <t>Formular y ejecutar el presupuesto asignado a la institución.</t>
  </si>
  <si>
    <t>Informes de la planificación y ejecución presupuestaria institucional, elaborados</t>
  </si>
  <si>
    <t>Guillermo Díaz, Subgerente  Financiero/Jefe UFI</t>
  </si>
  <si>
    <t>09.18.02.01.07</t>
  </si>
  <si>
    <t>Realizar acciones de gestión documental y archivos</t>
  </si>
  <si>
    <t>Informes de archivo, elaborados</t>
  </si>
  <si>
    <t>Natya Quan, Oficial de archivo Unidad de Gestión Documental y Archivo (UGDA)-GAF</t>
  </si>
  <si>
    <t>09.18.03.00.00</t>
  </si>
  <si>
    <t>Investigación tecnológica</t>
  </si>
  <si>
    <t>09.18.03.01.00</t>
  </si>
  <si>
    <t>Planificar y ejecutar actividades de generación de tecnologías agropecuarias y forestales</t>
  </si>
  <si>
    <t>09.18.03.01.01</t>
  </si>
  <si>
    <t>Elaborar documentos técnicos sobre oferta tecnológica</t>
  </si>
  <si>
    <t>Documentos técnicos, elaborados</t>
  </si>
  <si>
    <t>Documentos físicos o digitales</t>
  </si>
  <si>
    <t>Lauro Alarcón, Luis a. Díaz, Eduardo Vides, Margarita Alvarado, Domingo Palacios,y Faustino Portillo; Coordinador de Programa de Granos básicos, Hortalizas, Frutales, Agroindustria, Producción animal y Recursos naturales, respectivamente.</t>
  </si>
  <si>
    <t>09.18.03.01.02</t>
  </si>
  <si>
    <t>Implementar proyectos de investigación y validación en granos básicos, hortalizas, frutales y otros rubros.</t>
  </si>
  <si>
    <t>Protocolo</t>
  </si>
  <si>
    <t>Protocolos de investigación y validación, implementados</t>
  </si>
  <si>
    <t>Informes y documentos físicos o digitales</t>
  </si>
  <si>
    <t>Lauro Alarcón, Luis A. Díaz, Eduardo Vides, Margarita Alvarado, Domingo Palacios,y Faustino Portillo; Coordinador de Programa de Granos básicos, Hortalizas, Frutales, Agroindustria, Producción animal y Recursos naturales, respectivamente.</t>
  </si>
  <si>
    <t>09.18.03.01.03</t>
  </si>
  <si>
    <t>Proveer de herramientas estadísticas para la mejora del proceso de generación y transferencia tecnológica.</t>
  </si>
  <si>
    <t>Informes sobre los servicios de apoyo brindados, elaborados</t>
  </si>
  <si>
    <t>Jaime Ayala,
Jefe Unidad de Biometría y Socioeconomía</t>
  </si>
  <si>
    <t>09.18.03.01.04</t>
  </si>
  <si>
    <t>Realizar análisis de laboratorio para apoyar la investigación y transferencia de tecnología y responder a la demanda externa</t>
  </si>
  <si>
    <t>Análisis</t>
  </si>
  <si>
    <t>Análisis de laboratorio, realizados</t>
  </si>
  <si>
    <t>Claudia Lino, Grecia de Chávez, Reyna de Serrano, Patricia de Esquivel y Beatriz López; Coordinadora de  Laboratorio de Suelos, Química agrícola, Parasitología, Alimentos y Microbiología agrícola, respectivamente.</t>
  </si>
  <si>
    <t>09.18.03.01.05</t>
  </si>
  <si>
    <t>Facilitar el apoyo logístico necesario destinado a las actividades de investigación tecnológica</t>
  </si>
  <si>
    <t>Ciudad Arce/La Libertad, Tecoluca/San Vicente e Izalco/Sonsonate.</t>
  </si>
  <si>
    <t>Ignacio Sandoval, Domigo Rivas y Roberto Cueva; Coordinador de EE de San Andrés, Porrillo e Izalco, respectivamente.</t>
  </si>
  <si>
    <t>09.18.03.01.06</t>
  </si>
  <si>
    <t>Conservar material genético de especies cultivadas y silvestres</t>
  </si>
  <si>
    <t>Informes sobre las actividades realizadas, elaborados</t>
  </si>
  <si>
    <t>Aura de Borja, Coordinadora Banco de Germoplasma</t>
  </si>
  <si>
    <t>Total</t>
  </si>
  <si>
    <t>Área Ministerial: Dependencias Descentralizadas</t>
  </si>
  <si>
    <t>Dependencia: Consejo Salvadoreño del Café (CSC)</t>
  </si>
  <si>
    <t>Periodo de Ejecución: enero a diciembre 2021</t>
  </si>
  <si>
    <t>Eje / Línea / Resultado / Acción Estratégica /Acción Operativa</t>
  </si>
  <si>
    <t>Préstamo
Externo</t>
  </si>
  <si>
    <t>Donación</t>
  </si>
  <si>
    <t>01.02.00.00.00.</t>
  </si>
  <si>
    <t>Línea 2: Transformación y rescate del café</t>
  </si>
  <si>
    <t>01.02.01.00.00.</t>
  </si>
  <si>
    <t>Incremento de la producción y valor agregado de Café</t>
  </si>
  <si>
    <t>01.02.01.03.00.</t>
  </si>
  <si>
    <t>Fomentar la generación de valor agregado a la producción.</t>
  </si>
  <si>
    <t>Generación de valor agregado a la producción, realizada</t>
  </si>
  <si>
    <t>01.02.01.03.01.</t>
  </si>
  <si>
    <t>Incentivar la producción de cafés certificados y/o sellos</t>
  </si>
  <si>
    <t>Incremento de la producción de cafés certificados y/o sellos, realizada</t>
  </si>
  <si>
    <t>Estadística de exportaciones</t>
  </si>
  <si>
    <t>Santa Tecla, La Libertad</t>
  </si>
  <si>
    <t>CONTROL  DE CALIDADES</t>
  </si>
  <si>
    <t>01.02.01.03.02.</t>
  </si>
  <si>
    <t>Incentivar la producción de los cafés de calidad</t>
  </si>
  <si>
    <t>Incremento de la producción de los cafés de calidad, realizada</t>
  </si>
  <si>
    <t>01.02.02.00.00.</t>
  </si>
  <si>
    <t>Disponibilidad de alternativas tecnológicas e industrialización del Café</t>
  </si>
  <si>
    <t>01.02.02.03.00.</t>
  </si>
  <si>
    <t>Generar alternativas ecológicas para el subsector en temas de procesamiento, beneficiado y catación, para mejorar su competitividad.</t>
  </si>
  <si>
    <t>Beneficiador</t>
  </si>
  <si>
    <t>Asesoramiento y  seguimiento para el cumplimiento de las normativas vigentes para el beneficiado y procesamiento de café, realizado</t>
  </si>
  <si>
    <t>01.02.02.03.01.</t>
  </si>
  <si>
    <t>Asesorar y dar seguimiento para el cumplimiento de las normativas vigentes para el beneficiado y procesamiento de café</t>
  </si>
  <si>
    <t>CONTROL  DE CALIDADES / SILVIA DE RIVERA/ERNESTO VELASQUEZ</t>
  </si>
  <si>
    <t>01.02.02.05.00.</t>
  </si>
  <si>
    <t>Fomentar el tema de la trazabilidad del cultivo.</t>
  </si>
  <si>
    <t>Evento</t>
  </si>
  <si>
    <t>Capacitaciones a productores sobre temáticas de trazabilidad, desde la  semilla  hasta la taza, realizadas</t>
  </si>
  <si>
    <t>01.02.02.05.01.</t>
  </si>
  <si>
    <t>Capacitar a productores sobre temáticas de trazabilidad, desde la  semilla  hasta la taza</t>
  </si>
  <si>
    <t>Registro de capacitaciones</t>
  </si>
  <si>
    <t>01.02.03.00.00.</t>
  </si>
  <si>
    <t>Incremento del volumen comercializado del café</t>
  </si>
  <si>
    <t>01.02.03.02.00.</t>
  </si>
  <si>
    <t>Promover la adopción e implementación de certificaciones y sellos que promuevan el valor agregado del café.</t>
  </si>
  <si>
    <t>Adopción e implementación de certificaciones y sellos de valor agregado del café, promovida</t>
  </si>
  <si>
    <t>01.02.03.02.01.</t>
  </si>
  <si>
    <t>Incentivar a los productores para integrarse  a  las Denominaciones de Origen</t>
  </si>
  <si>
    <t>Evento a productores para integrarse  a  las Denominaciones de Origen, realizado</t>
  </si>
  <si>
    <t>SILVIA DE RIVERA</t>
  </si>
  <si>
    <t>01.02.03.02.02.</t>
  </si>
  <si>
    <t>Capacitar a productores en temáticas de sellos y certificaciones</t>
  </si>
  <si>
    <t>Productores en temáticas de sellos y certificaciones, capacitados</t>
  </si>
  <si>
    <t>01.02.03.02.03.</t>
  </si>
  <si>
    <t>Establecer alianzas con entidades certificadoras</t>
  </si>
  <si>
    <t>Alianza</t>
  </si>
  <si>
    <t>Alianzas con entidades certificadoras, establecidas</t>
  </si>
  <si>
    <t>Documento firmado</t>
  </si>
  <si>
    <t>DIRECCIÓN EJECUTIVA</t>
  </si>
  <si>
    <t>01.02.03.05.00.</t>
  </si>
  <si>
    <t>Buscar nuevos nichos de mercado para el subsector café.</t>
  </si>
  <si>
    <t>Feria</t>
  </si>
  <si>
    <t>Representantes de la caficultura nacional en Ferias de cafés especiales, participando</t>
  </si>
  <si>
    <t>01.02.03.05.02.</t>
  </si>
  <si>
    <t>Incrementar la presencia de café salvadoreño en nuevos mercados de cafés especiales</t>
  </si>
  <si>
    <t>Informe de participación</t>
  </si>
  <si>
    <t>MANUEL VINDEL</t>
  </si>
  <si>
    <t>01.02.03.08.00.</t>
  </si>
  <si>
    <t>Promover el consumo de café salvadoreño a nivel nacional e internacional.</t>
  </si>
  <si>
    <t>Plan de Fomento de Consumo en Interno, impulsado</t>
  </si>
  <si>
    <t>01.02.03.08.01.</t>
  </si>
  <si>
    <t>Impulsar un Plan de Fomento de Consumo Interno</t>
  </si>
  <si>
    <t>Informe de seguimiento del Plan</t>
  </si>
  <si>
    <t>DIRECCION EJECUTIVA</t>
  </si>
  <si>
    <t>USDA</t>
  </si>
  <si>
    <t>01.02.03.08.02.</t>
  </si>
  <si>
    <t>Realizar evento de promoción de consumo de café en el mercado local.</t>
  </si>
  <si>
    <t>Evento de promoción de café, realizado.</t>
  </si>
  <si>
    <t>Informe de evento</t>
  </si>
  <si>
    <t>01.02.04.00.00.</t>
  </si>
  <si>
    <t>Mayor sinergia o complementariedad en la ejecución de acciones para el subsector de Café</t>
  </si>
  <si>
    <t>01.02.04.01.00.</t>
  </si>
  <si>
    <t>Establecer alianzas estratégicas con aliados nacionales e internacionales para el apoyo técnico de los productores de café.</t>
  </si>
  <si>
    <t>Reuniones de coordinación, realizadas</t>
  </si>
  <si>
    <t>Documento de ayuda memoria</t>
  </si>
  <si>
    <t>01.02.04.01.01.</t>
  </si>
  <si>
    <t>Mantener representaciones con organismo internacionales  (PROMECAFÉ Y OIC)</t>
  </si>
  <si>
    <t>Convenio</t>
  </si>
  <si>
    <t>Representaciones en organismo internacionales (PROMECAFE Y OIC), realizadas</t>
  </si>
  <si>
    <t>Convenio firmado</t>
  </si>
  <si>
    <t>01.02.04.01.02.</t>
  </si>
  <si>
    <t>Gestionar cartas de entendimiento con entidades nacionales e internacionales</t>
  </si>
  <si>
    <t>Carta</t>
  </si>
  <si>
    <t>Cartas de entendimiento con entidades nacionales e internacionales, firmadas</t>
  </si>
  <si>
    <t>Carta de entendimiento firmada</t>
  </si>
  <si>
    <t>01.02.04.02.00.</t>
  </si>
  <si>
    <t>Articular un equipo interinstitucional con PROESA y otras instancias relacionadas para la atracción de inversión extranjera, fomento de exportaciones y la promoción del agroturismo.</t>
  </si>
  <si>
    <t>Plan de eventos de promoción interna y externa, realizado</t>
  </si>
  <si>
    <t>01.02.04.02.01.</t>
  </si>
  <si>
    <t>Realizar acciones de manera conjunta con instituciones públicas para la promoción y búsqueda de nuevos mercados (PROESA, CANCILLERÍA, MITUR,  ETC)</t>
  </si>
  <si>
    <t>Plan de eventos de promoción interna y externa</t>
  </si>
  <si>
    <t>01.02.04.03.00.</t>
  </si>
  <si>
    <t>Establecer mecanismos de coordinación con las instituciones de seguridad pública y privada para incrementar la seguridad en las zonas productivas.</t>
  </si>
  <si>
    <t>Planes conjuntos se seguridad para la recolección y transporte de café, implementado</t>
  </si>
  <si>
    <t>01.02.04.03.01.</t>
  </si>
  <si>
    <t xml:space="preserve">Asistir legalmente en la aplicación de la Ley Especial para la Protección de la Propiedad y Comercialización del café. </t>
  </si>
  <si>
    <t>Asistencia legal en la aplicación de la Ley Especial para la Protección de la Propiedad y Comercialización del café, realizada</t>
  </si>
  <si>
    <t>Informe de la asistencia legal en la aplicación de la Ley Especial para la Protección de la Propiedad y Comercialización del café</t>
  </si>
  <si>
    <t>JOSE AMAYA</t>
  </si>
  <si>
    <t>01.02.05.00.00.</t>
  </si>
  <si>
    <t>Organizaciones de  Café con mayor capacidad organizacional y empresarial</t>
  </si>
  <si>
    <t>01.02.05.01.00.</t>
  </si>
  <si>
    <t>Fortalecer la asociatividad  y empresarialidad entre actores de la cadena del café.</t>
  </si>
  <si>
    <t>Asociación</t>
  </si>
  <si>
    <t>Asociatividad  y empresarialidad entre actores de la cadena del café, fortalecida</t>
  </si>
  <si>
    <t>01.02.05.01.01.</t>
  </si>
  <si>
    <t>Incentivar a los productores individuales a que se integren en asociaciones de productores y cooperativas</t>
  </si>
  <si>
    <t>Reuniones para Incentivar a los productores individuales a que se integren en asociaciones de productores y cooperativas, realizadas</t>
  </si>
  <si>
    <t>Lista de asistencia</t>
  </si>
  <si>
    <t>TOMÁS BONILLA</t>
  </si>
  <si>
    <t>05.01.01.03.00.</t>
  </si>
  <si>
    <t>Fortalecer la generación y divulgación de información estadística desagregada por sexo y grupo etario.</t>
  </si>
  <si>
    <t>Estadísticas desagregadas por sexo y grupo etario, publicadas</t>
  </si>
  <si>
    <t>Base datos, pagina web</t>
  </si>
  <si>
    <t>05.01.01.03.02.</t>
  </si>
  <si>
    <t>Publicar estadísticas desagregadas del CSC</t>
  </si>
  <si>
    <t>Generación de estadísticas desagregadas, publicadas</t>
  </si>
  <si>
    <t>07.03.00.00.00.</t>
  </si>
  <si>
    <t>Línea 3. Promoción de seguros agrícolas y garantías</t>
  </si>
  <si>
    <t>07.03.01.00.00.</t>
  </si>
  <si>
    <t>Mayores niveles de crédito, acceso a seguros y a garantías, para el sector agropecuario</t>
  </si>
  <si>
    <t>07.03.01.03.00.</t>
  </si>
  <si>
    <t>Gestionar la mejora de las condiciones de acceso al financiamiento, programas de garantía y seguros para café a través de la banca nacional para el subsector cafetalero.</t>
  </si>
  <si>
    <t>Aspectos de mejora  para el otorgamiento de créditos a productores del subsector café, identificados</t>
  </si>
  <si>
    <t>07.03.01.03.01.</t>
  </si>
  <si>
    <t>Identificar aspectos de mejora  para el otorgamiento de créditos a productores del subsector café</t>
  </si>
  <si>
    <t>FRANCISCO PEÑA</t>
  </si>
  <si>
    <t>07.04.01.01.00.</t>
  </si>
  <si>
    <t>Identificar fuentes de financiamiento externas y canalizarlas a través del gobierno de una manera ágil y transparente, incluyendo fondos de la cooperación.</t>
  </si>
  <si>
    <t>Participación en la identificación de entidades u organismos internacionales que otorguen servicios de financiamiento en condiciones favorables para el sector café, realizada</t>
  </si>
  <si>
    <t>07.04.01.01.01.</t>
  </si>
  <si>
    <t>Participar en la identificación de entidades u organismos internacionales que otorguen servicios de financiamiento en condiciones favorables para el sector café</t>
  </si>
  <si>
    <t>08.05.00.00.00.</t>
  </si>
  <si>
    <t>Línea 5. Orientación hacia el personal </t>
  </si>
  <si>
    <t>08.05.01.00.00.</t>
  </si>
  <si>
    <t>Fortalecimiento de las capacidades del recurso humano institucional</t>
  </si>
  <si>
    <t>08.05.01.01.00.</t>
  </si>
  <si>
    <t>Desarrollar capacidades, conocimientos y desempeño del personal.</t>
  </si>
  <si>
    <t>Personal Técnico, capacitado.</t>
  </si>
  <si>
    <t>Registro</t>
  </si>
  <si>
    <t>08.05.01.01.01.</t>
  </si>
  <si>
    <t>Elaborar plan anual de capacitaciones</t>
  </si>
  <si>
    <t>Plan de capacitaciones, elaborado</t>
  </si>
  <si>
    <t>Documento del plan de capacitaciones</t>
  </si>
  <si>
    <t>INGRID RECINOS</t>
  </si>
  <si>
    <t>08.05.01.03.00.</t>
  </si>
  <si>
    <t>Fomentar atención y reconocimiento del personal.</t>
  </si>
  <si>
    <t>Plan de incentivos, ejecutado</t>
  </si>
  <si>
    <t>08.05.01.03.01.</t>
  </si>
  <si>
    <t>Elaborar el plan de integración e incentivos al personal</t>
  </si>
  <si>
    <t>Plan de incentivos, elaborado</t>
  </si>
  <si>
    <t>Documento del Plan de integración e incentivos</t>
  </si>
  <si>
    <t>08.08.00.00.00.</t>
  </si>
  <si>
    <t>Línea 8. Medición de resultados </t>
  </si>
  <si>
    <t>08.08.01.00.00.</t>
  </si>
  <si>
    <t xml:space="preserve">Mejora del desempeño institucional </t>
  </si>
  <si>
    <t>08.08.01.01.00.</t>
  </si>
  <si>
    <t xml:space="preserve">Establecer mecanismos de medición y evaluación de la eficacia, eficiencia y efectividad en la aplicación del modelo de gestión de la calidad y excelencia del MAG. </t>
  </si>
  <si>
    <t>Mecanismos de medición y evaluación del MAG, elaborados</t>
  </si>
  <si>
    <t>08.08.01.01.01.</t>
  </si>
  <si>
    <t>Implementar plan de integración e incentivos al personal</t>
  </si>
  <si>
    <t>Plan de integración e incentivos al personal, implementado</t>
  </si>
  <si>
    <t>Informe se seguimiento del Plan</t>
  </si>
  <si>
    <t>08.08.01.02.00.</t>
  </si>
  <si>
    <t>Fomentar la medición de resultados de las acciones y proyectos de mejora.</t>
  </si>
  <si>
    <t>Informe de resultados de las acciones y proyectos de mejora, elaborado</t>
  </si>
  <si>
    <t>08.08.01.02.01.</t>
  </si>
  <si>
    <t>Implementar plan anual de capacitaciones</t>
  </si>
  <si>
    <t>Plan anual de capacitaciones, implementado</t>
  </si>
  <si>
    <t>09.21.00.00.00</t>
  </si>
  <si>
    <t>Consejo salvadoreño del café</t>
  </si>
  <si>
    <t>09.21.01.00.00</t>
  </si>
  <si>
    <t>Dirección y administración</t>
  </si>
  <si>
    <t>09.21.01.01.00</t>
  </si>
  <si>
    <t>Unidad financiera</t>
  </si>
  <si>
    <t>09.21.01.01.03</t>
  </si>
  <si>
    <t xml:space="preserve">Realizar seguimiento a la ejecución del presupuesto </t>
  </si>
  <si>
    <t>Informe de seguimiento de la ejecución realizado</t>
  </si>
  <si>
    <t>Informe de seguimiento a la ejecución presupuestaria</t>
  </si>
  <si>
    <t>09.21.01.01.15</t>
  </si>
  <si>
    <t>Realizar informe mensual de análisis de los estados financieros</t>
  </si>
  <si>
    <t>Informe de análisis de los estados financieros, realizado</t>
  </si>
  <si>
    <t>09.21.01.01.16</t>
  </si>
  <si>
    <t>Realizar informe mensual de análisis de las distintas fuentes de recursos propios</t>
  </si>
  <si>
    <t>Informe mensual de análisis de las distintas fuentes de recursos propios, realizado</t>
  </si>
  <si>
    <t>09.21.01.01.17</t>
  </si>
  <si>
    <t>Desarrollar los procedimientos para la  administración de los recursos propios</t>
  </si>
  <si>
    <t>Procedimientos para la  administración de los recursos propios, realizado</t>
  </si>
  <si>
    <t>09.21.01.02.00</t>
  </si>
  <si>
    <t>Unidad de Auditoria interna</t>
  </si>
  <si>
    <t>09.21.01.02.01</t>
  </si>
  <si>
    <t>Realizar seguimiento al plan de trabajo de auditoría interna.</t>
  </si>
  <si>
    <t>Seguimiento al plan de trabajo de auditoría interna, realizado.</t>
  </si>
  <si>
    <t>ISMAEL DUARTE</t>
  </si>
  <si>
    <t>09.21.01.02.02</t>
  </si>
  <si>
    <t>Efectuar controles internos a las unidades y departamentos considerados con mayor riesgo</t>
  </si>
  <si>
    <t>Exámenes especiales a las diferentes unidades y departamentos que se consideran con mayores riesgos, realizados</t>
  </si>
  <si>
    <t>Examen especial a las diferentes unidades y departamentos con mayor riesgo</t>
  </si>
  <si>
    <t>09.21.01.02.03</t>
  </si>
  <si>
    <t>Realizar formulación de plan de trabajo de la auditoría interna.</t>
  </si>
  <si>
    <t>Plan de trabajo de la auditoría interna, realizado.</t>
  </si>
  <si>
    <t>Plan de trabajo de la auditoría interna.</t>
  </si>
  <si>
    <t>09.21.01.02.04</t>
  </si>
  <si>
    <t>Realizar reunión del comité de auditoría.</t>
  </si>
  <si>
    <t>Acta</t>
  </si>
  <si>
    <t>Reunión del comité de auditoría, realizada.</t>
  </si>
  <si>
    <t>Acta de Reunión del comité de auditoría.</t>
  </si>
  <si>
    <t>09.21.01.03.00</t>
  </si>
  <si>
    <t>Dirección Ejecutiva</t>
  </si>
  <si>
    <t>09.21.01.03.01</t>
  </si>
  <si>
    <t>Representar los intereses cafetaleros en organismos internacionales</t>
  </si>
  <si>
    <t>Instancia</t>
  </si>
  <si>
    <t>Intereses cafetaleros en instancias internacionales, representados</t>
  </si>
  <si>
    <t>Membrecías, carta de entendimiento, entre otros</t>
  </si>
  <si>
    <t>Participación</t>
  </si>
  <si>
    <t>Informe de Participación</t>
  </si>
  <si>
    <t>09.21.01.03.02</t>
  </si>
  <si>
    <t>Presentar al Directorio las memorias de labores, e informes de la gestión administrativa y financiera</t>
  </si>
  <si>
    <t>Informes al Directorio de las memorias de labores, de la gestión administrativa y financiera, presentados</t>
  </si>
  <si>
    <t>Actas de reuniones de Junta Directiva</t>
  </si>
  <si>
    <t>09.21.01.04.00</t>
  </si>
  <si>
    <t>Asesoría Legal</t>
  </si>
  <si>
    <t>09.21.01.04.05</t>
  </si>
  <si>
    <t>Actualizar la normativa del ordenamiento jurídico institucional</t>
  </si>
  <si>
    <t xml:space="preserve">Actualización de la normativa del ordenamiento jurídico institucional, realizado </t>
  </si>
  <si>
    <t>JOSÉ AMAYA</t>
  </si>
  <si>
    <t>09.21.01.04.06</t>
  </si>
  <si>
    <t>Aplicar procedimiento administrativo sancionatorio en casos de omisión de informes o faltas</t>
  </si>
  <si>
    <t>Expediente</t>
  </si>
  <si>
    <t>Aplicación del procedimiento administrativo sancionatorio en casos de omisión de informes o faltas, realizado.</t>
  </si>
  <si>
    <t>09.21.01.04.07</t>
  </si>
  <si>
    <t>Aplicar las disposiciones del ordenamiento jurídico a los actos administrativos institucionales</t>
  </si>
  <si>
    <t>Aplicación del ordenamiento jurídico a los actos administrativos, realizados</t>
  </si>
  <si>
    <t>09.21.01.05.00</t>
  </si>
  <si>
    <t>Unidad de acceso a la Información Pública</t>
  </si>
  <si>
    <t>09.21.01.05.01</t>
  </si>
  <si>
    <t>Recibir y dar trámite a las solicitudes de información pública, oficiosa, reservada,  confidencial, datos personales y actualización del Portal de Transparencia</t>
  </si>
  <si>
    <t>Información pública, brindada</t>
  </si>
  <si>
    <t>Respuesta de la información pública, oficiosa, reservada, confidencial y datos personales</t>
  </si>
  <si>
    <t>ELIZABETH MORALES</t>
  </si>
  <si>
    <t>09.21.01.05.02</t>
  </si>
  <si>
    <t xml:space="preserve">Tramitar las quejas, reclamos, sugerencias y propuestas presentadas por la población </t>
  </si>
  <si>
    <t xml:space="preserve">Quejas, reclamos, denuncias, sugerencias,  atendidas </t>
  </si>
  <si>
    <t>Informe de quejas, reclamos, denuncias sugerencias y propuestas presentadas por la población</t>
  </si>
  <si>
    <t>09.21.01.05.03</t>
  </si>
  <si>
    <t>Realizar informes sobre los espacios de participación ciudadana</t>
  </si>
  <si>
    <t>Informe sobre los espacios de participación ciudadana, realizado.</t>
  </si>
  <si>
    <t>Informe sobre los espacios de participación ciudadana</t>
  </si>
  <si>
    <t>09.21.01.05.04</t>
  </si>
  <si>
    <t>Actualizar el Portal de Transparencia</t>
  </si>
  <si>
    <t>Información oficiosa, actualizada</t>
  </si>
  <si>
    <t>09.21.01.06.00</t>
  </si>
  <si>
    <t>Unidad de Tecnología de Información</t>
  </si>
  <si>
    <t>09.21.01.06.03</t>
  </si>
  <si>
    <t>Efectuar el respaldo de las bases de datos institucionales.</t>
  </si>
  <si>
    <t>Base</t>
  </si>
  <si>
    <t>Base de datos institucionales, respaldadas</t>
  </si>
  <si>
    <t>Disco Duro Externo almacenado con el respaldo de la Base de datos institucionales con 7 días  hábiles de retraso como máximo</t>
  </si>
  <si>
    <t>SANDRA ROMERO</t>
  </si>
  <si>
    <t>09.21.01.06.04</t>
  </si>
  <si>
    <t>Impartir capacitaciones sobre temáticas de igualdad de género</t>
  </si>
  <si>
    <t>Capacitación</t>
  </si>
  <si>
    <t>Capacitaciones sobre temáticas de igualdad de género, realizada</t>
  </si>
  <si>
    <t>Registro de asistencia</t>
  </si>
  <si>
    <t>09.21.01.06.08</t>
  </si>
  <si>
    <t>Desarrollar plataforma informática, para el pago de  todos los servicios en línea de nuestra institución.</t>
  </si>
  <si>
    <t>Modulo</t>
  </si>
  <si>
    <t>Plataforma informática, para el pago de los servicios del Consejo, desarrollado.</t>
  </si>
  <si>
    <t>Plataforma Informática</t>
  </si>
  <si>
    <t>09.21.01.06.09</t>
  </si>
  <si>
    <t>Implementar Sistema para la factura electrónica.</t>
  </si>
  <si>
    <t>Programa</t>
  </si>
  <si>
    <t>Plataforma informática, para la factura electrónica, desarrollada</t>
  </si>
  <si>
    <t>09.21.01.06.10</t>
  </si>
  <si>
    <t>Implementar nueva imagen del Sitio Web Institucional</t>
  </si>
  <si>
    <t>Nueva imagen del Sitio Web Institucional, Implementada</t>
  </si>
  <si>
    <t>Sitio Web</t>
  </si>
  <si>
    <t>09.21.01.06.11</t>
  </si>
  <si>
    <t>Implementar Sistema de Información Geográfico para las fincas de café registradas en el Consejo</t>
  </si>
  <si>
    <t>Sistema de información geográfica para las fincas de café registradas en el Consejo, implementada</t>
  </si>
  <si>
    <t>Sistema de información geográfica para las fincas de café registradas en el Consejo</t>
  </si>
  <si>
    <t>09.21.01.06.12</t>
  </si>
  <si>
    <t>Implementar una aplicación tecnológica (APP) para el sistema de catación</t>
  </si>
  <si>
    <t>Una APP para el sistema de catación, implementada</t>
  </si>
  <si>
    <t>Informe de implementación APP para el sistema de catación</t>
  </si>
  <si>
    <t>09.21.01.07.00</t>
  </si>
  <si>
    <t>Unidad de Medio Ambiente</t>
  </si>
  <si>
    <t>09.21.01.07.07</t>
  </si>
  <si>
    <t>Realizar acciones en la gestión ambiental, cambio climático, educación, producción y dotación de plantas</t>
  </si>
  <si>
    <t>Acciones en la gestión ambiental, cambio climático, educación, producción y dotación de plantas, realizada</t>
  </si>
  <si>
    <t>RIGOBERTO MARTÍNEZ</t>
  </si>
  <si>
    <t>09.21.01.07.08</t>
  </si>
  <si>
    <t>Proporcionar a los actores de la cadena productiva asistencia técnica en las  fases de cultivo y cadena de valor del café</t>
  </si>
  <si>
    <t>Actores de la cadena productiva en las  fases de cultivo y cadena de valor del café, asistidos</t>
  </si>
  <si>
    <t>09.21.01.07.09</t>
  </si>
  <si>
    <t>Formular y acompañar proyectos vinculando la gestión ambiental</t>
  </si>
  <si>
    <t>Proyectos vinculando la gestión ambiental, formulados</t>
  </si>
  <si>
    <t>09.21.01.08.00</t>
  </si>
  <si>
    <t>Gerencia General</t>
  </si>
  <si>
    <t>09.21.01.08.01</t>
  </si>
  <si>
    <t>Verificar la aplicación de diferenciales y de inscripción de contratos de venta al exterior.</t>
  </si>
  <si>
    <t>Informe de verificación de aplicación de diferenciales y de inscripción de contratos de venta al exterior, realizado</t>
  </si>
  <si>
    <t>Informe de verificación de aplicación de diferenciales y de inscripción de contratos de venta al exterior</t>
  </si>
  <si>
    <t>YANCI PALACIOS</t>
  </si>
  <si>
    <t>09.21.01.08.02</t>
  </si>
  <si>
    <t>Informar el cumplimiento de acuerdos de junta directiva</t>
  </si>
  <si>
    <t>Informe de Seguimiento al cumplimiento de acuerdos de junta directiva, realizados</t>
  </si>
  <si>
    <t>Informe de Seguimiento al cumplimiento de acuerdos de junta directiva</t>
  </si>
  <si>
    <t>09.21.01.08.06</t>
  </si>
  <si>
    <t>Presentar e Incluir en informe a dirección ejecutiva aspectos financieros</t>
  </si>
  <si>
    <t>Informe a Dirección Ejecutiva con aspectos financieros, presentado</t>
  </si>
  <si>
    <t>Informe a dirección  ejecutiva</t>
  </si>
  <si>
    <t>09.21.01.08.07</t>
  </si>
  <si>
    <t>Realizar seguimiento al Plan de Trabajo en el proceso de expurgo o eliminación de documentos</t>
  </si>
  <si>
    <t>Seguimiento al Plan de Trabajo en el proceso de expurgo o eliminación de documentos, realizado</t>
  </si>
  <si>
    <t>Informe del avance del plan de trabajo del Proceso de Expurgo y Eliminación de Documentos</t>
  </si>
  <si>
    <t>MANUEL LARA</t>
  </si>
  <si>
    <t>09.21.01.09.00</t>
  </si>
  <si>
    <t>Recursos Humanos</t>
  </si>
  <si>
    <t>09.21.01.09.02</t>
  </si>
  <si>
    <t>Elaborar y actualizar instrumentos administrativos para el cumplimiento del área</t>
  </si>
  <si>
    <t>Manual de procesos y/o procedimientos para la inducción de nuevos empleados, elaborado</t>
  </si>
  <si>
    <t>Manual de procesos y/o procedimientos para la inducción de nuevos empleados</t>
  </si>
  <si>
    <t>09.21.01.09.04</t>
  </si>
  <si>
    <t>Implementar acciones de control a programa de gestión de prevención de riesgos</t>
  </si>
  <si>
    <t>Acciones de control a programa de gestión de prevención de riesgos, implementadas</t>
  </si>
  <si>
    <t>09.21.01.10.00</t>
  </si>
  <si>
    <t>Unidad de Contrataciones y Adquisiciones</t>
  </si>
  <si>
    <t>09.21.01.10.01</t>
  </si>
  <si>
    <t>Analizar, consolidar y dar seguimiento a los planes de  adquisiciones y contrataciones de las unidades y departamentos</t>
  </si>
  <si>
    <t>Informe del Plan anual de adquisiciones y contrataciones, realizado</t>
  </si>
  <si>
    <t>Informe Mensual del Plan anual de adquisiciones y contrataciones</t>
  </si>
  <si>
    <t>SAUL LANDAVERDE</t>
  </si>
  <si>
    <t>09.21.01.10.04</t>
  </si>
  <si>
    <t>Realizar informe trimestral de adquisiciones de bienes y servicios.</t>
  </si>
  <si>
    <t>Informe trimestral de adquisiciones de bienes y servicios.</t>
  </si>
  <si>
    <t>09.21.01.10.05</t>
  </si>
  <si>
    <t xml:space="preserve">Realizar informe de las publicaciones efectuadas en el sitio COMPRASAL.
</t>
  </si>
  <si>
    <t>Informe de las publicaciones efectuadas en el sitio COMPRASAL, realizado.
.</t>
  </si>
  <si>
    <t xml:space="preserve">Informe de las publicaciones efectuadas en el sitio COMPRASAL.
</t>
  </si>
  <si>
    <t>09.21.01.11.00</t>
  </si>
  <si>
    <t>Estudios Económicos y Estadísticas Cafetaleras</t>
  </si>
  <si>
    <t>09.21.01.11.01</t>
  </si>
  <si>
    <t>Elaborar  estadísticas e informes/reportes/estudios sobre la actividad cafetalera nacional e internacional que sirvan de apoyo a la toma de decisiones de negocios, políticas, acuerdos y otros aspectos estratégicos en beneficio de la caficultura del país</t>
  </si>
  <si>
    <t>Informes de estadísticas, elaborados</t>
  </si>
  <si>
    <t>Informes elaborados sobre los precios y noticias de mercado internacional</t>
  </si>
  <si>
    <t>SILVIA RIVERA</t>
  </si>
  <si>
    <t>09.21.01.11.02</t>
  </si>
  <si>
    <t>Realizar socialización y caracterización organoléptica de las Denominaciones de Origen en las cordilleras cafetaleras del país</t>
  </si>
  <si>
    <t>Socialización y caracterización organoléptica de las Denominaciones de Origen en las cordilleras cafetaleras del país, realizada</t>
  </si>
  <si>
    <t>Reportes de actividades de socialización</t>
  </si>
  <si>
    <t>09.21.01.11.03</t>
  </si>
  <si>
    <t>Acreditar agentes de agroindustria</t>
  </si>
  <si>
    <t>Acreditación</t>
  </si>
  <si>
    <t>Agentes de agroindustria, acreditados</t>
  </si>
  <si>
    <t>Reportes de acreditaciones</t>
  </si>
  <si>
    <t>PAOLA MARTINEZ</t>
  </si>
  <si>
    <t>09.21.01.11.04</t>
  </si>
  <si>
    <t>Realizar un estudio de la actividad cafetalera a nivel nacional e internacional.</t>
  </si>
  <si>
    <t>Estudio</t>
  </si>
  <si>
    <t>Estudio de la actividad cafetalera a nivel nacional e internacional, realizado.</t>
  </si>
  <si>
    <t>Estudio de la actividad cafetalera a nivel nacional e internacional.</t>
  </si>
  <si>
    <t>TOMAS BONILLA</t>
  </si>
  <si>
    <t>09.21.01.11.05</t>
  </si>
  <si>
    <t>Informar el incumplimiento de la Ley Especial para la Protección de la Propiedad y la Comercialización del Café por parte de los Agentes de la cadena, sobre proporcionar información que se utiliza para las estadísticas del CSC</t>
  </si>
  <si>
    <t>Informe del incumplimiento de la Ley Especial para la Protección de la Propiedad y la Comercialización del Café por parte de los Agentes de la cadena, realizado</t>
  </si>
  <si>
    <t>Informe del incumplimiento de la Ley Especial para la Protección de la Propiedad y la Comercialización del Café por parte de los Agentes de la cadena</t>
  </si>
  <si>
    <t>09.21.01.12.00</t>
  </si>
  <si>
    <t xml:space="preserve"> Planificación</t>
  </si>
  <si>
    <t>09.21.01.12.03</t>
  </si>
  <si>
    <t>Dar Seguimiento a los planes de trabajo institucionales</t>
  </si>
  <si>
    <t>Informe de seguimiento de plan operativo, realizado</t>
  </si>
  <si>
    <t>EDGARDO CASTELLANOS</t>
  </si>
  <si>
    <t>09.21.01.12.04</t>
  </si>
  <si>
    <t>Acompañar en la formulación de proyectos estratégicos</t>
  </si>
  <si>
    <t>Informe de formulación de proyecto, elaborado</t>
  </si>
  <si>
    <t>09.21.01.12.06</t>
  </si>
  <si>
    <t>Elaborar formulación y Evaluación de Gestión de Riesgos</t>
  </si>
  <si>
    <t>Informe de Evaluación de la Gestión de Riesgos, elaborado.</t>
  </si>
  <si>
    <t>Informe de Evaluación de la Gestión de Riesgos</t>
  </si>
  <si>
    <t>09.21.01.12.07</t>
  </si>
  <si>
    <t>Elaborar informe de evaluación de planes de trabajo</t>
  </si>
  <si>
    <t>Informe de evaluación de planes de trabajo, realizado</t>
  </si>
  <si>
    <t>09.21.01.12.08</t>
  </si>
  <si>
    <t>Realizar  informe de autoevaluaciones de control interno</t>
  </si>
  <si>
    <t>Informe de autoevaluaciones de control interno,  realizado</t>
  </si>
  <si>
    <t>09.21.01.12.09</t>
  </si>
  <si>
    <t>Formular proyectos estratégicos</t>
  </si>
  <si>
    <t>Proyectos estratégicos, formulados</t>
  </si>
  <si>
    <t>09.21.01.13.00</t>
  </si>
  <si>
    <t>Exportaciones</t>
  </si>
  <si>
    <t>09.21.01.13.01</t>
  </si>
  <si>
    <t>Emitir los permisos de exportación.</t>
  </si>
  <si>
    <t>Permiso</t>
  </si>
  <si>
    <t>Permisos de exportación, emitidos</t>
  </si>
  <si>
    <t>Informe de permisos de exportación efectuados</t>
  </si>
  <si>
    <t>PAOLA SALAZAR</t>
  </si>
  <si>
    <t>09.21.01.13.02</t>
  </si>
  <si>
    <t>Realizar información estadística sobre cotizaciones en bolsa y exportaciones salvadoreñas</t>
  </si>
  <si>
    <t>Información estadística sobre cotizaciones en bolsa y exportaciones, realizada</t>
  </si>
  <si>
    <t xml:space="preserve">Informe de Estadísticas de exportación realizados </t>
  </si>
  <si>
    <t>09.21.01.13.03</t>
  </si>
  <si>
    <t xml:space="preserve">Llevar los registros y emitir las acreditaciones para el procesamiento y comercialización del café. </t>
  </si>
  <si>
    <t xml:space="preserve">Acreditación </t>
  </si>
  <si>
    <t>Registros y acreditaciones para el procesamiento y comercialización del café, emitidas</t>
  </si>
  <si>
    <t>Informe de Acreditaciones emitidas</t>
  </si>
  <si>
    <t>09.21.01.13.04</t>
  </si>
  <si>
    <t>Realizar informe de contratos de exportación de café, que contenga los datos establecidos en el artículo 23 de la Ley de Creación del CSC.</t>
  </si>
  <si>
    <t>Informe de contratos de exportación de café, que contenga los datos establecidos en el artículo 23 de la Ley de Creación del CSC, realizado</t>
  </si>
  <si>
    <t>Informe de contratos de exportación de café, que contenga los datos establecidos en el artículo 23 de la Ley de Creación del CSC.</t>
  </si>
  <si>
    <t>09.21.01.13.05</t>
  </si>
  <si>
    <t xml:space="preserve">Realizar informe de cafés exportados, detallando: micro lotes, con sello de certificación (orgánicos, gourmet, rainforest, comercio justo, otros sellos) </t>
  </si>
  <si>
    <t>Informe de cafés exportados, detallando: micro lotes, con sello de certificación (orgánicos, gourmet, reifore, comercio justo, otros sellos), elaborado.</t>
  </si>
  <si>
    <t xml:space="preserve">Informe de cafés exportados, detallando: micro lotes, con sello de certificación (orgánicos, gourmet, reifore, comercio justo, otros sellos). </t>
  </si>
  <si>
    <t>09.21.01.13.06</t>
  </si>
  <si>
    <t>Formular informe sobre tendencias de precios de café en los mercados globales.</t>
  </si>
  <si>
    <t>Informe sobre tendencias de precios de café en los mercados globales, elaborado.</t>
  </si>
  <si>
    <t>Informe sobre tendencias de precios de café en los mercados globales.</t>
  </si>
  <si>
    <t>09.21.01.13.07</t>
  </si>
  <si>
    <t>Realizar informe de análisis comparativo por cosecha, sobre exportaciones de cafés diferenciados.</t>
  </si>
  <si>
    <t>Informe de análisis comparativo por cosecha, sobre exportaciones de cafés diferenciados, realizado</t>
  </si>
  <si>
    <t>Informe de análisis comparativo por cosecha, sobre exportaciones de cafés diferenciados.</t>
  </si>
  <si>
    <t>09.21.01.14.00</t>
  </si>
  <si>
    <t>Control de Calidad</t>
  </si>
  <si>
    <t>09.21.01.14.01</t>
  </si>
  <si>
    <t xml:space="preserve">Verificación de los estándares de calidad del café exportable. </t>
  </si>
  <si>
    <t>Informe de verificación de estándares de calidad de café exportable, realizado</t>
  </si>
  <si>
    <t>ERNESTO VELASQUEZ</t>
  </si>
  <si>
    <t>09.21.01.14.02</t>
  </si>
  <si>
    <t xml:space="preserve">Verificar que las instalaciones de nuevos actores (propietarios) cuenten con los equipos suficientemente necesarios en condiciones de operación.  </t>
  </si>
  <si>
    <t>Informe de verificación de las instalaciones de los agentes de la cadena, realizado</t>
  </si>
  <si>
    <t>09.21.01.14.03</t>
  </si>
  <si>
    <t>Realizar inspecciones en las plantas torrefactoras y puntos de ventas.</t>
  </si>
  <si>
    <t>Informe de inspecciones en las plantas torrefactoras y puntos de ventas, realizado.</t>
  </si>
  <si>
    <t>09.21.01.14.04</t>
  </si>
  <si>
    <t>Verificar la calidad de cafés que se promueven en Stand "Café de El Salvador"</t>
  </si>
  <si>
    <t xml:space="preserve">Informes de catación de los cafés que se promueven en stand "Café de El Salvador", realizados. </t>
  </si>
  <si>
    <t>09.21.01.14.05</t>
  </si>
  <si>
    <t>Capacitar a  productores en calidad, buenas prácticas agrícolas y de procesamiento, mercadeo y producción de cafés diferenciados</t>
  </si>
  <si>
    <t>Productores en calidad, buenas prácticas agrícolas y de procesamiento, mercadeo y producción de cafés diferenciados, capacitados</t>
  </si>
  <si>
    <t>09.21.01.14.06</t>
  </si>
  <si>
    <t>Realizar competencias de calidad locales  por cordillera</t>
  </si>
  <si>
    <t>Competencias de calidad locales  por cordillera, realizadas</t>
  </si>
  <si>
    <t>09.21.01.15.00</t>
  </si>
  <si>
    <t>Promoción y Escuela de Café</t>
  </si>
  <si>
    <t>09.21.01.15.01</t>
  </si>
  <si>
    <t>Promocionar en eventos internacionales la marca país "Café de El Salvador"</t>
  </si>
  <si>
    <t>Eventos internacionales de promoción en donde la marca  "Café de El Salvador", realizado</t>
  </si>
  <si>
    <t>09.21.01.15.02</t>
  </si>
  <si>
    <t xml:space="preserve">Carta de entendimiento con instituciones o empresas para implementar el Plan de Consumo Interno </t>
  </si>
  <si>
    <t>Carta de entendimiento con instituciones o empresas para implementar el Plan de Consumo Interno, suscrito</t>
  </si>
  <si>
    <t>09.21.01.15.03</t>
  </si>
  <si>
    <t>Promocionar en eventos nacionales la marca  "Café de El Salvador"</t>
  </si>
  <si>
    <t>Eventos nacionales de promoción en donde la marca "Café de El Salvador", realizados</t>
  </si>
  <si>
    <t>09.21.01.15.05</t>
  </si>
  <si>
    <t>Capacitar a personas en las disciplinas Barismo, Catación y Torrefacción</t>
  </si>
  <si>
    <t>Personas en las disciplinas Barismo, Catación y Torrefacción, capacitadas</t>
  </si>
  <si>
    <t>09.21.01.15.06</t>
  </si>
  <si>
    <t>Elaborar Plan Anual de Promoción 2022</t>
  </si>
  <si>
    <t>Plan Anual de Promoción, elaborado.</t>
  </si>
  <si>
    <t>09.21.01.15.07</t>
  </si>
  <si>
    <t xml:space="preserve">Realizar competencias nacionales de barismo, catación arte latté y otros, </t>
  </si>
  <si>
    <t>Competencias  nacionales de barismo, catación arte latté y otros, realizadas</t>
  </si>
  <si>
    <t>09.21.01.15.08</t>
  </si>
  <si>
    <t>Realizar capacitaciones a personas en nivel avanzado en catación (USDA)</t>
  </si>
  <si>
    <t>Capacitaciones a personas en nivel avanzado en catación (USDA), realizadas</t>
  </si>
  <si>
    <t>09.21.01.15.09</t>
  </si>
  <si>
    <t>Capacitar a personas en Preparación de Bebidas (USDA)</t>
  </si>
  <si>
    <t>Capacitaciones a personas en Preparación de Bebidas (USDA), realizadas</t>
  </si>
  <si>
    <t>09.21.01.15.10</t>
  </si>
  <si>
    <t xml:space="preserve">Realizar eventos  la Gira del Café </t>
  </si>
  <si>
    <t>Eventos  la Gira del Café, realizado</t>
  </si>
  <si>
    <t>Área Ministerial: Dependencias Centralizadas</t>
  </si>
  <si>
    <t>Dirección / Oficina: Dirección General de Desarrollo Rural (DGDR)</t>
  </si>
  <si>
    <t>Periodo de Ejecución: Enero a Diciembre 2021</t>
  </si>
  <si>
    <t>Eje / Línea / Resultado / Acción Estratégica / Acción Operativa</t>
  </si>
  <si>
    <t>Unidad
de
Medida</t>
  </si>
  <si>
    <t>No.</t>
  </si>
  <si>
    <t>fisico</t>
  </si>
  <si>
    <t>Línea 1: Transformación Agropecuaria Sostenible para la Seguridad Alimentaria</t>
  </si>
  <si>
    <t>01.01.10.00.00.</t>
  </si>
  <si>
    <t>Organizaciones de  productores de frutas y hortalizas con mayor  capacidad organizacional y empresarial</t>
  </si>
  <si>
    <t>CENTA, DGDR, DGG</t>
  </si>
  <si>
    <t>01.01.10.01.00.</t>
  </si>
  <si>
    <t>Fortalecer la asociatividad entre actores de la cadena frutícola y hortícola para  negociar de forma conjunta la adquisición de maquinaria, equipo e insumos y comercialización.</t>
  </si>
  <si>
    <t>Planes de negocio para frutas y hortalizas, implementados</t>
  </si>
  <si>
    <t>DGDR</t>
  </si>
  <si>
    <t>01.01.10.01.01.</t>
  </si>
  <si>
    <t xml:space="preserve">Elaborar planes de negocio para las organizaciones de productores frutícolas y hortícolas </t>
  </si>
  <si>
    <t>Planes de negocio para frutas y hortalizas, elaborados</t>
  </si>
  <si>
    <t>Plan de negocio, contrato</t>
  </si>
  <si>
    <t>San Miguel, La Unión, Morazán, Usulután</t>
  </si>
  <si>
    <t>DGDR - Rural Adelante</t>
  </si>
  <si>
    <t>01.01.10.01.02.</t>
  </si>
  <si>
    <t>Implementar planes de negocio para las organizaciones de productores frutícolas y hortícolas</t>
  </si>
  <si>
    <t>Carta acuerdo, informes financiero - contable</t>
  </si>
  <si>
    <t>01.01.11.00.00.</t>
  </si>
  <si>
    <t>01.01.11.25.00.</t>
  </si>
  <si>
    <t xml:space="preserve">Fortalecer a organizaciones de productores (as) de la cadena de lácteos a través de la elaboración e implementación de planes de negocios </t>
  </si>
  <si>
    <t>Planes de negocio para lácteos, implementados</t>
  </si>
  <si>
    <t>01.01.11.25.01.</t>
  </si>
  <si>
    <t>Elaborar planes de negocio para las organizaciones de productores de la cadena de lácteos</t>
  </si>
  <si>
    <t>Planes de negocio para lácteos, elaborados</t>
  </si>
  <si>
    <t>01.01.11.25.02.</t>
  </si>
  <si>
    <t>Implementar planes de negocio para las organizaciones de productores de la cadena de lácteos</t>
  </si>
  <si>
    <t>01.01.27.00.00.</t>
  </si>
  <si>
    <t>Organizaciones de  productores de apicultores con mayor capacidad organizacional y empresarial</t>
  </si>
  <si>
    <t>DGDR, DGEA</t>
  </si>
  <si>
    <t>01.01.27.03.00.</t>
  </si>
  <si>
    <t>Fortalecer a Organizaciones de productores (as) de la cadena Apícola a través de la elaboración e implementación de planes de negocios</t>
  </si>
  <si>
    <t>Planes de negocio para apicultura, implementados</t>
  </si>
  <si>
    <t>01.01.27.03.01.</t>
  </si>
  <si>
    <t>Elaborar planes de negocio para las organizaciones de productores de la cadena apícola</t>
  </si>
  <si>
    <t>Planes de negocio para apicultura, elaborados</t>
  </si>
  <si>
    <t>01.01.27.03.02.</t>
  </si>
  <si>
    <t>Implementar planes de negocio para las organizaciones de productores de la cadena apícola</t>
  </si>
  <si>
    <t>Carta acuerdo</t>
  </si>
  <si>
    <t>CENDEPESCA, DGDR, DGEA</t>
  </si>
  <si>
    <t>01.01.32.04.00.</t>
  </si>
  <si>
    <t>Capacitar y asistir técnicamente en la formación de empresas asociativas de pequeños y medianos acuicultores</t>
  </si>
  <si>
    <t>Planes de negocio para acuicultura, implementados</t>
  </si>
  <si>
    <t>01.01.32.04.01.</t>
  </si>
  <si>
    <t>Elaborar planes de negocio para las organizaciones de productores de la cadena acuícola</t>
  </si>
  <si>
    <t>Planes de negocio para acuicultura, elaborados</t>
  </si>
  <si>
    <t>01.01.32.04.02.</t>
  </si>
  <si>
    <t>Implementar planes de negocio para las organizaciones de productores de la cadena acuícola</t>
  </si>
  <si>
    <t>01.02.01.01.00.</t>
  </si>
  <si>
    <t>Renovar el parque cafetalero, con un enfoque de manejo integral del cultivo haciendo énfasis en material genético de variedades de cafés especiales.</t>
  </si>
  <si>
    <t>Manzanas de café, renovada</t>
  </si>
  <si>
    <t>01.02.01.01.04.</t>
  </si>
  <si>
    <t>Adquirir y entregar a productores plantas de café  resilientes al cambio climático y enfermedades  para  la renovación del mismo</t>
  </si>
  <si>
    <t>Plantas de café de variedades resistentes a la Roya entregadas</t>
  </si>
  <si>
    <t>6 Cordilleras cafetaleras a Nivel Nacional</t>
  </si>
  <si>
    <t>01.02.01.04.00.</t>
  </si>
  <si>
    <t>Transferir tecnología para el desarrollo del café buscando la adaptación y resiliencia al cambio climático</t>
  </si>
  <si>
    <t>Servicios de asistencia técnica y capacitación en el manejo del cultivo de café, brindados</t>
  </si>
  <si>
    <t>01.02.01.04.01.</t>
  </si>
  <si>
    <t>Brindar servicios de asistencia técnica y capacitación en el manejo del cultivo de café</t>
  </si>
  <si>
    <t>03.03.03.00.00.</t>
  </si>
  <si>
    <t>Mayor capacidad de adaptación basada en la gestión del riesgo</t>
  </si>
  <si>
    <t>03.03.03.01.00.</t>
  </si>
  <si>
    <t>Desarrollar  el sistema de alerta temprana (SAT) para el sector agropecuario.</t>
  </si>
  <si>
    <t>Sistema</t>
  </si>
  <si>
    <t>Sistema de alerta para el sector agropecuario,  desarrollado</t>
  </si>
  <si>
    <t>03.03.03.01.02.</t>
  </si>
  <si>
    <t>Diseñar sistema de información de variables agroclimáticas.</t>
  </si>
  <si>
    <t>Diseño</t>
  </si>
  <si>
    <t>Sistema de información de variables agroclimáticas, diseñado</t>
  </si>
  <si>
    <t>DGDR - RURAL ADELANTE</t>
  </si>
  <si>
    <t>03.03.03.01.03.</t>
  </si>
  <si>
    <t>Implementar el  sistema de información de variables agroclimáticas.</t>
  </si>
  <si>
    <t>Sistema de información  de Variables agroclimáticas, implementada.</t>
  </si>
  <si>
    <t>03.03.03.02.00.</t>
  </si>
  <si>
    <t>Promover programas, proyectos y acciones para la reducción o mitigación del riesgo agroclimático en el sector agropecuario.</t>
  </si>
  <si>
    <t>Estación</t>
  </si>
  <si>
    <t>Estación Meteorológica   para la reducción o mitigación del riesgo agroclimático, establecida</t>
  </si>
  <si>
    <t>03.03.03.02.01.</t>
  </si>
  <si>
    <t>Establecer estaciones meteorológicas para recopilación de información climática en campo.</t>
  </si>
  <si>
    <t>Estación Meteorológica, establecida.</t>
  </si>
  <si>
    <t>03.03.03.03.00.</t>
  </si>
  <si>
    <t>Elaborar y financiar planes de desarrollo para mancomunidades de municipalidades de la zona oriental</t>
  </si>
  <si>
    <t>Planes de desarrollo de mancomunidades, formulados</t>
  </si>
  <si>
    <t>03.03.03.03.01.</t>
  </si>
  <si>
    <t>Formular de planes de desarrollo de mancomunidades.</t>
  </si>
  <si>
    <t>03.03.03.04.00.</t>
  </si>
  <si>
    <t>Financiar la implementación de planes de adaptación al cambio climático con la coordinación de organizaciones publicas o privadas</t>
  </si>
  <si>
    <t>Planes de Adaptación al Cambio Climático, Implementados</t>
  </si>
  <si>
    <t>03.03.03.04.01.</t>
  </si>
  <si>
    <t>Elaborar y transferir fondos para la implementación de planes de adaptación al cambio climático (PACC)</t>
  </si>
  <si>
    <t>Planes de Adaptación al Cambio Climático, elaborados</t>
  </si>
  <si>
    <t>CENDEPESCA, CENTA, CSC, DGDR, DGFCR, ENA, ISTA, UG</t>
  </si>
  <si>
    <t>CENDEPESCA, CENTA, CSC, DGDR, ENA, ISTA, UG</t>
  </si>
  <si>
    <t>05.01.01.04.00.</t>
  </si>
  <si>
    <t>Actualizar y armonizar las políticas, normativa y procedimientos institucionales con la legislación nacional e internacional en materia de derechos humanos de mujeres, juventud y pueblos indígenas.</t>
  </si>
  <si>
    <t xml:space="preserve">Documento </t>
  </si>
  <si>
    <t>Políticas, normativa y procedimientos institucionales con la legislación nacional e internacional en materia de derechos humanos de mujeres, juventud y pueblos indígenas, armonizadas.</t>
  </si>
  <si>
    <t>CENTA, DGDR, ENA, UG</t>
  </si>
  <si>
    <t>05.01.01.04.12.</t>
  </si>
  <si>
    <t>Dar asesoría a INJUVE sobre el Instrumento diseñado para adaptar la política de jóvenes en el sector rural</t>
  </si>
  <si>
    <t xml:space="preserve">Instrumento </t>
  </si>
  <si>
    <t>Instrumento diseñado para adaptar la política de jóvenes en el sector rural, asesorado</t>
  </si>
  <si>
    <t>Ayudas memorias de reuniones, documento elaborado</t>
  </si>
  <si>
    <t>05.02.00.00.00.</t>
  </si>
  <si>
    <t>Línea 2. Promover el empoderamiento y autonomía económica de las mujeres, jóvenes y población indígena, dotando de mayor acceso y control a medios productivos.</t>
  </si>
  <si>
    <t>05.02.01.00.00.</t>
  </si>
  <si>
    <t>Mayor participación de mujeres y jóvenes en actividades productivas</t>
  </si>
  <si>
    <t>05.02.01.04.00.</t>
  </si>
  <si>
    <t xml:space="preserve">Entregar capital semilla para la implementación de emprendimientos agropecuarios innovadores con jóvenes </t>
  </si>
  <si>
    <t>Acción</t>
  </si>
  <si>
    <t>Acciones afirmativas para mujeres y población indígena, financiadas</t>
  </si>
  <si>
    <t>05.02.01.04.01.</t>
  </si>
  <si>
    <t>Financiar acciones afirmativas para mujeres y población indígena</t>
  </si>
  <si>
    <t xml:space="preserve">DGDR - RURAL ADELANTE </t>
  </si>
  <si>
    <t>05.02.01.07.00.</t>
  </si>
  <si>
    <t>Fortalecer a la organización en capacitación y seguimiento a grupos de ahorro comunitario</t>
  </si>
  <si>
    <t>Grupo</t>
  </si>
  <si>
    <t xml:space="preserve">Grupos de ahorro comunitario, fortalecidos </t>
  </si>
  <si>
    <t>05.02.01.07.01.</t>
  </si>
  <si>
    <t>05.02.01.08.00.</t>
  </si>
  <si>
    <t xml:space="preserve">Fortalecer redes de jóvenes en la zona oriental </t>
  </si>
  <si>
    <t>Red</t>
  </si>
  <si>
    <t>Red de jóvenes de la región oriental, fortalecida</t>
  </si>
  <si>
    <t>05.02.01.08.01.</t>
  </si>
  <si>
    <t>Fortalecer redes de jóvenes en la zona oriental</t>
  </si>
  <si>
    <t>05.02.01.09.00.</t>
  </si>
  <si>
    <t>Promocionar eventos para la dignificación de la mujer, juventud y población indígena</t>
  </si>
  <si>
    <t>Eventos para la dignificación de la mujer, juventud y población indígena, promocionados</t>
  </si>
  <si>
    <t>05.02.01.09.01</t>
  </si>
  <si>
    <t>05.03.00.00.00.</t>
  </si>
  <si>
    <t>Línea 3. Fortalecimiento de capacidades en mujeres, jóvenes y población indígena.</t>
  </si>
  <si>
    <t>CENTA, DGDR, DGFCR, ENA, UG</t>
  </si>
  <si>
    <t>05.03.01.00.00.</t>
  </si>
  <si>
    <t>Formar en capacidades productivas y empresariales en mujeres, jóvenes y pueblos indígena.</t>
  </si>
  <si>
    <t>05.03.01.01.00.</t>
  </si>
  <si>
    <t>Fortalecer la inclusión de mujeres, jóvenes y pueblos indígenas en mecanismos de dialogo y de toma de decisión (mesas sectoriales y objetivos de desarrollo sostenible).</t>
  </si>
  <si>
    <t>Visita de campo a organizaciones de mujeres rurales, realizada</t>
  </si>
  <si>
    <t>DGDR, UG</t>
  </si>
  <si>
    <t>05.03.01.01.04.</t>
  </si>
  <si>
    <t xml:space="preserve">Asesorar a la población objetivo en inclusión y genero en organizaciones de la zona Oriental del país </t>
  </si>
  <si>
    <t>Población objetivo en inclusión y género, asesorada</t>
  </si>
  <si>
    <t>05.03.01.03.00.</t>
  </si>
  <si>
    <t>Fomentar la organización y liderazgo de mujeres, jóvenes y población indígena, para su empoderamiento y acceso en puestos de toma de decisión de las organizaciones</t>
  </si>
  <si>
    <t>Asambleas Generales y foros de Mujeres Rurales, desarrolladas</t>
  </si>
  <si>
    <t>05.03.01.03.02.</t>
  </si>
  <si>
    <t>Promover asambleas nacionales de jóvenes, mujeres y población indígena</t>
  </si>
  <si>
    <t>Asamblea</t>
  </si>
  <si>
    <t>Asambleas nacionales de jóvenes, mujeres y población indígena, promovidas</t>
  </si>
  <si>
    <t>Listados de convocatorias y asistencias</t>
  </si>
  <si>
    <t>05.03.01.03.03.</t>
  </si>
  <si>
    <t>Promover foros regionales de jóvenes, mujeres y población indígena</t>
  </si>
  <si>
    <t>Foro</t>
  </si>
  <si>
    <t>Foros regionales de jóvenes, mujeres y población indígena, promovidos</t>
  </si>
  <si>
    <t>CENDEPESCA, CENTA, CSC, DGDR, DGEA, DGFCR, DGG, DGSV, DIMAG- OCC , DIMAG- OGC , DIMAG- OPPE, DL, DTIT, ENA, OACI, OAI, ODC, OFACC, OFI, OGA, OIR</t>
  </si>
  <si>
    <t>CENTA, DGDR, DGEA, DGSV, ENA</t>
  </si>
  <si>
    <t>08.01.01.15.00.</t>
  </si>
  <si>
    <t>Desarrollar el fortalecimiento institucional del CENTA a través de la implementación de acciones estratégicas</t>
  </si>
  <si>
    <t>Fortalecimiento del CENTA a través de la implementación de acciones estratégicas, desarrollado</t>
  </si>
  <si>
    <t>08.01.01.15.01.</t>
  </si>
  <si>
    <t>Desarrollar y fortalecer al  CENTA a través de la implementación de acciones estratégicas</t>
  </si>
  <si>
    <t>Actas de recepción, informes técnico - financieros</t>
  </si>
  <si>
    <t>08.03.00.00.00.</t>
  </si>
  <si>
    <t>CENDEPESCA, CENTA, DGDR, DGSV, DIMAG- OCC, DIMAG- OGC, DIMAG- OPPE, OACI, OFACC</t>
  </si>
  <si>
    <t>08.03.01.00.00.</t>
  </si>
  <si>
    <t>Mayor capacidad de toma de decisiones</t>
  </si>
  <si>
    <t>08.03.01.02.00.</t>
  </si>
  <si>
    <t>Desarrollar estrategias basadas en las necesidades y expectativas de la ciudadanía.</t>
  </si>
  <si>
    <t>Estrategia</t>
  </si>
  <si>
    <t>Estrategias basadas en las necesidades y expectativas del ciudadano, desarrolladas</t>
  </si>
  <si>
    <t>CENTA, DGDR, DIMAG- OCC, OFACC</t>
  </si>
  <si>
    <t>08.03.01.02.02.</t>
  </si>
  <si>
    <t>Asesorar al MAG/OPPE  para la aplicación de la  política nacional de juventud en el área rural</t>
  </si>
  <si>
    <t>Política</t>
  </si>
  <si>
    <t>Política Nacional de Juventud en el área rural, asesorada</t>
  </si>
  <si>
    <t>Meta no acumulada</t>
  </si>
  <si>
    <t>09.17.00.00.00</t>
  </si>
  <si>
    <t>Dirección General de Desarrollo Rural</t>
  </si>
  <si>
    <t>09.17.01.00.00</t>
  </si>
  <si>
    <t>Programa de transformación rural para el buen vivir - Rural Adelante</t>
  </si>
  <si>
    <t>09.17.01.01.00</t>
  </si>
  <si>
    <t>Coordinación en la implementación y seguimiento del Programa Rural Adelante</t>
  </si>
  <si>
    <t>09.17.01.01.08</t>
  </si>
  <si>
    <t>Desarrollar, equipar y ejecutar un Sistema de Información de mercados</t>
  </si>
  <si>
    <t xml:space="preserve">Sistema de Información de mercados, desarrollado </t>
  </si>
  <si>
    <t>09.17.01.01.13</t>
  </si>
  <si>
    <t>Realizar estudios legales, técnicos e institucionales sobre cadenas de valor.</t>
  </si>
  <si>
    <t>Estudios legales, técnicos e institucionales sobre cadenas de valor, realizados</t>
  </si>
  <si>
    <t>09.17.01.01.15</t>
  </si>
  <si>
    <t>Realizar consultoría para el seguimiento y evaluación de campo del Programa</t>
  </si>
  <si>
    <t>Informes consultoría para el seguimiento y evaluación de campo del Programa, realizados</t>
  </si>
  <si>
    <t>09.17.01.01.18</t>
  </si>
  <si>
    <t>Proporcionar seguimiento del programa</t>
  </si>
  <si>
    <t>Informes de coordinación y seguimiento del Programa, elaborados</t>
  </si>
  <si>
    <t>09.17.01.01.29</t>
  </si>
  <si>
    <t>Desarrollar eventos  nacionales para representantes de organizaciones de jóvenes, mujeres y población indígena</t>
  </si>
  <si>
    <t>Eventos nacionales para representantes de organizaciones de jóvenes, mujeres y población indígena, desarrollados</t>
  </si>
  <si>
    <t>09.17.01.01.32</t>
  </si>
  <si>
    <t>Fortalecer Mesa de Mujeres Rurales de Oriente</t>
  </si>
  <si>
    <t xml:space="preserve">Mesa de Mujeres Rurales de Oriente, fortalecida </t>
  </si>
  <si>
    <t>Informes técnicos</t>
  </si>
  <si>
    <t>09.17.01.01.33</t>
  </si>
  <si>
    <t>Desarrollar Diagnóstico de Pueblos Indígenas en la zona oriental del País</t>
  </si>
  <si>
    <t>Diagnóstico de Pueblos Indígenas en la zona oriental del País, desarrollado</t>
  </si>
  <si>
    <t>09.17.01.01.34</t>
  </si>
  <si>
    <t>Asesorar al MAG para implementar la Estrategia Sectorial de Adaptación al Cambio Climático</t>
  </si>
  <si>
    <t>Implementación de la Estrategia Sectorial de Adaptación al Cambio Climático, asesorada</t>
  </si>
  <si>
    <t>09.17.01.01.35</t>
  </si>
  <si>
    <t>Asesoría al MAG y MARN en la Estrategia Nacional y plan de acción de adaptación al Cambio Climático</t>
  </si>
  <si>
    <t>Asesoría Estrategia Nacional y plan de acción de adaptación al Cambio Climático, implementada</t>
  </si>
  <si>
    <t>09.17.01.01.37</t>
  </si>
  <si>
    <t>Diseñar y ejecutar eventos para el fortalecimiento de beneficiarios del Programa  en áreas prioritarias (cadenas agropecuarias, servicios financieros,  planes de negocio, producción, transformación, sistemas de acopio, comercialización, etc.)</t>
  </si>
  <si>
    <t>Eventos para el fortalecimiento de beneficiarios del Programa  en áreas prioritarias (cadenas agropecuarias, servicios financieros,  planes de negocio, producción, transformación, sistemas de acopio, comercialización, etc.), desarrollados</t>
  </si>
  <si>
    <t>09.17.01.01.38</t>
  </si>
  <si>
    <t>Disarrollar e implementar un mecanismo de coordinación de las mesas de las Cadenas</t>
  </si>
  <si>
    <t>Mecanismo de coordinación de mesa de cadena, diseñado e implementado</t>
  </si>
  <si>
    <t>09.17.01.01.39</t>
  </si>
  <si>
    <t>Fortalecer las capacidades de personal técnico de instituciones públicas y privadas</t>
  </si>
  <si>
    <t>Capacidades de personal técnico de instituciones públicas y privadas, fortalecidas</t>
  </si>
  <si>
    <t>09.17.01.01.40</t>
  </si>
  <si>
    <t>Asesorar a las organizaciones en la administración financiera de los recursos de coinversión</t>
  </si>
  <si>
    <t>Organización</t>
  </si>
  <si>
    <t>Organizaciones en la administración financiera de los recursos de coinversión, asesoradas</t>
  </si>
  <si>
    <t>informe técnico / financiero</t>
  </si>
  <si>
    <t>09.17.01.01.41</t>
  </si>
  <si>
    <t>Realizar ejercicios de rendición de cuentas y de intercambio de experiencias en organizaciones rurales</t>
  </si>
  <si>
    <t xml:space="preserve">Ejercicios de rendición de cuentas y de   intercambio de experiencias en organizaciones rurales, realizado </t>
  </si>
  <si>
    <t>09.17.01.01.43</t>
  </si>
  <si>
    <t>Realizar acciones de promoción de campo e institucional del Programa en la zona oriental</t>
  </si>
  <si>
    <t>Acciones de promoción de campo e institucional del Programa en la zona oriental, realizadas</t>
  </si>
  <si>
    <t>09.17.01.01.44</t>
  </si>
  <si>
    <t>Implementar Programa de Fortalecimiento Organizacional en organizaciones rurales</t>
  </si>
  <si>
    <t>Programa de Fortalecimiento Organizacional, implementado</t>
  </si>
  <si>
    <t>Informe técnico</t>
  </si>
  <si>
    <t>09.17.01.01.45</t>
  </si>
  <si>
    <t>Realizar consultoría para  verificar la implementación de las acciones de mitigación y adaptación al cambio climático financiadas</t>
  </si>
  <si>
    <t>Informes de consultoría para verificar la implementación de las acciones de mitigación y adaptación al cambio climático, realizados</t>
  </si>
  <si>
    <t>09.17.01.01.46</t>
  </si>
  <si>
    <t>Implementar  plan de formación de personas jóvenes y adultos para la provisión de servicios asociados a las cadenas de valor, con enfoque de sostenibilidad y adaptación y mitigación al cambio climático.</t>
  </si>
  <si>
    <t>Plan de formación de personas jóvenes y adultos para la provisión de servicios asociados a las cadenas de valor, con enfoque de sostenibilidad y adaptación y mitigación al cambio climático, implementado</t>
  </si>
  <si>
    <t>Plan de formación</t>
  </si>
  <si>
    <t>09.17.01.01.47</t>
  </si>
  <si>
    <t>Diseñar planes de cursos cortos con la ENA en producción y transformación, sistemas de acopio y comercialización, Encuentro de saberes indígenas y no indígenas sobre adaptación y mitigación al Cambio Climático</t>
  </si>
  <si>
    <t>Planes de cursos cortos con la ENA en producción y transformación, sistemas de acopio y comercialización, Encuentro de saberes indígenas y no indígenas sobre adaptación y mitigación al Cambio Climático, diseñados</t>
  </si>
  <si>
    <t>09.17.01.01.49</t>
  </si>
  <si>
    <t>Actualizar currícula de la ENA con adaptación a cambio climático</t>
  </si>
  <si>
    <t>Currícula</t>
  </si>
  <si>
    <t>Currícula de la ENA con adaptación a cambio climático, actualizada</t>
  </si>
  <si>
    <t>09.17.01.01.50</t>
  </si>
  <si>
    <t>Realizar consultoría para diseñar y ejecutar cursos a docentes de la ENA en adaptación y mitigación a cambio climático</t>
  </si>
  <si>
    <t>Informes de consultoría para diseñar y ejecutar cursos técnicos a docentes de la ENA en adaptación y mitigación a cambio climático, ejecutados</t>
  </si>
  <si>
    <t>09.17.01.01.51</t>
  </si>
  <si>
    <t>Realizar consultoría para elaboración de manual de género</t>
  </si>
  <si>
    <t>Manual</t>
  </si>
  <si>
    <t>Informes consultoría para elaboración de manual de género, realizado</t>
  </si>
  <si>
    <t>Manual de género</t>
  </si>
  <si>
    <t>09.17.01.01.52</t>
  </si>
  <si>
    <t>Apoyar los procesos de  legalización de grupos de interés y organizaciones</t>
  </si>
  <si>
    <t>Procesos de  legalización de grupos de interés y organizaciones, apoyados</t>
  </si>
  <si>
    <t>09.17.01.01.53</t>
  </si>
  <si>
    <t>Realización de ejercicio de autoevaluación del Programa</t>
  </si>
  <si>
    <t xml:space="preserve">Ejercicio de autoevaluación del Programa, realizado </t>
  </si>
  <si>
    <t>09.17.01.01.54</t>
  </si>
  <si>
    <t>Fortalecimiento del MAG/OPPS, en equipamiento prioritario para la implementación de las acciones del Plan de Rescate Agropecuario (Ruralización).</t>
  </si>
  <si>
    <t>Asesoría</t>
  </si>
  <si>
    <t>Unidad</t>
  </si>
  <si>
    <t>09.17.01.01.55</t>
  </si>
  <si>
    <t>Realizar consultoria para diseño de módulo climático y compra de equipos para transmisiòn de información climàtica a productores.</t>
  </si>
  <si>
    <t>Plan de consultoría para diseño de módulo climático y compra de equipos para transmisiòn de información climàtica a productores.</t>
  </si>
  <si>
    <t>Informe técnico, Plan</t>
  </si>
  <si>
    <t>09.17.01.01.56</t>
  </si>
  <si>
    <t>Realizar consultorías para aplicación de herramienta ambiental/social en planes de negocio y para la elaboración y presentación de formularios ambientales del MARN</t>
  </si>
  <si>
    <t>Formulario</t>
  </si>
  <si>
    <t>Formularios ambientales elaborados y presentados del MARN y aplicación de herramienta ambiental/social en planes de negocio</t>
  </si>
  <si>
    <t>Informe técnico, formularios</t>
  </si>
  <si>
    <t>09.17.01.01.57</t>
  </si>
  <si>
    <t>Desarrollar el fortalecimiento institucional de la Unidad Ambiental (UAS) del MAG a través de la entrega de equipo para el seguimiento a medidas ambientales del recomendadas por el MARN</t>
  </si>
  <si>
    <t>Equipo</t>
  </si>
  <si>
    <t>Fortalecimiento institucional de la Unidad Ambiental (UAS) del MAG, implementado</t>
  </si>
  <si>
    <t>Actas de entrega, informe</t>
  </si>
  <si>
    <t>09.17.01.01.58</t>
  </si>
  <si>
    <t>Realizar consultoria para realizar diagnóstico de mapeo de cadenas de valor apícola y acuícola</t>
  </si>
  <si>
    <t>Consultoria para realizar diagnóstico de mapeo de cadenas de valor apícola y acuícola</t>
  </si>
  <si>
    <t>Informe estudio final</t>
  </si>
  <si>
    <t>09.17.01.01.59</t>
  </si>
  <si>
    <t>Realizar consutoría para la elaboración de carpetas técnicas y supervisión de infrestructura aproproductiva</t>
  </si>
  <si>
    <t>Informes consultoría para la elaboración de carpetas técnicas y supervisión de infrestructura aproproductiva, realizado</t>
  </si>
  <si>
    <t>Contrato, informe</t>
  </si>
  <si>
    <t>09.17.02.00.00</t>
  </si>
  <si>
    <t>Programa desarrollo social integral para la zona del mozote y lugares aledaños</t>
  </si>
  <si>
    <t>09.17.02.01.00</t>
  </si>
  <si>
    <t>Coordinar la implementación y seguimiento del Programa El Mozote</t>
  </si>
  <si>
    <t>09.17.02.01.01</t>
  </si>
  <si>
    <t>Morazan</t>
  </si>
  <si>
    <t>09.17.03.00.00</t>
  </si>
  <si>
    <t>Programa de reparación de victimas de graves violaciones a los derechos humanos en el contexto del conflicto armado</t>
  </si>
  <si>
    <t>09.17.03.01.00</t>
  </si>
  <si>
    <t>Coordinar la implementación y seguimiento del Programa Victimas</t>
  </si>
  <si>
    <t>09.17.03.01.01</t>
  </si>
  <si>
    <t>San Vicente</t>
  </si>
  <si>
    <t>09.17.08.00.00</t>
  </si>
  <si>
    <t>Oficinas Central DGDR</t>
  </si>
  <si>
    <t>09.17.08.01.00</t>
  </si>
  <si>
    <t>Coordinar la implementación y seguimiento de los programas y proyectos de Desarrollo Rural</t>
  </si>
  <si>
    <t>09.17.08.01.01</t>
  </si>
  <si>
    <t>Proporcionar seguimiento de los programas y proyectos para el desarrollo rural</t>
  </si>
  <si>
    <t>Informes de seguimiento a los programas y proyectos para el Desarrollo Rural, elaborados</t>
  </si>
  <si>
    <t>Santa Tecla</t>
  </si>
  <si>
    <t>09.17.08.02.00</t>
  </si>
  <si>
    <t>Desarrollar la implementación de obras de Infraestructura agro productiva</t>
  </si>
  <si>
    <t>09.17.08.02.01</t>
  </si>
  <si>
    <t>Proporcionar seguimiento a las obras de Infraestructura agro productiva de los programas y proyectos del desarrollo rural</t>
  </si>
  <si>
    <t>Obra</t>
  </si>
  <si>
    <t>Informes de seguimiento de las obras de infraestructura agro productiva a los programas y proyectos para el Desarrollo Rural, elaborados</t>
  </si>
  <si>
    <t>09.17.08.03.00</t>
  </si>
  <si>
    <t>Elaborar Diseños en apoyo a la Infraestructura Agro productiva</t>
  </si>
  <si>
    <t>09.17.08.03.01</t>
  </si>
  <si>
    <t>Proporcionar seguimiento a los diseños de Infraestructura agro productiva de los programas y proyectos del desarrollo rural</t>
  </si>
  <si>
    <t>Informes de seguimiento de los diseños de infraestructura agro productiva de los programas y proyectos para el Desarrollo Rural, elaborados</t>
  </si>
  <si>
    <t>09.17.08.04.00</t>
  </si>
  <si>
    <t>Revisar y/o elaborar documentos legales de respaldo a los procesos de los planes, programas y proyectos de la DGDR</t>
  </si>
  <si>
    <t>09.17.08.04.01</t>
  </si>
  <si>
    <t>Proporcionar seguimiento a los documentos legales de los planes programas y proyectos de la DGDR</t>
  </si>
  <si>
    <t>Informes de seguimiento de los documentos legales de los programas y proyectos para el Desarrollo Rural, elaborados</t>
  </si>
  <si>
    <t>09.17.10.00.00</t>
  </si>
  <si>
    <t>Plan de agricultura familiar y emprendedurismo rural</t>
  </si>
  <si>
    <t>09.17.10.01.00</t>
  </si>
  <si>
    <t>Coordinar la implementación y seguimiento del Plan de agricultura familiar y emprendedurismo rural</t>
  </si>
  <si>
    <t>09.17.10.01.01</t>
  </si>
  <si>
    <t>Proporcionar seguimiento del Plan de agricultura familiar y emprendedurismo rural</t>
  </si>
  <si>
    <t>Informes de coordinación y seguimiento del Plan, elaborados</t>
  </si>
  <si>
    <t>Zona Occidental, Central y Paracentral</t>
  </si>
  <si>
    <t>TOTAL</t>
  </si>
  <si>
    <t>Dirección / Oficina: Dirección General de Economía Agropecuaria  (DGEA)</t>
  </si>
  <si>
    <t>Costo
Porcentual</t>
  </si>
  <si>
    <t>Peso
ponderado
Resultado</t>
  </si>
  <si>
    <t>Peso
Ponderado
Acción</t>
  </si>
  <si>
    <t>Coop.
Tec
 Inter
FANTEL</t>
  </si>
  <si>
    <t>Otros</t>
  </si>
  <si>
    <t>DGEA</t>
  </si>
  <si>
    <t>01.01.03.00.00.</t>
  </si>
  <si>
    <t>Mayor volumen de productos y subproductos  de Granos Básicos comercializados</t>
  </si>
  <si>
    <t>01.01.03.02.00.</t>
  </si>
  <si>
    <t>Crear un sistema de divulgación de información estratégica nacional, regional e internacional de granos básicos, donde el agricultor o agro – empresario pueda conocer en tiempo real información y estadísticas relacionadas a: precios, oferta, demanda, sanidad, acceso al mercado e inocuidad.</t>
  </si>
  <si>
    <t xml:space="preserve">Sección </t>
  </si>
  <si>
    <t>Sección de la encuesta de producción agropecuaria, actualizada</t>
  </si>
  <si>
    <t>01.01.03.02.02.</t>
  </si>
  <si>
    <t>Actualizar sección de granos básicos de la Encuesta Nacional Agropecuaria de Propósitos Múltiples</t>
  </si>
  <si>
    <t xml:space="preserve">Registro </t>
  </si>
  <si>
    <t>NACIONAL</t>
  </si>
  <si>
    <t>DGEA estadísticas</t>
  </si>
  <si>
    <t>01.01.03.02.03.</t>
  </si>
  <si>
    <t>Mejorar sección de granos básicos de la Encuesta de Precios al Productor</t>
  </si>
  <si>
    <t>Sección de la encuesta de precios al productor, ejecutada</t>
  </si>
  <si>
    <t>01.01.08.00.00.</t>
  </si>
  <si>
    <t>Mayor volumen de Frutas y hortalizas comercializado</t>
  </si>
  <si>
    <t>01.01.08.01.00.</t>
  </si>
  <si>
    <t>Generar y divulgar información relativa a mercado, precios, productos y oferta disponible</t>
  </si>
  <si>
    <t>01.01.08.01.02.</t>
  </si>
  <si>
    <t>Actualizar sección de frutas y hortalizas de la Encuesta Nacional Agropecuaria de Propósitos Múltiples</t>
  </si>
  <si>
    <t>01.01.08.01.03.</t>
  </si>
  <si>
    <t>Mejorar sección de frutas y hortalizas de la Encuesta de Precios al Productor</t>
  </si>
  <si>
    <t>01.01.08.04.00.</t>
  </si>
  <si>
    <t>Identificar el mercado potencial haciendo énfasis a los mercados locales</t>
  </si>
  <si>
    <t>Documento de inteligencia de mercado, elaborado</t>
  </si>
  <si>
    <t>Documento de inteligencia de mercado</t>
  </si>
  <si>
    <t>01.01.08.04.01.</t>
  </si>
  <si>
    <t>Elaborar documentos de inteligencia de mercado de frutas y hortalizas para orientación de los productores</t>
  </si>
  <si>
    <t>Nacional</t>
  </si>
  <si>
    <t>DGEA agronegocios</t>
  </si>
  <si>
    <t>01.01.08.05.00.</t>
  </si>
  <si>
    <t>Fomentar el consumo nacional de frutas y hortalizas.</t>
  </si>
  <si>
    <t>Evento de promoción de consumo de frutas y hortalizas, realizado</t>
  </si>
  <si>
    <t>Informe de evento de promoción</t>
  </si>
  <si>
    <t>01.01.08.05.01.</t>
  </si>
  <si>
    <t>Realizar eventos para promover el consumo de frutas y hortalizas</t>
  </si>
  <si>
    <t>01.01.08.06.00.</t>
  </si>
  <si>
    <t>Promover mecanismos e instrumentos de comercialización para mejorar la vinculación de los productores de fruta y hortalizas frescas y procesadas a los mercados internos.</t>
  </si>
  <si>
    <t>Ruedas de negocios entre  productores de frutas y hortalizas con potenciales compradores, realizada</t>
  </si>
  <si>
    <t>Informe de la reunión</t>
  </si>
  <si>
    <t>01.01.08.06.01.</t>
  </si>
  <si>
    <t>Desarrollar ruedas de negocios entre  productores de frutas y hortalizas con potenciales compradores</t>
  </si>
  <si>
    <t>01.01.08.07.00.</t>
  </si>
  <si>
    <t>Fomentar y ampliar compras estatales a productores nacionales para programas de alimentación escolar y provisión de suministros a otras instituciones nacionales como centros penitenciarios, hospitales nacionales, fuerza armada, entre otras, a fin de fortalecer el mercado interno y la sustitución de importaciones.</t>
  </si>
  <si>
    <t>Reuniones de articulación  de la producción frutas y hortalizas las compras gubernamentales, realizadas</t>
  </si>
  <si>
    <t>01.01.08.07.01.</t>
  </si>
  <si>
    <t>Realizar reuniones de articulación  de la producción frutas y hortalizas las compras gubernamentales</t>
  </si>
  <si>
    <t>01.01.09.00.00.</t>
  </si>
  <si>
    <t>Mayor sinergia o complementariedad en la ejecución de acciones para el subsector de  Frutas y hortalizas</t>
  </si>
  <si>
    <t>01.01.09.01.00.</t>
  </si>
  <si>
    <t>Fomentar las alianzas estratégicas para la comercialización por medio de ferias, ruedas de negocios, entre otros.</t>
  </si>
  <si>
    <t>Evento de promoción para la comercialización de frutas y hortalizas, realizado</t>
  </si>
  <si>
    <t>01.01.09.01.01.</t>
  </si>
  <si>
    <t>Realizar eventos para promover la comercialización de frutas y hortalizas</t>
  </si>
  <si>
    <t>01.01.13.00.00.</t>
  </si>
  <si>
    <t>Mayor volumen de productos y subproductos de la Ganadería Bovina comercializado</t>
  </si>
  <si>
    <t>01.01.13.01.00.</t>
  </si>
  <si>
    <t>Implementar un Sistema de información que genere la actualización y análisis de datos estadísticos e indicadores de medición para la toma oportuna de decisiones en el subsector bovino.</t>
  </si>
  <si>
    <t>Plataforma</t>
  </si>
  <si>
    <t>Plataforma informática, implementada</t>
  </si>
  <si>
    <t>Pagina WEB, funcionando</t>
  </si>
  <si>
    <t>01.01.13.01.01.</t>
  </si>
  <si>
    <t>Actualizar sección pecuaria de la Encuesta Nacional Agropecuaria de Propósitos Múltiples</t>
  </si>
  <si>
    <t>sección de la encuesta de producción agropecuaria, actualizada</t>
  </si>
  <si>
    <t>01.01.13.01.02.</t>
  </si>
  <si>
    <t>Mejorar sección pecuario de la Encuesta de Precios al Productor</t>
  </si>
  <si>
    <t>01.01.15.00.00.</t>
  </si>
  <si>
    <t>Organizaciones de  productores de Ganadería Bovina con mayor capacidad organizacional y empresarial</t>
  </si>
  <si>
    <t>01.01.15.03.00.</t>
  </si>
  <si>
    <t xml:space="preserve">Fortalecer las capacidades de empresarialidad de las organizaciones del sector ganadera </t>
  </si>
  <si>
    <t>Organización de productores ganaderos, atendidos</t>
  </si>
  <si>
    <t>01.01.15.03.01.</t>
  </si>
  <si>
    <t>Capacitar representantes de organizaciones del sector ganadero, en empresarialidad</t>
  </si>
  <si>
    <t>01.01.18.00.00.</t>
  </si>
  <si>
    <t>Mayor volumen de productos y subproductos Porcinos comercializado</t>
  </si>
  <si>
    <t>01.01.18.01.00.</t>
  </si>
  <si>
    <t>Implementar un Sistema de información que genere la actualización y análisis de datos estadísticos e indicadores de medición para la toma oportuna de decisiones en el subsector porcino.</t>
  </si>
  <si>
    <t>01.01.18.01.01.</t>
  </si>
  <si>
    <t>Actualizar sección pecuaria de ganado porcino, de la Encuesta Nacional Agropecuaria de Propósitos Múltiples</t>
  </si>
  <si>
    <t>01.01.18.01.02.</t>
  </si>
  <si>
    <t>Mejorar sección pecuario de ganado porcino, de la Encuesta de Precios al Productor</t>
  </si>
  <si>
    <t>01.01.18.02.00.</t>
  </si>
  <si>
    <t>Implementar a nivel nacional una Campaña para el Consumo de Carne de Cerdo.</t>
  </si>
  <si>
    <t>Evento de promoción de consumo de carne de cerdo, realizado</t>
  </si>
  <si>
    <t>01.01.18.02.01.</t>
  </si>
  <si>
    <t>Realizar eventos para promover el consumo de carne de cerdo</t>
  </si>
  <si>
    <t>01.01.21.00.00.</t>
  </si>
  <si>
    <t>Mayor volumen de productos y subproductos Avícolas comercializado</t>
  </si>
  <si>
    <t>01.01.21.01.00.</t>
  </si>
  <si>
    <t>Implementar un Sistema de información que genere la actualización y análisis de datos estadísticos e indicadores de medición para la toma oportuna de decisiones en el subsector avícola.</t>
  </si>
  <si>
    <t>01.01.21.01.01.</t>
  </si>
  <si>
    <t>Actualizar sección pecuaria de avicultura, de la Encuesta Nacional Agropecuaria de Propósitos Múltiples</t>
  </si>
  <si>
    <t>01.01.21.01.02.</t>
  </si>
  <si>
    <t>Mejorar sección pecuario de avicultura, de la Encuesta de Precios al Productor</t>
  </si>
  <si>
    <t>01.01.21.04.00.</t>
  </si>
  <si>
    <t>Apoyar la campaña de consumo de productos avícolas nacionales.</t>
  </si>
  <si>
    <t>Evento de promoción de consumo de productos avícolas, realizado</t>
  </si>
  <si>
    <t>01.01.21.04.01.</t>
  </si>
  <si>
    <t>Realizar eventos para promover el consumo de productos avícolas</t>
  </si>
  <si>
    <t>01.01.25.00.00.</t>
  </si>
  <si>
    <t>Mayor volumen de productos y subproductos de la miel comercializado</t>
  </si>
  <si>
    <t>01.01.25.01.00.</t>
  </si>
  <si>
    <t>Implementar un Sistema de información que genere la actualización y análisis de datos estadísticos e indicadores de medición para la toma oportuna de decisiones en el subsector apícola.</t>
  </si>
  <si>
    <t>01.01.25.01.01.</t>
  </si>
  <si>
    <t>Actualizar sección apicultura, de la Encuesta Nacional Agropecuaria de Propósitos Múltiples</t>
  </si>
  <si>
    <t>01.01.25.01.02.</t>
  </si>
  <si>
    <t>Mejorar sección apicultura, de la Encuesta de Precios al Productor</t>
  </si>
  <si>
    <t>01.01.25.02.00.</t>
  </si>
  <si>
    <t>Promocionar el consumo de la miel, sus derivados y otros productos de la colmena, de forma articulada con diferentes instituciones gubernamentales y no gubernamentales.</t>
  </si>
  <si>
    <t>Evento de promoción de consumo de productos  de la miel, sus derivados y otros productos de la colmena, realizado</t>
  </si>
  <si>
    <t>01.01.25.02.01.</t>
  </si>
  <si>
    <t>Realizar eventos para promover el consumo  de la miel, sus derivados y otros productos de la colmena</t>
  </si>
  <si>
    <t>Estas metas, apoyarán los Programas de Gobierno:
Programa de Desarrollo de la Zona de El Mozote y Lugares Aledaños.
Programa de Reparaciones a las Victimas de Graves Violaciones a los Derechos Humanos en el Contexto del Conflicto Armado.</t>
  </si>
  <si>
    <t>01.01.25.03.00.</t>
  </si>
  <si>
    <t>Fomentar  compras institucionales de productos y subproductos apícolas.</t>
  </si>
  <si>
    <t>Oferta apícola a las compras gubernamentales, articulada</t>
  </si>
  <si>
    <t>Informe de articulación</t>
  </si>
  <si>
    <t>01.01.25.03.01.</t>
  </si>
  <si>
    <t>Articular la producción apícola a las compras gubernamentales</t>
  </si>
  <si>
    <t>01.01.27.01.00.</t>
  </si>
  <si>
    <t>Fortalecer las capacidades de empresarialidad de las organizaciones del sector apícola</t>
  </si>
  <si>
    <t>Organización de productores apícolas, atendidos</t>
  </si>
  <si>
    <t>01.01.27.01.01.</t>
  </si>
  <si>
    <t>Capacitar representantes de organizaciones del sector apícola, en empresarialidad</t>
  </si>
  <si>
    <t xml:space="preserve">DGEA agronegocios </t>
  </si>
  <si>
    <t>01.01.30.03.02.</t>
  </si>
  <si>
    <t xml:space="preserve">Divulgar información para la promoción de productos acuícolas y pesqueros de origen nacional </t>
  </si>
  <si>
    <t xml:space="preserve">Evento, realizado </t>
  </si>
  <si>
    <t>01.01.32.03.00.</t>
  </si>
  <si>
    <t>Fortalecer las capacidades de empresarialidad de las organizaciones del sector acuícola</t>
  </si>
  <si>
    <t>Organización de productores acuícolas, atendidos</t>
  </si>
  <si>
    <t>01.01.32.03.01.</t>
  </si>
  <si>
    <t>Capacitar representantes de organizaciones del sector acuícola, en empresarialidad</t>
  </si>
  <si>
    <t>01.02.03.01.00.</t>
  </si>
  <si>
    <t>Establecer un sistema estadístico de información integrado del café.</t>
  </si>
  <si>
    <t>Sistema informático integrado de información de estadísticas cafetaleras, desarrollado</t>
  </si>
  <si>
    <t>01.02.03.01.02.</t>
  </si>
  <si>
    <t>Actualizar sección café de la Encuesta Nacional Agropecuaria de Propósitos Múltiples</t>
  </si>
  <si>
    <t>01.03.00.00.00.</t>
  </si>
  <si>
    <t>Línea 3.Fortalecimiento del desarrollo sustentable de la caña de azúcar</t>
  </si>
  <si>
    <t>01.03.02.00.00.</t>
  </si>
  <si>
    <t>Mayor volumen de Caña de azúcar comercializado</t>
  </si>
  <si>
    <t>01.03.02.01.00.</t>
  </si>
  <si>
    <t>Crear un sistema de información agropecuaria integrada, que contenga temas de estadísticas, geo localización, monitoreo medioambiental, uso de suelos, etc. basado en el uso de la tecnología.</t>
  </si>
  <si>
    <t>01.03.02.01.02.</t>
  </si>
  <si>
    <t>Actualizar sección caña de azúcar de la Encuesta Nacional Agropecuaria de Propósitos Múltiples</t>
  </si>
  <si>
    <t>01.04.03.00.00.</t>
  </si>
  <si>
    <t>Mayor volumen de Cacao comercializado</t>
  </si>
  <si>
    <t>01.04.03.01.00.</t>
  </si>
  <si>
    <t>Crear un sistema de información estadística del cacao en El Salvador.</t>
  </si>
  <si>
    <t>01.04.03.01.02.</t>
  </si>
  <si>
    <t>Actualizar sección cacao de la Encuesta Nacional Agropecuaria de Propósitos Múltiples</t>
  </si>
  <si>
    <t>01.05.00.00.00.</t>
  </si>
  <si>
    <t>Línea 5. Desarrollo Sostenible Forestal</t>
  </si>
  <si>
    <t>01.05.03.00.00.</t>
  </si>
  <si>
    <t>Mayor información para la toma de decisiones del subsector Forestal</t>
  </si>
  <si>
    <t>01.05.03.01.00.</t>
  </si>
  <si>
    <t>Organizar y actualizar el sistema de información forestal en su generación, clasificación, recopilación y procesamiento de la información para la toma de decisiones del sector en la cadena forestal productiva.</t>
  </si>
  <si>
    <t>Reporte</t>
  </si>
  <si>
    <t>Sistema  de Información forestal, actualizado</t>
  </si>
  <si>
    <t>01.05.03.01.06.</t>
  </si>
  <si>
    <t>Actualizar sección forestal de la Encuesta Nacional Agropecuaria de Propósitos Múltiples</t>
  </si>
  <si>
    <t>02.01.00.00.00.</t>
  </si>
  <si>
    <t xml:space="preserve">Línea 1:Entrega eficaz de insumos agropecuarios  </t>
  </si>
  <si>
    <t>02.01.01.00.00.</t>
  </si>
  <si>
    <t>incremento de la disponibilidad de alimentos</t>
  </si>
  <si>
    <t>02.01.01.05.00.</t>
  </si>
  <si>
    <t>Mejorar el Programa de Entrega de Paquetes de Semilla, especialmente para maíz blanco y frijol, complementando con el acompañamiento técnico de CENTA y la facilitación crediticia a través del BFA.</t>
  </si>
  <si>
    <t>Paquete</t>
  </si>
  <si>
    <t>Paquete de semilla, entregado</t>
  </si>
  <si>
    <t>02.01.01.05.01.</t>
  </si>
  <si>
    <t xml:space="preserve">Entregar paquetes de semilla de maíz </t>
  </si>
  <si>
    <t>DGEA abastecimiento</t>
  </si>
  <si>
    <t xml:space="preserve">Existió error de digitación en las metas físicas en los reportes mensuales del POA, corregir a las actuales que corresponden con el Registro del Sistema de Subsidio Agrícola. </t>
  </si>
  <si>
    <t>02.01.01.05.02.</t>
  </si>
  <si>
    <t>Entregar paquetes de semilla de  frijol</t>
  </si>
  <si>
    <t>Paquete de semilla de frijol, entregado</t>
  </si>
  <si>
    <t xml:space="preserve">Por falta de seguimiento se omitió el reporte mensual en septiembre de la entrega de frijol, la cual se reportará acumulada en octubre. </t>
  </si>
  <si>
    <t>02.01.01.05.05.</t>
  </si>
  <si>
    <t>Entregar paquetes de fertilizante para maíz</t>
  </si>
  <si>
    <t>Paquete de fertilizante, entregado</t>
  </si>
  <si>
    <t>02.01.01.05.06.</t>
  </si>
  <si>
    <t>Depurar el padron de beneficiarios</t>
  </si>
  <si>
    <t>Padrón</t>
  </si>
  <si>
    <t>Padrón depurado</t>
  </si>
  <si>
    <t>02.01.01.05.07.</t>
  </si>
  <si>
    <t>Elaborar Informe de actividades de entrega de paquetes</t>
  </si>
  <si>
    <t>02.01.01.05.08.</t>
  </si>
  <si>
    <t>Entregar paquetes de foliar para semilla de frijol</t>
  </si>
  <si>
    <t>Paquete de foliar, entregado.</t>
  </si>
  <si>
    <t>03.04.00.00.00.</t>
  </si>
  <si>
    <t>Línea 4.Gestión de riesgos ambientales</t>
  </si>
  <si>
    <t>03.04.01.00.00.</t>
  </si>
  <si>
    <t>Mayor capacidad de gestión de riesgos ambientales</t>
  </si>
  <si>
    <t>03.04.01.03.00.</t>
  </si>
  <si>
    <t>Fortalecer el programa de encuesta de daños por eventos climáticos</t>
  </si>
  <si>
    <t>Encuesta</t>
  </si>
  <si>
    <t>Encuesta de evaluación de daños, realizada</t>
  </si>
  <si>
    <t>Informe de encuesta</t>
  </si>
  <si>
    <t>03.04.01.03.01.</t>
  </si>
  <si>
    <t>Ejecutar Encuesta de evaluaciones de daños por eventos climáticos</t>
  </si>
  <si>
    <t>04.00.00.00.00.</t>
  </si>
  <si>
    <t>Eje 4: Transformación Agraria</t>
  </si>
  <si>
    <t>04.02.00.00.00.</t>
  </si>
  <si>
    <t>Línea 2.Transferencia y legalización de tierras</t>
  </si>
  <si>
    <t>04.02.01.00.00.</t>
  </si>
  <si>
    <t>Legalización de la tenencia de la tierra</t>
  </si>
  <si>
    <t>04.02.01.01.00.</t>
  </si>
  <si>
    <t>Legalizar la tenencia de la tierra para usos agropecuarios.</t>
  </si>
  <si>
    <t>Escritura</t>
  </si>
  <si>
    <t>Escritura individual, elaborada</t>
  </si>
  <si>
    <t xml:space="preserve">Escritura individual </t>
  </si>
  <si>
    <t>04.02.01.01.01.</t>
  </si>
  <si>
    <t>Realizar inspección para dictaminar concepto dinámico de cabida y que no se afecte la unidad de la estructura productiva</t>
  </si>
  <si>
    <t>Visita</t>
  </si>
  <si>
    <t>Visitas de inspecciones, realizadas</t>
  </si>
  <si>
    <t>Dictámenes jurídicos</t>
  </si>
  <si>
    <t>DGEA asociaciones agropecuarias.</t>
  </si>
  <si>
    <t>04.02.01.01.02.</t>
  </si>
  <si>
    <t>Supervisar Asamblea para tomar acuerdo de transferencia y Asamblea para rifa o asignación de lotes agrícolas y solares de vivienda</t>
  </si>
  <si>
    <t>Supervisión</t>
  </si>
  <si>
    <t>Supervisión de asambleas, realizadas</t>
  </si>
  <si>
    <t>Informes jurídicos</t>
  </si>
  <si>
    <t>Eje 7: Financiamiento e Inversión</t>
  </si>
  <si>
    <t>07.03.01.01.00.</t>
  </si>
  <si>
    <t>Gestionar mejores condiciones de financiamiento, para la reconversión y modernización del sector agropecuario</t>
  </si>
  <si>
    <t>Propuesta</t>
  </si>
  <si>
    <t>Propuesta, elaborada</t>
  </si>
  <si>
    <t>07.03.01.01.02.</t>
  </si>
  <si>
    <t>Apoyar la promoción de  líneas de crédito disponibles del BFA.</t>
  </si>
  <si>
    <t>Evento de promoción, realizado</t>
  </si>
  <si>
    <t>07.03.01.06.00.</t>
  </si>
  <si>
    <t>Impulsar el uso de un seguro destinado a suplir cualquier pérdida en que incurra el sector agropecuario, ya sea de animales o de infraestructura productiva.</t>
  </si>
  <si>
    <t>Eventos de promoción, realizado</t>
  </si>
  <si>
    <t>07.03.01.06.01.</t>
  </si>
  <si>
    <t>Apoyar la promoción del uso del seguro paramétrico produce- seguro disponibles de crédito del BFA.</t>
  </si>
  <si>
    <t>07.03.01.07.00.</t>
  </si>
  <si>
    <t>Mejorar el acceso de fondos de garantía dirigida a pequeños y medianos productores agropecuarios para el acceso al crédito.</t>
  </si>
  <si>
    <t>Informe de seguimiento de gestión con BANDESAL para las condiciones y cobertura de los fondos FSG, realizado</t>
  </si>
  <si>
    <t>Informe de seguimiento</t>
  </si>
  <si>
    <t>07.03.01.07.02.</t>
  </si>
  <si>
    <t>Apoyar la promoción del uso del garantías para créditos disponibles en el BFA.</t>
  </si>
  <si>
    <t>09.12.00.00.00</t>
  </si>
  <si>
    <t>Dirección General de Economía Agropecuaria</t>
  </si>
  <si>
    <t>09.12.01.00.00</t>
  </si>
  <si>
    <t>División de Asociaciones Agropecuaria</t>
  </si>
  <si>
    <t>09.12.01.01.00</t>
  </si>
  <si>
    <t>Organizar, legalizar, supervisar y fortalecer a las organizaciones en proceso de formación y  a las legalmente inscritas en el departamento de asociaciones agropecuarias.</t>
  </si>
  <si>
    <t>09.12.01.01.01</t>
  </si>
  <si>
    <t>Promover y Organizar a los agricultores para el reconocimiento oficial para la obtención de personería jurídica</t>
  </si>
  <si>
    <t>Organización de productores, asesorada.</t>
  </si>
  <si>
    <t>Registro DGEA</t>
  </si>
  <si>
    <t>LIC. CARLOS HURTADO
JEFE DIVISION DE ASOCIACIONES AGROPECUARIAS</t>
  </si>
  <si>
    <t>09.12.01.01.02</t>
  </si>
  <si>
    <t>Otorgar personería jurídica de Asociaciones Cooperativas de producción agropecuaria, pesquera y demás similares que desarrollan actividades agropecuarias.</t>
  </si>
  <si>
    <t>Asociaciones  Cooperativas y Asociaciones Agropecuarias, inscritas.</t>
  </si>
  <si>
    <t>09.12.01.01.03</t>
  </si>
  <si>
    <t>Supervisar asambleas generales ordinarias y extraordinarias para la emisión, certificación y legalización de documentos</t>
  </si>
  <si>
    <t>09.12.01.01.04</t>
  </si>
  <si>
    <t>Brindar asesoría administrativa, financiera , legal y atención de denuncias</t>
  </si>
  <si>
    <t>09.12.01.01.05</t>
  </si>
  <si>
    <t xml:space="preserve">Capacitar a asociados en aspectos administrativos, financieros y legales. </t>
  </si>
  <si>
    <t>Evento de capacitación, realizado</t>
  </si>
  <si>
    <t>09.12.01.01.06</t>
  </si>
  <si>
    <t>Actualizar  el escaneo de los expedientes de las Asociaciones Cooperativas del sector reformado</t>
  </si>
  <si>
    <t>Actividad de escaneo, realizada</t>
  </si>
  <si>
    <t>Meta eliminada</t>
  </si>
  <si>
    <t>09.12.01.01.07</t>
  </si>
  <si>
    <t>Elaboración de informe de seguimiento del proyecto "FORTALECIMIENTO A LAS COOPERATIVAS DEL SECTOR REFORMADO Y OTRAS ASOCIACIONES DE PRODUCTORES". Financiado por la FAO</t>
  </si>
  <si>
    <t>09.12.02.00.00</t>
  </si>
  <si>
    <t>División de estadísticas Agropecuaria</t>
  </si>
  <si>
    <t>09.12.02.01.00</t>
  </si>
  <si>
    <t>Generar y difundir información estadística de producción y de mercados de principales rubros agropecuarios.</t>
  </si>
  <si>
    <t>09.12.02.01.01</t>
  </si>
  <si>
    <t>Ejecutar encuestas anuales para la generación de Información estadística del sector agropecuario</t>
  </si>
  <si>
    <t>Encuesta de Producción Agropecuaria, ejecutada</t>
  </si>
  <si>
    <t>Bases de datos</t>
  </si>
  <si>
    <t>DIVISION DE ESTADISTICAS AGROPECUARIAS
Ing. Francisco Marquez Parada</t>
  </si>
  <si>
    <t>Ejecución de encuestas:
1) Expectativas de Siembra 2021/22. 
2) Encuestas de daños a demanda año   2021.
3) Costos de Producción 2021/22.  
4) Precios al Productor  en Finca y   
Monitoreo de Cultivos 2021.  
5) ENAPM 2021/22</t>
  </si>
  <si>
    <t>09.12.02.01.02</t>
  </si>
  <si>
    <t>Elaborar y difundir documentos con información Estadística Agropecuaria</t>
  </si>
  <si>
    <t>Documento, elaborado</t>
  </si>
  <si>
    <t>Elaboración de Costos de Producción 2020/21. 
Elaboración Guía de precios de Insumos Agropecuarios 2021.
Elaboración de Anuario de Estadísticas Agropecuarias 2020/21.</t>
  </si>
  <si>
    <t>09.12.02.01.03</t>
  </si>
  <si>
    <t>Elaborar mapas temáticos para uso de usuarios</t>
  </si>
  <si>
    <t>Mapa</t>
  </si>
  <si>
    <t>Mapa temático, elaborado.</t>
  </si>
  <si>
    <t>Registros de elaboración de mapas</t>
  </si>
  <si>
    <t>Impresión de mapas para la base cartográfica de segmentos geográficos de las encuestas, y mapas temáticos a demanda de usuarios.</t>
  </si>
  <si>
    <t>09.12.02.01.04</t>
  </si>
  <si>
    <t>Elaborar información de precios de mercados de diferentes rubros y plazas a nivel nacional.</t>
  </si>
  <si>
    <t>Informe de mercado, elaborado</t>
  </si>
  <si>
    <t>Elaboración de informes del proceso para la generación de información estadísticas de precios de productos e insumos agropecuarios.</t>
  </si>
  <si>
    <t>09.12.03.00.00</t>
  </si>
  <si>
    <t>División de Agronegocios</t>
  </si>
  <si>
    <t>09.12.03.01.00</t>
  </si>
  <si>
    <t>Vincular directamente a los productores con el mercado, promoción de productos agropecuarios y suministro de información de mercado.</t>
  </si>
  <si>
    <t>09.12.03.01.01</t>
  </si>
  <si>
    <t>Elaborar  documento de información y tendencias de mercado</t>
  </si>
  <si>
    <t>Perfil con información de inteligencia de mercados, elaborado</t>
  </si>
  <si>
    <t xml:space="preserve">DEPARTAMENTO DE INTELIGENCIA DE MERCADOS
Carlos Guzmán y Cesar Quintanilla
</t>
  </si>
  <si>
    <t>Boletín</t>
  </si>
  <si>
    <t>Boletín con información de inteligencia de mercados, elaborado</t>
  </si>
  <si>
    <t xml:space="preserve">Documento de oferta exportable </t>
  </si>
  <si>
    <t>09.12.03.01.02</t>
  </si>
  <si>
    <t>Realizar eventos de Comercialización (agro mercados)</t>
  </si>
  <si>
    <t>Eventos de comercialización, realizados</t>
  </si>
  <si>
    <t>Registro de ventas por cada evento</t>
  </si>
  <si>
    <t>ACCESO A MERCADO
Guadalupe Navarrete y equipo de Agronegocios</t>
  </si>
  <si>
    <t>09.12.03.01.03</t>
  </si>
  <si>
    <t>Vinculación de productores al mercado.</t>
  </si>
  <si>
    <t>Informe realizado</t>
  </si>
  <si>
    <t>Informe de vinculación realizado.</t>
  </si>
  <si>
    <t>09.12.03.01.04</t>
  </si>
  <si>
    <t>Actualizar el directorio de proveedores y compradores agropecuarios</t>
  </si>
  <si>
    <t>Actualización</t>
  </si>
  <si>
    <t>Directorio de Red de proveedores y compradores, actualizada</t>
  </si>
  <si>
    <t>Directorio de proveedores y compradores</t>
  </si>
  <si>
    <t xml:space="preserve">DEPARTAMENTO DE ACCESO A MERCADO
Mayra Montano y David Escalante 
</t>
  </si>
  <si>
    <t>09.12.03.01.05</t>
  </si>
  <si>
    <t>Asesorar  Asociaciones  en comercialización y desarrollo agro empresarial</t>
  </si>
  <si>
    <t>Asociaciones y Organizaciones de productores, asesorados</t>
  </si>
  <si>
    <t>Informes  de asesoría</t>
  </si>
  <si>
    <t xml:space="preserve">DEPARTAMENTO DE DESARROLLO EMPRESARIAL Jessica González y Equipo 
</t>
  </si>
  <si>
    <t>Productores y productoras, asesorados</t>
  </si>
  <si>
    <t>Informe de asesorías</t>
  </si>
  <si>
    <t>09.12.03.01.08</t>
  </si>
  <si>
    <t xml:space="preserve">Elaborar  Documentos sobre Gestión Agro empresarial </t>
  </si>
  <si>
    <t>Documentos sobre Gestión Agro empresarial, elaborado.</t>
  </si>
  <si>
    <t>Documentos de Gestión Agro empresarial .</t>
  </si>
  <si>
    <t xml:space="preserve">DEPARTAMENTO DE DESARROLLO EMPRESARIAL
Jessica González,  Carlos Guamán, Cesar Quintanilla
</t>
  </si>
  <si>
    <t>09.12.03.01.07</t>
  </si>
  <si>
    <t>Coordinar la mesa técnica de Central de Abastos a fin de obtener del Despacho Ministerial la decisión del terreno para el diseño de la Central de Abastos y de esa forma gestionar el financiamiento del mismo.</t>
  </si>
  <si>
    <t>Informe de actividades de la mesa técnica y gestión de financiamiento, elaborado</t>
  </si>
  <si>
    <t>Beatriz Alegría y Carlos Guzmán</t>
  </si>
  <si>
    <t>Formulación y gestión de financiamiento del Proyecto de Fomento a la Producción, certificación y comercialización de productos orgánicos.</t>
  </si>
  <si>
    <t xml:space="preserve">Documento de proyecto, elaborado </t>
  </si>
  <si>
    <t>Documento elaborado</t>
  </si>
  <si>
    <t xml:space="preserve">Licda. Alegría y Guadalupe Navarrete </t>
  </si>
  <si>
    <t xml:space="preserve">Documento de gestión de financiamiento, elaborado </t>
  </si>
  <si>
    <t xml:space="preserve">Beatriz  Alegría y Guadalupe Navarrete </t>
  </si>
  <si>
    <t>09.12.04.00.00</t>
  </si>
  <si>
    <t>División de Abastecimiento</t>
  </si>
  <si>
    <t>09.12.04.01.00</t>
  </si>
  <si>
    <t>Entrega de insumos agrícolas para la producción de Hortalizas en apoyo al  Proyecto “Fomento a la Reactivación y Producción Agrícola para la Seguridad y Soberanía Alimentaria de El Salvador”, a través de una transferencia de fondos.</t>
  </si>
  <si>
    <t>09.12.04.01.01</t>
  </si>
  <si>
    <t>Adquisicion y entrega de plantines de tomate, a productores beneficiarios del proyecto.</t>
  </si>
  <si>
    <t>Plantines</t>
  </si>
  <si>
    <t>Plantines de tomate, para ser entregados, a productores beneficiarios del proyecto adquiridos.</t>
  </si>
  <si>
    <t>Informe de entrega</t>
  </si>
  <si>
    <t>09.12.04.01.02</t>
  </si>
  <si>
    <t>Adquisicion y entrega de plantines de repollo,  a productores beneficiarios del proyecto.</t>
  </si>
  <si>
    <t>Plantines de repollo, para ser entregados, a productores beneficiarios del proyecto adquiridos.</t>
  </si>
  <si>
    <t>09.12.04.01.03</t>
  </si>
  <si>
    <t>Adquisicion y entrega de semilla s de cebolla,  a productores beneficiarios del proyecto.</t>
  </si>
  <si>
    <t>Sobre de 5000 Semillas</t>
  </si>
  <si>
    <t>Sobres de semillas de cebolla, para ser entregados, a productores beneficiarios del proyecto adquiridos.</t>
  </si>
  <si>
    <t>09.12.04.01.04</t>
  </si>
  <si>
    <t xml:space="preserve">Adquisicion y entrega de bandejas plasticas </t>
  </si>
  <si>
    <t>Bandejas plasticas adquiridas y entregadas</t>
  </si>
  <si>
    <t>09.12.04.01.05</t>
  </si>
  <si>
    <t>Adquisicion y entrega de sustrato para  germinación de plantines de hortalizas.</t>
  </si>
  <si>
    <r>
      <t>Pacas de (60-65 libras) 3.8 pie</t>
    </r>
    <r>
      <rPr>
        <sz val="12"/>
        <rFont val="Calibri"/>
        <family val="2"/>
      </rPr>
      <t>3</t>
    </r>
  </si>
  <si>
    <t>Sustrato para germinación de plantines adquiridas y entregadas</t>
  </si>
  <si>
    <t>09.12.04.01.06</t>
  </si>
  <si>
    <t>Adquisicion de camisas</t>
  </si>
  <si>
    <t>Camisas adquiridas</t>
  </si>
  <si>
    <t>RE - PROGRAMACION DE METAS FISICAS Y FINANCIERAS</t>
  </si>
  <si>
    <t>Dirección / Oficina:  DIRECCION GENERAL DE ORDENAMIENTO FORESTAL, CUENCAS Y RIEGO (DGFCR)</t>
  </si>
  <si>
    <t>01.05.01.00.00.</t>
  </si>
  <si>
    <t>Incremento de áreas Forestales</t>
  </si>
  <si>
    <t>01.05.01.01.00.</t>
  </si>
  <si>
    <t>Implementar un programa de desarrollo forestal con una visión de fortalecimiento de la cadena productiva, con énfasis en la agregación de valor.</t>
  </si>
  <si>
    <t>Finca</t>
  </si>
  <si>
    <t>Fincas con áreas bajo manejo forestal sostenible,  establecidas.</t>
  </si>
  <si>
    <t>Finca demostrativa, documentos de plan de manejo, informes, giras de campo.</t>
  </si>
  <si>
    <t>01.05.01.01.01.</t>
  </si>
  <si>
    <t xml:space="preserve">Realizar monitoreo de Seguimiento a Planes de Manejo Forestal en fincas de productores </t>
  </si>
  <si>
    <t>Seguimiento a plan de manejo, realizado</t>
  </si>
  <si>
    <t>Documento del plan de manejo, resolución de aprobación, informes de seguimiento, finca bajo manejo</t>
  </si>
  <si>
    <t>División de Recursos Forestales</t>
  </si>
  <si>
    <t>01.05.01.01.02.</t>
  </si>
  <si>
    <t>Establecer áreas pilotos o fincas modelos de manejo forestal sostenible  con el enfoque técnico  de valor agregado.</t>
  </si>
  <si>
    <t>Fincas modelos de manejo forestal sostenible, establecidas.</t>
  </si>
  <si>
    <t>01.05.01.02.00.</t>
  </si>
  <si>
    <t>Establecer, promover y ejecutar un programa que garantice el manejo y control de plagas y enfermedades forestales.</t>
  </si>
  <si>
    <t>Programa de  control de plagas y enfermedades forestales, establecida</t>
  </si>
  <si>
    <t>Documento de Programa, Informes de seguimiento</t>
  </si>
  <si>
    <t>01.05.01.02.02.</t>
  </si>
  <si>
    <t>Elaborar estrategia Nacional de Sanidad y Protección Forestal</t>
  </si>
  <si>
    <t>Estrategia Nacional de Sanidad y Protección Forestal, elaborada</t>
  </si>
  <si>
    <t>Documento elaborado, acuerdo de aprobación, informes de avance.</t>
  </si>
  <si>
    <t>01.05.01.02.03.</t>
  </si>
  <si>
    <t>Ejecutar plan  de  manejo y control de plagas y enfermedades forestales  con orientación a fincas de productores</t>
  </si>
  <si>
    <t xml:space="preserve">Plan de Manejo y control de plagas y enfermedades, ejecutado </t>
  </si>
  <si>
    <t>Acuerdo de aprobación, documento del plan, e informes de seguimiento</t>
  </si>
  <si>
    <t>01.05.01.03.00.</t>
  </si>
  <si>
    <t>Establecer  prácticas que potencien el desarrollo forestal (agroforestería, forestaría comunitaria, reforestación, sistemas agrosilvopastoriles, entre otras).</t>
  </si>
  <si>
    <t>Acta de supervisión, elaborada</t>
  </si>
  <si>
    <t>Acta de supervisión</t>
  </si>
  <si>
    <t>01.05.01.03.02.</t>
  </si>
  <si>
    <t>Establecer Viveros bajo protocolos técnicos , con apoyo del SINAMA, para la producción de plantas de especies forestales</t>
  </si>
  <si>
    <t>Vivero</t>
  </si>
  <si>
    <t>Vivero forestal, establecido</t>
  </si>
  <si>
    <t>cantidad de plantas producidas e informes</t>
  </si>
  <si>
    <t>01.05.01.03.03.</t>
  </si>
  <si>
    <t xml:space="preserve">Fomentar los Sistemas agroforestales tradicionales o existentes,  mejorando el manejo, conservación de especies forestales y producción a través de asistencia técnica en comunidades pilotos. </t>
  </si>
  <si>
    <t xml:space="preserve">Fincas con sistemas agroforestales tradicionales  en el manejo, conservación y producción  en comunidades piloto, establecidos </t>
  </si>
  <si>
    <t>Sistemas agrícolas mejorados e informes</t>
  </si>
  <si>
    <t>01.05.02.00.00.</t>
  </si>
  <si>
    <t>Disponibilidad de alternativas tecnológicas para el subsector Forestal</t>
  </si>
  <si>
    <t>01.05.02.01.00.</t>
  </si>
  <si>
    <t>Investigaciones sobre especies que se adapten a las condiciones edafoclimáticas de los territorios, desarrolladas</t>
  </si>
  <si>
    <t>01.05.02.01.01.</t>
  </si>
  <si>
    <t>Elaborar Mapa  de distribución de especies forestales promisorias recomendables en territorios con condiciones edafoclimáticas requeridas por las distintas especies forestales</t>
  </si>
  <si>
    <t>Mapa  de distribución de especies forestales promisorias en condiciones edafoclimáticas requeridas, elaborado</t>
  </si>
  <si>
    <t>Mapas digitales en líneas e impresos</t>
  </si>
  <si>
    <t>01.05.02.02.00.</t>
  </si>
  <si>
    <t>Modernizar el Centro de Desarrollo Forestal (CEDEFOR) para convertirlo en una escuela de alto nivel para la capacitación de los productores y agroindustriales mejorando la transferencia de tecnología e investigación en toda la cadena forestal productiva.</t>
  </si>
  <si>
    <t>Kilogramo</t>
  </si>
  <si>
    <t>Disponibilidad de Semillas Forestales de calidad, incrementada</t>
  </si>
  <si>
    <t>Informe de Semilla forestal de calidad disponible</t>
  </si>
  <si>
    <t>01.05.02.02.01.</t>
  </si>
  <si>
    <t>Establecer Fuentes semilleros de especies forestales de interés para la conservación, repoblación y comercialización, dentro de ANP y en otras áreas del Estado.</t>
  </si>
  <si>
    <t>Fuentes de semilla forestal de calidad y cantidad, registradas</t>
  </si>
  <si>
    <t>Registro de fuente identificada y rodal semillero manejado</t>
  </si>
  <si>
    <t>CEDEFOR - Ciudad Arce, La Libertad</t>
  </si>
  <si>
    <t>01.05.02.02.02.</t>
  </si>
  <si>
    <t>Establecer y equipar Banco de Semillas Forestales</t>
  </si>
  <si>
    <t>Disponibilidad de Semillas Forestales, incrementada</t>
  </si>
  <si>
    <t>01.05.02.03.00.</t>
  </si>
  <si>
    <t>Establecer e Implementar un programa de capacitación para todos los actores del sector.</t>
  </si>
  <si>
    <t>Programa de capacitación para todos los actores del sector, realizado</t>
  </si>
  <si>
    <t>Documento del programa de capacitación, Listados de asistencia</t>
  </si>
  <si>
    <t>01.05.02.03.01.</t>
  </si>
  <si>
    <t>Elaborar materiales divulgativos ( videos, spot, folletos, audiovisuales e información técnica) para la promoción de la explotación forestal sostenible, fundamentados en la legislación y normativa institucional</t>
  </si>
  <si>
    <t>Materiales divulgativos  sobre  la explotación productiva forestal sostenible, elaborados.</t>
  </si>
  <si>
    <t>Material técnico elaborado</t>
  </si>
  <si>
    <t>Soyapango, San Salvador</t>
  </si>
  <si>
    <t>01.05.02.03.02.</t>
  </si>
  <si>
    <t>Realizar eventos de capacitación forestal dirigido a actores territoriales involucrados en la cadena forestal</t>
  </si>
  <si>
    <t>Eventos para los actores del sector forestal, realizados</t>
  </si>
  <si>
    <t>Listados de asistencia</t>
  </si>
  <si>
    <t>01.05.02.04.00.</t>
  </si>
  <si>
    <t>Establecer alianzas estratégicas e intercambios con escuelas centroamericanas forestales para el trabajo conjunto y fortalecimiento de los actores de la cadena forestal productiva.</t>
  </si>
  <si>
    <t>Alianzas para Intercambio de experiencia, capacitaciones y otros apoyos en materia forestal, logradas</t>
  </si>
  <si>
    <t>Documentos e informes de acciones desarrolladas</t>
  </si>
  <si>
    <t>01.05.02.04.01.</t>
  </si>
  <si>
    <t>Gestionar cooperación para el desarrollo forestal con instituciones educativas y otros organismos homólogos especializados en el tema forestal</t>
  </si>
  <si>
    <t>01.05.03.01.01.</t>
  </si>
  <si>
    <t>Procesar  Información técnica forestal en línea o disponible a la demanda en un sitio Web</t>
  </si>
  <si>
    <t>Información técnica forestal, disponible en línea</t>
  </si>
  <si>
    <t>Bases de datos de información forestal</t>
  </si>
  <si>
    <t>01.05.03.01.03.</t>
  </si>
  <si>
    <t>Elaborar proyecto  para la actualización del Inventario Forestal Nacional</t>
  </si>
  <si>
    <t>Proyecto  para la actualización del Inventario Forestal Nacional, elaborado.</t>
  </si>
  <si>
    <t>Documento de proyecto y documentos de gestión</t>
  </si>
  <si>
    <t>01.05.03.01.04.</t>
  </si>
  <si>
    <t>Estructurar integradamente módulos de información forestal incorporándolos al Sistema de Información Forestal</t>
  </si>
  <si>
    <t>Módulo</t>
  </si>
  <si>
    <t>Módulos de Información técnica forestal, estructurados</t>
  </si>
  <si>
    <t>Diseño y programación de módulos, informes</t>
  </si>
  <si>
    <t>01.05.04.00.00.</t>
  </si>
  <si>
    <t>Mayor sinergia o complementariedad en la ejecución de acciones para el subsector Forestal</t>
  </si>
  <si>
    <t>01.05.04.01.00.</t>
  </si>
  <si>
    <t>Actualizar y cumplir  las funciones de la Comisión Forestal  en el Acuerdo Ejecutivo por  el Ramo de Agricultura y Ganadería.</t>
  </si>
  <si>
    <t>Funciones de la Comisión  forestal, actualizadas.</t>
  </si>
  <si>
    <t>Acuerdo ejecutivo  aprobado</t>
  </si>
  <si>
    <t>01.05.04.01.01.</t>
  </si>
  <si>
    <t>Realizar  el seguimiento al cumplimiento de las  funciones  de la Comisión Forestal</t>
  </si>
  <si>
    <t>Seguimiento al trabajo de la Comisión Forestal, realizado</t>
  </si>
  <si>
    <t>Ayudas memorias, informe de acciones</t>
  </si>
  <si>
    <t>01.05.04.02.00.</t>
  </si>
  <si>
    <t xml:space="preserve">Establecer mecanismos de coordinación con las instituciones competentes, para evitar las quemas y comercio ilegal  de productos y subproductos forestales </t>
  </si>
  <si>
    <t>Registro de emisión de permisos y procedimientos sancionatorios, implementado</t>
  </si>
  <si>
    <t>01.05.04.02.01.</t>
  </si>
  <si>
    <t>Realizar coordinación interinstitucional para el control del tráfico ilegal de productos y sub productos forestales</t>
  </si>
  <si>
    <t>Mecanismo de coordinación para el control del tráfico ilegal de productos y sub productos forestales, ejecutado</t>
  </si>
  <si>
    <t>Informes de seguimiento</t>
  </si>
  <si>
    <t>01.05.04.02.02.</t>
  </si>
  <si>
    <t>Implementar el manual de procedimiento para la atención de denuncias por infracción a la Ley Forestal.</t>
  </si>
  <si>
    <t>Manual de procedimiento para atención de denuncias, implementado</t>
  </si>
  <si>
    <t>Informe de implementación del manual</t>
  </si>
  <si>
    <t>01.05.04.02.03.</t>
  </si>
  <si>
    <t>Implementar procesos de control  de emisión de autorizaciones, permisos y procedimientos sancionatorios por infracción a la Ley</t>
  </si>
  <si>
    <t>Informes trimestrales de seguimiento, registro</t>
  </si>
  <si>
    <t>01.05.04.03.00.</t>
  </si>
  <si>
    <t>Actualizar y ejecutar el plan de manejo y control de Incendios Forestales.</t>
  </si>
  <si>
    <t>Ejecución del Plan para control  de incendios y recuperación de áreas afectadas, coordinado</t>
  </si>
  <si>
    <t>01.05.04.03.01.</t>
  </si>
  <si>
    <t>Coordinar la ejecución del Plan para el manejo y control de incendios forestales</t>
  </si>
  <si>
    <t>Cartas compromiso de ejecución, documento, informes de seguimiento</t>
  </si>
  <si>
    <t xml:space="preserve">El Plan ya no existe ahora es la Ejecución de la Estrategia Nacional de Manejo del Fuego, El Salvador 2017-2021 </t>
  </si>
  <si>
    <t>03.01.00.00.00.</t>
  </si>
  <si>
    <t>Linea1. Restauración de sistemas degradados relacionados con el sector</t>
  </si>
  <si>
    <t>03.01.02.00.00.</t>
  </si>
  <si>
    <t>03.01.02.01.00.</t>
  </si>
  <si>
    <t>Impulsar el establecimiento de áreas con incremento de cobertura arbórea en zonas de recarga hídrica.</t>
  </si>
  <si>
    <t>Zonas de recarga, reforestada</t>
  </si>
  <si>
    <t>03.01.02.01.02.</t>
  </si>
  <si>
    <t>Reforestar  zonas de recarga hídrica</t>
  </si>
  <si>
    <t>Zona de recarga, reforestada</t>
  </si>
  <si>
    <t>Informe de supervisión
Fotografías
Bitácoras</t>
  </si>
  <si>
    <t>Cacaopera, Chilanga, Delicias de Concepción, San Fco. Gotera, San Carlos, Jocoro, El Divisadero, Comacaràn y Uluazapa</t>
  </si>
  <si>
    <t>03.01.02.02.00.</t>
  </si>
  <si>
    <t>Área cultivada con sistema agroforestal y agrosilvopastoril, establecida</t>
  </si>
  <si>
    <t>03.01.02.02.02.</t>
  </si>
  <si>
    <t>Establecer sistemas agroforestales</t>
  </si>
  <si>
    <t>Sistema agroforestal, establecido</t>
  </si>
  <si>
    <t>Cacaopera, Chilanga, Delicias de Concepciòn, San Fco. Gotera, San Carlos, Jocoro, El Divisadero, Comacaràn y Uluazapa</t>
  </si>
  <si>
    <t>03.02.00.00.00.</t>
  </si>
  <si>
    <t>Línea 2. Desarrollo y aprovechamiento del recurso hídrico</t>
  </si>
  <si>
    <t>03.02.03.00.00.</t>
  </si>
  <si>
    <t>Mayor recurso humano especializado en cultivo bajo riego</t>
  </si>
  <si>
    <t>03.02.03.01.00.</t>
  </si>
  <si>
    <t>Formar recurso humano especializado en cultivos bajo riego.</t>
  </si>
  <si>
    <t>Curso</t>
  </si>
  <si>
    <t>Cursos especializados en agricultura bajo riego, realizados</t>
  </si>
  <si>
    <t>03.02.03.01.01.</t>
  </si>
  <si>
    <t>Promover el uso eficiente del recurso agrícola para la producción de alimentos</t>
  </si>
  <si>
    <t xml:space="preserve">Planes de negocios y de riego para el uso eficiente del recurso hídrico, elaborados </t>
  </si>
  <si>
    <t>Planes elaborados</t>
  </si>
  <si>
    <t>DIVIRIEGO</t>
  </si>
  <si>
    <t>07.03.01.04.00.</t>
  </si>
  <si>
    <t>Apoyar la creación de líneas especiales para la producción, procesamiento y comercialización de productos forestales, con una tasa de interés baja y plazos amplios.</t>
  </si>
  <si>
    <t>Propuesta de Fuentes de financiamiento accesibles para Inversiones en la reforestación,  elaborada</t>
  </si>
  <si>
    <t>Documento de propuesta</t>
  </si>
  <si>
    <t>07.03.01.04.01.</t>
  </si>
  <si>
    <t>Desarrollar  estudio de factibilidad financiera para el establecimiento de plantaciones forestales</t>
  </si>
  <si>
    <t xml:space="preserve">Estudio de factibilidad financiera, elaborado </t>
  </si>
  <si>
    <t>Documentos de consultoría, documento de estudio, mapa impreso y digital</t>
  </si>
  <si>
    <t>08.02.01.02.07.</t>
  </si>
  <si>
    <t>Actualizar el Manual de organización de la Dirección General de Ordenamiento Forestal Cuencas y Riego</t>
  </si>
  <si>
    <t>Manual de organización, actualizado</t>
  </si>
  <si>
    <t>Acuerdo</t>
  </si>
  <si>
    <t>08.02.01.02.08.</t>
  </si>
  <si>
    <t>Actualizar el Manual de Procedimientos de la Dirección General de Ordenamiento Forestal Cuencas y Riego</t>
  </si>
  <si>
    <t>Manual de procedimientos, actualizado</t>
  </si>
  <si>
    <t xml:space="preserve">Acuerdo </t>
  </si>
  <si>
    <t xml:space="preserve">Soyapango; San Salvador </t>
  </si>
  <si>
    <t xml:space="preserve">Depto de Planificación </t>
  </si>
  <si>
    <t>08.02.01.03.01.</t>
  </si>
  <si>
    <t>Actualizar la Ley Forestal</t>
  </si>
  <si>
    <t xml:space="preserve">Reforma de Ley Forestal, propuesta </t>
  </si>
  <si>
    <t>Nota de remisión</t>
  </si>
  <si>
    <t>08.02.01.06.00.</t>
  </si>
  <si>
    <t>Mejorar de los sistemas de gestión.</t>
  </si>
  <si>
    <t>Sistemas de gestión, mejorado</t>
  </si>
  <si>
    <t>08.02.01.06.03.</t>
  </si>
  <si>
    <t>Desarrollar  el Sistema de atención a denuncias por infracción a la Ley Forestal  y la Ley de Riego y Avenamiento de la Dirección General de Ordenamiento Forestal Cuencas y Riego</t>
  </si>
  <si>
    <t>Sistema de atención a denuncias, desarrollado</t>
  </si>
  <si>
    <t>Informe del sistema implementado</t>
  </si>
  <si>
    <t>Establecer mecanismos de medición y evaluación de la eficacia, eficiencia y efectividad en la aplicación del modelo de gestión de la calidad y excelencia del MAG.</t>
  </si>
  <si>
    <t>08.08.01.01.04.</t>
  </si>
  <si>
    <t>Implementar el Manual de atención a denuncias por infracción a la Ley de Riego y Avenamiento</t>
  </si>
  <si>
    <t>Manual de atención a denuncias, implementado</t>
  </si>
  <si>
    <t>Div. Recursos Forestales, DIVIRIEGO y Depto. Jurídico</t>
  </si>
  <si>
    <t>Esta met se queda como, esta,¡</t>
  </si>
  <si>
    <t>09.15.00.00.00</t>
  </si>
  <si>
    <t>Dirección General de Ordenamiento Forestal Cuencas y Riego</t>
  </si>
  <si>
    <t>09.15.01.00.00</t>
  </si>
  <si>
    <t>División de Recursos Forestales y Cuencas Hidrográficas</t>
  </si>
  <si>
    <t>09.15.01.01.00</t>
  </si>
  <si>
    <t>Contribuir a la conservación y aprovechamiento sostenible de los recursos forestales, especialmente bosques naturales y plantaciones de especies forestales con fines diversos; en beneficio de los productores, inversionistas, de la sociedad en general.</t>
  </si>
  <si>
    <t>09.15.01.01.01</t>
  </si>
  <si>
    <t>Brindar asistencia técnica en manejo forestal</t>
  </si>
  <si>
    <t>Área con asistencia técnica en manejo forestal, brindada</t>
  </si>
  <si>
    <t>Registro de planes de manejo forestal</t>
  </si>
  <si>
    <t>09.15.01.01.02</t>
  </si>
  <si>
    <t>Aplicar  la normativa Forestal</t>
  </si>
  <si>
    <t>Autorización</t>
  </si>
  <si>
    <t>Autorizaciones de la Normativa forestal, concedidas</t>
  </si>
  <si>
    <t>Registro de autorizaciones forestales</t>
  </si>
  <si>
    <t>09.15.01.01.03</t>
  </si>
  <si>
    <t xml:space="preserve">Elaborar Informe sobre calificaciones agrológicas que contribuyen en conocer el recurso suelo para el desarrollo de las actividades agrícolas </t>
  </si>
  <si>
    <t>Calificación</t>
  </si>
  <si>
    <t>Calificaciones agrológicas, elaboradas</t>
  </si>
  <si>
    <t>Registro de calificaciones agrológicas</t>
  </si>
  <si>
    <t>División de Cambio Climático</t>
  </si>
  <si>
    <t>09.15.01.01.04</t>
  </si>
  <si>
    <t xml:space="preserve">Apoyar técnicamente la gestión territorial municipal sobre el manejo del recurso suelo y agua </t>
  </si>
  <si>
    <t>Documento Tecnico con información sobre recurso suelo y agua. Para la gestión territorial municipal, elaborado</t>
  </si>
  <si>
    <t xml:space="preserve">Consultar con Julio Olano </t>
  </si>
  <si>
    <t>09.15.01.01.05</t>
  </si>
  <si>
    <t>Establecer espacios de dialogo  articulados y vinculados al quehacer  institucional que facilite soluciones ante los retos que implica el cambio climático para el sector</t>
  </si>
  <si>
    <t>Propuesta de acuerdo para el establecimiento de la mesa de cambio climático institucional, elaborado</t>
  </si>
  <si>
    <t>Mesa de Cambio Climático para el Sector Agropecuarios</t>
  </si>
  <si>
    <t>09.15.01.01.06</t>
  </si>
  <si>
    <t xml:space="preserve">Elaborar indicadores que contribuyan  en el seguimiento de la programas de agricultura en materia de cambio climático </t>
  </si>
  <si>
    <t>Listado</t>
  </si>
  <si>
    <t>Listado de Indicadores de seguimiento a programas agropecuarios del MAG, elaborado</t>
  </si>
  <si>
    <t>09.15.01.01.07</t>
  </si>
  <si>
    <t xml:space="preserve">Divulgar información técnica  que contribuya en la atención a productores agropecuarios sobre adaptación, mitigación y la construcción de resiliencia climática  </t>
  </si>
  <si>
    <t>Información técnica  a usuarios, distribuida</t>
  </si>
  <si>
    <t>Documentos de informe, ayudas memorias</t>
  </si>
  <si>
    <t>09.15.01.01.08</t>
  </si>
  <si>
    <t>Informar sobre el cumplimiento de compromisos nacionales en materia de cambio climático para el sector agropecuario</t>
  </si>
  <si>
    <t xml:space="preserve">informe </t>
  </si>
  <si>
    <t>Informes en materia de cambio climático para el sector agropecuario, forestal, pesquero y acuícola, elaborados</t>
  </si>
  <si>
    <t>09.15.02.00.00</t>
  </si>
  <si>
    <t>Departamento Jurídico</t>
  </si>
  <si>
    <t>09.15.02.01.00</t>
  </si>
  <si>
    <t>Asesorar a la DGFCR y sus unidades en la interpretación y aplicación de la legislación forestal y de agua para riego, en función de las productividad y producción sostenible de alimentos</t>
  </si>
  <si>
    <t>09.15.02.01.01</t>
  </si>
  <si>
    <t>Aplicar la normativa de riego y avenamiento</t>
  </si>
  <si>
    <t>Permisos de uso de agua con fines de riego, otorgados</t>
  </si>
  <si>
    <t>Reportes del SINGAR</t>
  </si>
  <si>
    <t>09.15.02.01.02</t>
  </si>
  <si>
    <t>Realizar Inspecciones e informes por denuncia, permisos de riego y OIR</t>
  </si>
  <si>
    <t>Inspecciones e informes por denuncia, permisos de riego, realizadas</t>
  </si>
  <si>
    <t>Reporte del SINGAR</t>
  </si>
  <si>
    <t>Área de Gestión y Transferencia de Tecnología de Riego</t>
  </si>
  <si>
    <t>09.15.03.00.00</t>
  </si>
  <si>
    <t>División de Riego y Drenaje</t>
  </si>
  <si>
    <t>09.15.03.01.00</t>
  </si>
  <si>
    <t>Planificar y establecer medidas de ordenamiento y desarrollo del recurso hídrico para actividades agropecuarias a fin de optimizar el uso y aprovechamiento del mismo</t>
  </si>
  <si>
    <t>09.15.03.01.01</t>
  </si>
  <si>
    <t>Fortalecer capacidades de Asociaciones de Regantes</t>
  </si>
  <si>
    <t>Productores regantes, capacitados</t>
  </si>
  <si>
    <t>Listado de participantes por evento</t>
  </si>
  <si>
    <t>09.15.03.01.04</t>
  </si>
  <si>
    <t xml:space="preserve">Asistir técnicamente a Asociaciones de Regantes en uso ordenado del agua </t>
  </si>
  <si>
    <t>Asociaciones de regantes legalmente constituidas  en uso ordenado del  agua, Asistidas</t>
  </si>
  <si>
    <t>SINGAR</t>
  </si>
  <si>
    <t>09.15.03.01.05</t>
  </si>
  <si>
    <t>Fortalecer las capacidad asociativa de regantes</t>
  </si>
  <si>
    <t>Nuevas asociaciones de regantes, organizadas</t>
  </si>
  <si>
    <t>09.15.03.01.06</t>
  </si>
  <si>
    <t>Inspeccionar sistemas de riego para evaluación de daños de infraestructura</t>
  </si>
  <si>
    <t>Inspecciones técnicas a sistemas de riego para evaluación de daños de infraestructura, realizado</t>
  </si>
  <si>
    <t>Informe de la inspección</t>
  </si>
  <si>
    <t>Esta actividad esta condicionada  a la ocurrencia de fenómenos agroclimáticos y demanda de usuarios</t>
  </si>
  <si>
    <t>09.15.03.02.00</t>
  </si>
  <si>
    <t xml:space="preserve">Asegurar el desarrollo productivo y tecnológico de la agricultura bajo riego </t>
  </si>
  <si>
    <t>09.15.03.02.01</t>
  </si>
  <si>
    <t>Elaborar perfil de proyecto de riego y/o control de inundaciones</t>
  </si>
  <si>
    <t>Perfil de proyecto de riego y/o control de inundaciones, elaborado</t>
  </si>
  <si>
    <t>Pefil de Proyecto</t>
  </si>
  <si>
    <t>Área de Infraestructura de Riego y Drenaje - DIVIRIEGO</t>
  </si>
  <si>
    <t>Se elaborará perfil de proyecto sujeto a demanda de los beneficiarios</t>
  </si>
  <si>
    <t>09.15.03.02.02</t>
  </si>
  <si>
    <t>Elaborar documento técnico para rehabilitación de sistemas de riego en distritos y asociaciones de regantes privados</t>
  </si>
  <si>
    <t>Documento técnico para rehabilitación de sistemas de riego, elaborado</t>
  </si>
  <si>
    <t>Documento tecnico de rehabilitación de sistema de riego</t>
  </si>
  <si>
    <t>Se elaborará Documento técnico para rehabilitación de infraestructura de riego en Distritos y Asociaciones de Regantes Privadas</t>
  </si>
  <si>
    <t>RE-PROGRAMACIÓN DE METAS FÍSICAS Y FINANCIERAS</t>
  </si>
  <si>
    <t>Dirección / Oficina: Dirección General de Ganadería (DGG)</t>
  </si>
  <si>
    <t>Presupuesto
Extraordinario</t>
  </si>
  <si>
    <t>A nivel Nacional</t>
  </si>
  <si>
    <t>Inga. Eva María Díaz - Directora DGG</t>
  </si>
  <si>
    <t>01.01.11.01.00.</t>
  </si>
  <si>
    <t>Fortalecer los centros de desarrollo ganadero en zona occidental, paracentral y oriental.</t>
  </si>
  <si>
    <t>Centro</t>
  </si>
  <si>
    <t xml:space="preserve">Centro ganadero en zona occidental, paracentral y oriental, mejorado </t>
  </si>
  <si>
    <t>Informe Institucional</t>
  </si>
  <si>
    <t>01.01.11.01.02.</t>
  </si>
  <si>
    <t xml:space="preserve">Rehabilitar y modernizar los Centros de desarrollo </t>
  </si>
  <si>
    <t>Proyectos para rehabilitar y modernizar los Centros de Desarrollo Ganadero, gestionados</t>
  </si>
  <si>
    <t>Informe mensual CEGA`S, documento de proyecto y nota de remisión.</t>
  </si>
  <si>
    <t>Morazán, San Miguel y La Unión</t>
  </si>
  <si>
    <t>Lic. Fernando Lino Marín - Jefe CEDAF-Morazán</t>
  </si>
  <si>
    <t>01.01.11.01.04.</t>
  </si>
  <si>
    <t>Capacitar a productores de la zona oriental en temas pecuarios</t>
  </si>
  <si>
    <t>Evento en temas pecuaria  para grupo de productores, alumnos y otros relacionados con el agro de la zona oriental, realizado</t>
  </si>
  <si>
    <t>Informe mensual del CEDAF-Mo; Registro de asistencia e informe de la capacitación</t>
  </si>
  <si>
    <t>01.01.11.02.00.</t>
  </si>
  <si>
    <t>Fortalecer el monitoreo del cumplimiento de las leyes sanitarias, especialmente las referidas a no recombinación y pasteurización de leche.</t>
  </si>
  <si>
    <t>Control</t>
  </si>
  <si>
    <t>Inspecciones y verificaciones a plantas de procesamiento de lácteos y rastros autorizados, realizada</t>
  </si>
  <si>
    <t xml:space="preserve">Informe de la división, hoja de visita y verificación </t>
  </si>
  <si>
    <t>01.01.11.02.01.</t>
  </si>
  <si>
    <t>Realizar inspecciones a plantas de procesamiento de lácteos y rastros autorizados.</t>
  </si>
  <si>
    <t>Inspecciones y verificaciones a plantas de procesamiento de lácteos y rastros autorizados, realizados</t>
  </si>
  <si>
    <t>Inga. Ruth Saravia - Jefa DIPOA</t>
  </si>
  <si>
    <t>01.01.11.02.02.</t>
  </si>
  <si>
    <t>Realizar muestreo de productos y subproductos lácteos para velar por la inocuidad de alimentos</t>
  </si>
  <si>
    <t>Muestreo</t>
  </si>
  <si>
    <t>Muestreo de lácteos en puestos de control fronterizos y otros, realizado</t>
  </si>
  <si>
    <t>Informe de la división, hoja de toma de muestra</t>
  </si>
  <si>
    <t>01.01.11.03.00.</t>
  </si>
  <si>
    <t>Promover el conocimiento y aplicabilidad de las Buenas Prácticas de Manufactura y normativas para la operación de plantas procesadoras de lácteos y cárnicos.</t>
  </si>
  <si>
    <t>Eventos de capacitación en BPA, HACCP, POS y otras relacionadas en temas de inocuidad, realizado</t>
  </si>
  <si>
    <t>Informe de la División, Hoja de asistencia</t>
  </si>
  <si>
    <t>01.01.11.03.01.H</t>
  </si>
  <si>
    <t>Capacitar a operarios de plantas de procesamiento de lácteos y cárnicos</t>
  </si>
  <si>
    <t>Informe de la División,listado de participantes</t>
  </si>
  <si>
    <t>01.01.11.03.01.M</t>
  </si>
  <si>
    <t>01.01.11.03.01.E</t>
  </si>
  <si>
    <t>01.01.11.04.00.</t>
  </si>
  <si>
    <t>Realizar campañas de control sanitario.</t>
  </si>
  <si>
    <t>Animal</t>
  </si>
  <si>
    <t>Animales vacunados, vitaminados y desparasitados, realizada</t>
  </si>
  <si>
    <t>Informe de la División, Hoja de vacunación de bovinos.</t>
  </si>
  <si>
    <t>01.01.11.04.01.</t>
  </si>
  <si>
    <t>Realizar jornadas de vacunación de bovinos para evitar enfermedades de importancia económica</t>
  </si>
  <si>
    <t>Dr. Néstor Avendaño - Jefe DSV</t>
  </si>
  <si>
    <t>01.01.11.05.00.</t>
  </si>
  <si>
    <t>Mejorar la ejecución del programa de control y erradicación de la brucelosis y tuberculosis y otras enfermedades de importancia económica.</t>
  </si>
  <si>
    <t>Visitas a unidades productivas  bajo vigilancia epidemiológica para la prevención, control y erradicación de brucelosis y tuberculosis bovina, realizada</t>
  </si>
  <si>
    <t>Informe mensual de la División y hoja de visita y/o solicitud de análisis de laboratorio</t>
  </si>
  <si>
    <t>01.01.11.05.01.</t>
  </si>
  <si>
    <r>
      <t>Realizar actividades de prevención, control y erradicación  de brucelosis y tuberculosis bovina</t>
    </r>
    <r>
      <rPr>
        <sz val="12"/>
        <color rgb="FFFF0000"/>
        <rFont val="Arial"/>
        <family val="2"/>
      </rPr>
      <t/>
    </r>
  </si>
  <si>
    <t>Visitas a unidades productivas bovinas bajo vigilancia epidemiológica para la prevención, control y erradicación de brucelosis y tuberculosis, realizada</t>
  </si>
  <si>
    <t>01.01.11.05.02.</t>
  </si>
  <si>
    <t>Realizar certificaciones de hatos libres de brucelosis y tuberculosis bovina</t>
  </si>
  <si>
    <t>Certificado</t>
  </si>
  <si>
    <t>Certificación de hatos libres de brucelosis y tuberculosis bovina, realizadas</t>
  </si>
  <si>
    <t>Informe mensual de la División y copia de certificaciones realizadas</t>
  </si>
  <si>
    <t>01.01.11.05.04.</t>
  </si>
  <si>
    <t>Obtener el reconocimiento de país con riesgo insignificante para Encefalopatía Espongiforme Bovina</t>
  </si>
  <si>
    <t>Porcentaje</t>
  </si>
  <si>
    <t>Reconocimiento de país con riesgo insignificante para Encefalopatía Espongiforme Bovina, realizado</t>
  </si>
  <si>
    <t>Informe mensual de la División, documento avance</t>
  </si>
  <si>
    <t xml:space="preserve">Esta acción estratégica se enmarca dentro de Fortalecimiento del estatus sanitarios de enfermedades animales de producción para el reconocimiento de la OIE  </t>
  </si>
  <si>
    <t>01.01.11.05.05.</t>
  </si>
  <si>
    <t>Atender notificaciones de casos clínicos con sospecha de enfermedades exóticas y endémicas incluidas las zoonosis en el ganado bovino</t>
  </si>
  <si>
    <t>Caso</t>
  </si>
  <si>
    <t>Visitas a unidades productivas bovinas para la atención de casos clínicos de enfermedades exóticas y endémicas incluidas las zoonosis en la ganadería nacional, realizadas</t>
  </si>
  <si>
    <t>Informe mensual de la División y hoja de visita y/o Formulario SIVE 1 y/o SIVE 2</t>
  </si>
  <si>
    <t>01.01.11.05.06.H</t>
  </si>
  <si>
    <t>Realizar eventos de divulgación en sanidad bovina.</t>
  </si>
  <si>
    <t>Eventos de divulgación en sanidad bovina, realizado</t>
  </si>
  <si>
    <t>Informe mensual de la División, Listado de participación e Informe de capacitación desarrollado</t>
  </si>
  <si>
    <t>01.01.11.05.06.M</t>
  </si>
  <si>
    <t>01.01.11.05.06.E</t>
  </si>
  <si>
    <t>01.01.11.05.07.</t>
  </si>
  <si>
    <t>Realizar actividades de prevención, control y erradicación de otras enfermedades de importancia económica.</t>
  </si>
  <si>
    <t>Visitas a unidades productivas bovinas bajo vigilancia epidemiológica para la prevención, control y erradicación de otras enfermedades de importancia económica, realizada</t>
  </si>
  <si>
    <t>Informe mensual de la dependencia, hoja de visita y/o solicitud de análisis de laboratorio</t>
  </si>
  <si>
    <t>01.01.11.06.00.</t>
  </si>
  <si>
    <t>Productores, fomentados</t>
  </si>
  <si>
    <t>01.01.11.06.02.</t>
  </si>
  <si>
    <t xml:space="preserve">Establecer parcelas demostrativas para la transferencia de tecnología a los ganaderos para la alimentación animal.
</t>
  </si>
  <si>
    <t>Parcelas demostrativas, establecidas</t>
  </si>
  <si>
    <t>Informe del CEDAF-Mo; bitácora de cultivo.</t>
  </si>
  <si>
    <t>01.01.11.06.03.</t>
  </si>
  <si>
    <t>Entregar incentivos para la producción de pastos mejorados.</t>
  </si>
  <si>
    <t>Semilla de pasto mejorado (cañas) de CT115 y CENTA AH a ganaderos de la zona oriental, entregado</t>
  </si>
  <si>
    <t>Informe mensual del CEDAF-Mo; Hoja de entrega de pastos</t>
  </si>
  <si>
    <t>01.01.11.08.00.</t>
  </si>
  <si>
    <t>Fortalecer el sistema de registro genealógico.</t>
  </si>
  <si>
    <t>Certificado genealógico de bovinos y equinos, emitido</t>
  </si>
  <si>
    <t>Informe mensual de la división y  copia de certificado genealógico</t>
  </si>
  <si>
    <t>01.01.11.08.01.</t>
  </si>
  <si>
    <t>Emitir certificado genealógico de bovinos</t>
  </si>
  <si>
    <t>Dr. Rodrigo Núñez - Jefe DIRRA</t>
  </si>
  <si>
    <t>01.01.11.09.00.</t>
  </si>
  <si>
    <t>Ampliar el servicio de bancos de semen a nivel nacional con razas adaptadas a las diferentes zonas de producción del país en apoyo al programa de Mejoramiento Genético Bovino</t>
  </si>
  <si>
    <t>Productores en técnicas de inseminación artificial, certificados</t>
  </si>
  <si>
    <t xml:space="preserve">Informe mensual de la división, Copia de certificado emitido </t>
  </si>
  <si>
    <t>01.01.11.09.01.</t>
  </si>
  <si>
    <t>Promover la Red Nacional de bancos de semen al servicio del sector para fomentar el mejoramiento genético resilientes al cambio climático y aptas para las diferentes zonas del país.</t>
  </si>
  <si>
    <t>Hoja</t>
  </si>
  <si>
    <t>Supervisión de la Red Nacional de Bancos de Semen para promover el mejoramiento genético bovino, realizada</t>
  </si>
  <si>
    <t>Informe mensual de la División y Hoja de visita</t>
  </si>
  <si>
    <t>01.01.11.10.00.</t>
  </si>
  <si>
    <t>01.01.11.10.03.H</t>
  </si>
  <si>
    <t>Brindar asistencia técnica en producción y productividad de hatos ganaderos</t>
  </si>
  <si>
    <t>Visita de asistencia técnica en manejo, producción, salud, nutrición, reproducción pastos y forrajes para la transferencia e innovación tecnológica a ganaderos, realizada</t>
  </si>
  <si>
    <t>Informe mensual de la dependencia, hoja de Asistencia Técnica.</t>
  </si>
  <si>
    <t>Ing. Rocheter Silva - Componente Desarrollo Pecuario</t>
  </si>
  <si>
    <t>Meta no acumulable. Es urgente la contratación de nuevos técnicos. Cumplimiento de la Ley Vaso de Leche</t>
  </si>
  <si>
    <t>01.01.11.10.03.M</t>
  </si>
  <si>
    <t>01.01.11.10.03.E</t>
  </si>
  <si>
    <t>01.01.11.10.04.H</t>
  </si>
  <si>
    <t>Capacitar a productores en temas relacionados a la producción, manejo, ordeño higiénico y BPP</t>
  </si>
  <si>
    <t>Capacitaciones a productores en temas de en manejo, producción, salud, nutrición, reproducción pastos y forrajes para la transferencia e innovación tecnológica a ganaderos, realizada</t>
  </si>
  <si>
    <t>Informe mensual de la dependencia, lista de asistencia e informe  de capacitación.</t>
  </si>
  <si>
    <t>01.01.11.10.04.M</t>
  </si>
  <si>
    <t>01.01.11.10.04.E</t>
  </si>
  <si>
    <t>01.01.11.11.00.</t>
  </si>
  <si>
    <t>Ampliar la cobertura del programa “Vaso de Leche y  plantas industriales.</t>
  </si>
  <si>
    <t>Productores en el Programa Vaso de Leche, incorporados</t>
  </si>
  <si>
    <t>Listado de productores atendidos</t>
  </si>
  <si>
    <t>01.01.11.11.01.</t>
  </si>
  <si>
    <t>Incorporar nuevos productores al programa vaso de leche</t>
  </si>
  <si>
    <t>01.01.11.11.02.</t>
  </si>
  <si>
    <t xml:space="preserve">Incorporar asociaciones ganaderas a comercializar leche a mercado formal y semi tecnificado. </t>
  </si>
  <si>
    <t>Asociaciones ganaderas en comercialización formal,  incorporado.</t>
  </si>
  <si>
    <t>Informe mensual de la dependencia, listado de asociaciones atendida</t>
  </si>
  <si>
    <t>01.01.11.11.03.</t>
  </si>
  <si>
    <t>Incorporar plantas para proveer al Programa Vaso de leche</t>
  </si>
  <si>
    <t>Plantas proveedora al Programa Vaso de Leche, incorporada</t>
  </si>
  <si>
    <t>Informe mensual de la dependencia, listado de plantas incorporadas al programa</t>
  </si>
  <si>
    <t>01.01.12.00.00.</t>
  </si>
  <si>
    <t>Disponibilidad de alternativas tecnológicas e industrialización de productos y subproductos de la Ganadería Bovina</t>
  </si>
  <si>
    <t>01.01.12.01.00.</t>
  </si>
  <si>
    <t>Fortalecer la cadena de frio para el acopio y procesamiento de leche u otras iniciativas productivas.</t>
  </si>
  <si>
    <t>Visitas para monitoreo de uso a Equipos para el acopio de leche provistos por el MAG a Asociaciones de Ganaderos proveedores del  "Vaso de leche", realizadas</t>
  </si>
  <si>
    <t>Informe de la División, Hoja de visita de monitoreo</t>
  </si>
  <si>
    <t>01.01.12.01.02.V</t>
  </si>
  <si>
    <t xml:space="preserve">Realizar visitas de monitoreo de uso a Equipos para el acopio de leche provistos por el MAG </t>
  </si>
  <si>
    <t>Lic. Melvin Trujillo - Jefe DZA</t>
  </si>
  <si>
    <t>01.01.12.01.02.A</t>
  </si>
  <si>
    <t>Meta no acumulable, el numero de asociaciones depende de la tenencia de equipos que posea provistos por el MAG</t>
  </si>
  <si>
    <t>01.01.12.03.00.</t>
  </si>
  <si>
    <t>Tecnología de manejo bovino, generada</t>
  </si>
  <si>
    <t>01.01.12.03.03.</t>
  </si>
  <si>
    <t>Comercializar semen bovinos</t>
  </si>
  <si>
    <t>Dosis</t>
  </si>
  <si>
    <t>Dosis de semen bovinos para productores, comercializado</t>
  </si>
  <si>
    <t>Informe mensual de la División, comprobante de venta</t>
  </si>
  <si>
    <t>01.01.14.00.00.</t>
  </si>
  <si>
    <t>Mayor sinergia o complementariedad en la ejecución de acciones para el subsector de Ganadería Bovina</t>
  </si>
  <si>
    <t>01.01.14.01.00.</t>
  </si>
  <si>
    <t>Articular esfuerzos entre MAG, PNC, Fuerza Armada, gobiernos locales y organizaciones ganaderas para el combate al contrabando, hurto y robo de ganado.</t>
  </si>
  <si>
    <t>Peritaje</t>
  </si>
  <si>
    <t>Peritajes con la Fiscalía General de la República,  realizados</t>
  </si>
  <si>
    <t>Informe mensual de la división,  informe de peritaje</t>
  </si>
  <si>
    <t>01.01.14.01.01.P</t>
  </si>
  <si>
    <t>Realizar peritajes con la Fiscalía General de la República  para determinar la propiedad de semovientes decomisados.</t>
  </si>
  <si>
    <t>Dependen de las solicitudes de la FGR y PNC</t>
  </si>
  <si>
    <t>01.01.14.01.01.S</t>
  </si>
  <si>
    <t>Semoviente</t>
  </si>
  <si>
    <t>Depende de los animales decomisados</t>
  </si>
  <si>
    <t>01.01.14.01.02.</t>
  </si>
  <si>
    <t xml:space="preserve">Atender oficios de la FGR y PNC referente a matriculas de personas naturales o jurídicas que poseen fierro </t>
  </si>
  <si>
    <t xml:space="preserve">Oficios de la FGR y PNC referente a matriculas de personas naturales o jurídicas que poseen fierro, atendidos.  </t>
  </si>
  <si>
    <t>Nota de solicitud/respuesta y detalle de personas investigadas</t>
  </si>
  <si>
    <t>01.01.14.02.00.</t>
  </si>
  <si>
    <t>Establecer sinergias entre MAG y MINED para fortalecer y ampliar la cobertura del programa “Vaso de Leche”, así como la asistencia técnica en el manejo de la producción y entrega las plantas.</t>
  </si>
  <si>
    <t>Reuniones del MAG con MINEC y MINED para que ganaderos acceden al programa Vaso de Leche, realizadas.</t>
  </si>
  <si>
    <t>Informe del componente Ganadero, resumen de reunión.</t>
  </si>
  <si>
    <t>01.01.14.02.01.</t>
  </si>
  <si>
    <t>Realizar reuniones del MAG con MINED y MINEC  para que ganaderos acceden al programa Vaso de Leche.</t>
  </si>
  <si>
    <t>Informe mensual, lista de asistencia</t>
  </si>
  <si>
    <t>01.01.14.03.00.</t>
  </si>
  <si>
    <t>Crear, una mesa de la cadena de valor para la mejora de la competitividad del subsector, como mecanismo permanente de diálogo y la ejecución de agendas de trabajo conjuntas a mediano y largo plazo en coordinación con el sector privado, academia y actores involucrados en el subsector.</t>
  </si>
  <si>
    <t>Mesa</t>
  </si>
  <si>
    <t>Mesas departamentales y nacional para proponer mejoras de la competitividad del subsector, establecidas</t>
  </si>
  <si>
    <t>Informe mensual, copia de documento de constitución</t>
  </si>
  <si>
    <t>01.01.14.03.01.</t>
  </si>
  <si>
    <t>Establecer una mesa por departamento y nacional para proponer mejoras de la competitividad del subsector</t>
  </si>
  <si>
    <t>01.01.15.01.00.</t>
  </si>
  <si>
    <t>Establecer un sistema de Registro de productores (naturales o jurídicos), establecimientos y animales de importancia económica a nivel nacional</t>
  </si>
  <si>
    <t>Establecimientos o Unidades Productivas con bovinos, registrados</t>
  </si>
  <si>
    <t>Informe mensual de la División y reporte del registro</t>
  </si>
  <si>
    <t>01.01.15.01.01.</t>
  </si>
  <si>
    <t>Registrar establecimientos o Unidades Productivas con bovinos</t>
  </si>
  <si>
    <t>01.01.15.01.02.</t>
  </si>
  <si>
    <t xml:space="preserve">Registrar personas natural o jurídica con bovinos </t>
  </si>
  <si>
    <t>Personas naturales o jurídicas con bovinos, registradas</t>
  </si>
  <si>
    <t>01.01.15.01.04.</t>
  </si>
  <si>
    <t>Emitir matricula de herrar ganado para el reconocimiento de la propiedad de los semovientes</t>
  </si>
  <si>
    <t>Matricula</t>
  </si>
  <si>
    <t>Matricula de herrar ganado, emitida</t>
  </si>
  <si>
    <t>Informe mensual de la división, Matricula de registro, informe del sistema SALMA emitido</t>
  </si>
  <si>
    <t>01.01.15.01.05.</t>
  </si>
  <si>
    <t>Emitir autorizaciones especiales para la venta de  ganado en base al Art. 15 del Reglamento para el uso de Fierros o Marcas de Herrar Ganado y Traslado de Semovientes.</t>
  </si>
  <si>
    <t>Autorizaciones Especiales para la venta de ganado en base al Art. 15 del Reglamento para el Uso de Fierros o Marcas de Herrar ganado y Traslado de Semovientes, emitidas</t>
  </si>
  <si>
    <t>Informe mensual de la división y  hoja de autorización especial</t>
  </si>
  <si>
    <t>01.01.15.01.06.</t>
  </si>
  <si>
    <t>Visitar alcaldías y tiangues para concientizar la aplicación del Reglamento  para el Uso de Fierros o Marcas de Herrar ganado y traslado de semovientes</t>
  </si>
  <si>
    <t>Visitas a alcaldías y tiangues para concientizar la aplicación del Reglamento  para el Uso de Fierros o Marcas de Herrar ganado y traslado de semovientes, realizadas</t>
  </si>
  <si>
    <t>Informe de la división, hoja de visita</t>
  </si>
  <si>
    <t>01.01.15.03.02.</t>
  </si>
  <si>
    <t>Atender Asociaciones Ganaderas en temas relacionados al acceso a mercados formales.</t>
  </si>
  <si>
    <t>Asociaciones Ganaderas en temas relacionados al acceso a mercados formales, asistidas</t>
  </si>
  <si>
    <t>Listado de asociaciones atendidas</t>
  </si>
  <si>
    <t>01.01.15.03.03.H</t>
  </si>
  <si>
    <t>Capacitar a miembros de  Asociaciones Ganaderas en temas relacionados al acceso a mercados formales.</t>
  </si>
  <si>
    <t>Eventos de capitación  en temas relacionados al acceso a mercados formales, realizados</t>
  </si>
  <si>
    <t>Informe de la capacitación y listado de asistencia.</t>
  </si>
  <si>
    <t>01.01.15.03.03.M</t>
  </si>
  <si>
    <t>01.01.15.03.03.E</t>
  </si>
  <si>
    <t>01.01.16.00.00.</t>
  </si>
  <si>
    <t>Incremento de la producción Porcina</t>
  </si>
  <si>
    <t>01.01.16.03.00.</t>
  </si>
  <si>
    <t>Fortalecer el Programa de Control de la Peste Porcina Clásica y otras enfermedades de importancia económica, para mantener el estatus sanitario de país libre de PPC y evitar el ingreso de carne de cerdo de países con presencia de esta enfermedad.</t>
  </si>
  <si>
    <t>Visitas a unidades productivas para  la prevención, de Peste Porcina Clásica, Peste Porcina Africana y otras enfermedades de los cerdos de importancia económica restrictivas al comercio, realizadas</t>
  </si>
  <si>
    <t>Informe mensual de la División y hoja de visita, evaluación de bioseguridad</t>
  </si>
  <si>
    <t>01.01.16.03.01.</t>
  </si>
  <si>
    <t>Obtener el reconocimiento de país libre de PPC ante la OIE.</t>
  </si>
  <si>
    <t>Reconocimiento de país Libre de Peste Porcina Clásica, obtenido</t>
  </si>
  <si>
    <t>Informe mensual de la división, documentos de respaldo</t>
  </si>
  <si>
    <t>01.01.16.03.02.</t>
  </si>
  <si>
    <t>Realizar vigilancia epidemiológica activa para  la prevención, de Peste Porcina Clásica, Peste Porcina Africana y otras enfermedades de los cerdos de importancia económica restrictivas al comercio</t>
  </si>
  <si>
    <t>01.01.16.03.03.</t>
  </si>
  <si>
    <t>Atender notificaciones de casos clínicos de sospecha de Peste Porcina Clásica, Peste Porcina Africana y otras enfermedades de los cerdos restrictivas al comercio internacional</t>
  </si>
  <si>
    <t>Visitas a unidades productivas porcícolas para la atención de casos clínicos y poder confirmar o descartar la presencia de enfermedades restrictivas al comercio internacional, realizadas</t>
  </si>
  <si>
    <t>Informe mensual de la División y hoja de visita</t>
  </si>
  <si>
    <t>01.01.16.03.04.H</t>
  </si>
  <si>
    <t>Impartir eventos de Divulgación en sanidad y bioseguridad porcina.</t>
  </si>
  <si>
    <t xml:space="preserve"> Eventos de capacitación en sanidad porcina y bioseguridad en granjas, realizados</t>
  </si>
  <si>
    <t>01.01.16.03.04.M</t>
  </si>
  <si>
    <t>01.01.16.03.04.E</t>
  </si>
  <si>
    <t>01.01.16.04.00.</t>
  </si>
  <si>
    <t>Crear un programa de inocuidad, asistencia técnica y capacitación para el subsector porcino.</t>
  </si>
  <si>
    <t>Granja</t>
  </si>
  <si>
    <t>Granjas porcinas semi tecnificadas, asistidas</t>
  </si>
  <si>
    <t>Hoja de visita</t>
  </si>
  <si>
    <t>01.01.16.04.03.</t>
  </si>
  <si>
    <t>Realizar inspecciones en  rastros de porcinos autorizados.</t>
  </si>
  <si>
    <t>Inspecciones y verificaciones en  rastros de porcinos autorizados, realizados</t>
  </si>
  <si>
    <t>01.01.17.00.00.</t>
  </si>
  <si>
    <t>Disponibilidad de alternativas tecnológicas para Porcinos</t>
  </si>
  <si>
    <t>01.01.17.02.00.</t>
  </si>
  <si>
    <t>Fomentar un programa de producción de pie de cría de alta calidad en coordinación entre MAG y sector privado.</t>
  </si>
  <si>
    <t>Lechón</t>
  </si>
  <si>
    <t>Pie de cría de cerdo a precios de fomento, comercializado</t>
  </si>
  <si>
    <t xml:space="preserve">Factura </t>
  </si>
  <si>
    <t>01.01.17.02.01.</t>
  </si>
  <si>
    <t xml:space="preserve">Producir pie de cría de cerdo para ventas a pequeños productores a precios de fomento </t>
  </si>
  <si>
    <t>Informe mensual de la  División, factura</t>
  </si>
  <si>
    <t>01.01.17.02.02.H</t>
  </si>
  <si>
    <t xml:space="preserve">Capacitar a productores en Inseminación Artificial porcina  </t>
  </si>
  <si>
    <t>Productores en Inseminación Artificial porcina, capacitados</t>
  </si>
  <si>
    <t>Informe mensual de la División, copia de Diploma, lista de asistencia</t>
  </si>
  <si>
    <t xml:space="preserve"> Lic. Fernando Lino Marín - Jefe CEDAF-Morazán</t>
  </si>
  <si>
    <t>01.01.17.02.02.M</t>
  </si>
  <si>
    <t>01.01.17.02.03.</t>
  </si>
  <si>
    <t>Realizar Inseminación artificial en porcinos</t>
  </si>
  <si>
    <t>Servicio</t>
  </si>
  <si>
    <t>Inseminación artificial en porcinos, realizado</t>
  </si>
  <si>
    <t>Informe mensual del CEDAF-Mo; Registro de Inseminación Artificial</t>
  </si>
  <si>
    <t>01.01.17.02.04.</t>
  </si>
  <si>
    <t>Comercializar semen porcino</t>
  </si>
  <si>
    <t>Dosis de semen porcino para productores, comercializado</t>
  </si>
  <si>
    <t xml:space="preserve">Informe mensual; comprobante de venta, registro de producción de dosis semen. </t>
  </si>
  <si>
    <t>Dr. Rodrigo Núñez - Jefe DIRRA/ Lic. Fernando Lino Marín - Jefe CEDAF-Morazán</t>
  </si>
  <si>
    <t>01.01.19.00.00.</t>
  </si>
  <si>
    <t>Mayor sinergia o complementariedad en la ejecución de acciones para el subsector Porcino</t>
  </si>
  <si>
    <t>01.01.19.01.00.</t>
  </si>
  <si>
    <t>Coordinar acciones con organismos regionales e internacionales para implementar programas de vigilancia y control de enfermedades.</t>
  </si>
  <si>
    <t>Reuniones de coordinación para implementar programas de vigilancia y control de enfermedades, realizadas</t>
  </si>
  <si>
    <t>Informe mensual de la división, documento de respaldo de actividad</t>
  </si>
  <si>
    <t>01.01.19.01.01.</t>
  </si>
  <si>
    <t>Celebrar reuniones de coordinación para implementar programas de vigilancia y control de enfermedades</t>
  </si>
  <si>
    <t>01.01.20.00.00.</t>
  </si>
  <si>
    <t>Incremento de la producción Avícola</t>
  </si>
  <si>
    <t>01.01.20.01.00.</t>
  </si>
  <si>
    <r>
      <t>Fortalecer los mecanismos de promoción y vigilancia sanitaria del MAG</t>
    </r>
    <r>
      <rPr>
        <b/>
        <sz val="12"/>
        <color rgb="FFFF0000"/>
        <rFont val="Arial"/>
        <family val="2"/>
      </rPr>
      <t/>
    </r>
  </si>
  <si>
    <t>Visitas a unidades productivas avícola bajo vigilancia epidemiológica activa, realizada</t>
  </si>
  <si>
    <t>Informe mensual de la División, Evaluación de bioseguridad y/o hoja de visita</t>
  </si>
  <si>
    <t>01.01.20.01.01.</t>
  </si>
  <si>
    <t xml:space="preserve">Realizar vigilancia epidemiológica activa para la prevención, control y erradicación  de enfermedades aviares restrictivas al comercio internacional </t>
  </si>
  <si>
    <t>01.01.20.01.02.</t>
  </si>
  <si>
    <t>Atender notificaciones de casos clínicos de sospecha de enfermedades aviares restrictivas al comercio internacional para mantener el estatus sanitario nacional</t>
  </si>
  <si>
    <t>Visitas a unidades productivas avícola para la atención de casos clínicos y poder confirmar o descartar la presencia de enfermedades restrictivas al comercio internacional, realizadas</t>
  </si>
  <si>
    <t>Informe mensual de la División y SIVE 1 y/o SIVE 2 y/o hoja de visita</t>
  </si>
  <si>
    <t>01.01.20.01.03.</t>
  </si>
  <si>
    <t>Realizar certificaciones sanitarias de pollitos, pollitas, huevos fértil y huevo de consumo para la exportación</t>
  </si>
  <si>
    <t>Certificación sanitaria de pollitos, pollitas, huevo fértil y huevo de consumo para la exportación, realizadas</t>
  </si>
  <si>
    <t>01.01.20.01.04.</t>
  </si>
  <si>
    <t>Realizar medidas de contención a través de campañas de vacunación contra enfermedad de Newcastle, Coriza infecciosa, Cólera y otras enfermedades.</t>
  </si>
  <si>
    <t>Campañas de vacunación contra enfermedad de Newcastle, Coriza infecciosa y Cólera en aves y otras para el control de enfermedades, realizadas</t>
  </si>
  <si>
    <t xml:space="preserve">Informe mensual de la división, hojas de registro de vacunación </t>
  </si>
  <si>
    <t>01.01.20.01.05.H</t>
  </si>
  <si>
    <t>Impartir eventos de divulgación en sanidad avícola y bioseguridad en granjas</t>
  </si>
  <si>
    <t>Avicultores en eventos de divulgación en sanidad avícola y medidas de bioseguridad en granjas, realizados</t>
  </si>
  <si>
    <t>01.01.20.01.05.M</t>
  </si>
  <si>
    <t>01.01.20.01.05.E</t>
  </si>
  <si>
    <t>01.01.20.02.00.</t>
  </si>
  <si>
    <t>Fortalecer los servicios de inocuidad y calidad de los alimentos derivados de la actividad avícola, para mejorar los niveles de productividad y competitividad a lo largo de toda la cadena alimentaria.</t>
  </si>
  <si>
    <t>Plantas de procesamiento de productos y subproductos avícolas, inspeccionadas</t>
  </si>
  <si>
    <t>Informe de la División, Hoja de inspección/verificación</t>
  </si>
  <si>
    <t>01.01.20.02.01.</t>
  </si>
  <si>
    <t>Realizar acciones de control en los productos y subproductos avícolas</t>
  </si>
  <si>
    <t>Inspección y verificación en plantas de procesamiento de productos y subproductos avícolas, realizados</t>
  </si>
  <si>
    <t>01.01.20.02.02.</t>
  </si>
  <si>
    <t>Realizar muestreos de productos y sub productos avícolas en plantas de procesamiento</t>
  </si>
  <si>
    <t>Muestreos de productos y sub productos de origen avícola, realizados</t>
  </si>
  <si>
    <t>Informe de la División, formulario de muestreo o resultado de análisis.</t>
  </si>
  <si>
    <t>01.01.20.02.03.</t>
  </si>
  <si>
    <t>Certificar sanitariamente productos y sub productos avícola.</t>
  </si>
  <si>
    <t>Certificado sanitario de productos y sub productos avícola, emitido</t>
  </si>
  <si>
    <t>Informe de la División, copia de certificado emitido.</t>
  </si>
  <si>
    <t>01.01.20.07.00.</t>
  </si>
  <si>
    <t>Impulsar la implementación de un sistema de trazabilidad de productos avícolas.</t>
  </si>
  <si>
    <t>Establecimientos de Unidades Productivas avícola, registrados</t>
  </si>
  <si>
    <t>01.01.20.07.01.</t>
  </si>
  <si>
    <t>Registrar establecimientos de Unidades Productivas avícolas</t>
  </si>
  <si>
    <t>01.01.20.07.02.</t>
  </si>
  <si>
    <t>Registrar personas natural o jurídica con granja avícola</t>
  </si>
  <si>
    <t>Personas naturales o jurídicas con granjas avícolas, registradas</t>
  </si>
  <si>
    <t>01.01.20.07.03.</t>
  </si>
  <si>
    <t>Registrar lotes avícolas de engorde en el sistema</t>
  </si>
  <si>
    <t>Lote</t>
  </si>
  <si>
    <t>Lotes avícolas, registrados</t>
  </si>
  <si>
    <t>01.01.21.02.00.</t>
  </si>
  <si>
    <t>Actualizar y completar la georreferenciación de las granjas avícolas a través del Sistema Nacional de Información del subsector avícola.</t>
  </si>
  <si>
    <t>Informe de georreferenciación de las granjas avícolas actualizado, realizado.</t>
  </si>
  <si>
    <t>registro</t>
  </si>
  <si>
    <t>01.01.21.02.02.</t>
  </si>
  <si>
    <t>Actualizar la georreferenciación de las granjas avícolas.</t>
  </si>
  <si>
    <t>01.01.21.03.00.</t>
  </si>
  <si>
    <t>Implementar un plan de acción entre el sector privado y MAG, para dar cumplimiento a los requisitos de acceso al mercado de los Estados Unidos.</t>
  </si>
  <si>
    <t>Proyecto de admisibilidad a USA de productos y sub productos avícolas, ejecutado</t>
  </si>
  <si>
    <t>01.01.21.03.01.</t>
  </si>
  <si>
    <t>Ejecutar proyecto de admisibilidad a USA de productos y sub productos avícolas.</t>
  </si>
  <si>
    <t>Informe mensual de la división, informes semestrales a SETEFE e informes mensuales PAIP</t>
  </si>
  <si>
    <t>San Salvador La Libertad</t>
  </si>
  <si>
    <t>Ejecución del proyecto 2746, Donación USDA, en el 2020 se ejecuto 36.9% y el 2021 se realizara el resto</t>
  </si>
  <si>
    <t>01.01.22.00.00.</t>
  </si>
  <si>
    <t>Mayor sinergia o complementariedad en la ejecución de acciones para el subsector Avícola</t>
  </si>
  <si>
    <t>01.01.22.01.00.</t>
  </si>
  <si>
    <t>Fortalecer las acciones de la Mesa Avícola con participación de los sectores público, privado y apoyo de la cooperación internacional, para adecuar las condiciones de inversión actual a las necesidades de la cadena avícola al más corto plazo.</t>
  </si>
  <si>
    <t>Reuniones de coordinación para ejecución de planes de trabajo con la Comisión Nacional Avícola y organismos internacionales, realizados</t>
  </si>
  <si>
    <t>Informe mensual de la  división, documentos de respaldo de la actividad</t>
  </si>
  <si>
    <t>01.01.22.01.01.</t>
  </si>
  <si>
    <t>Celebrar reuniones de coordinación para ejecución de planes de trabajo para el sector avícola</t>
  </si>
  <si>
    <t>01.01.23.00.00.</t>
  </si>
  <si>
    <t>01.01.23.02.00.</t>
  </si>
  <si>
    <t>Transferir conocimientos sobre inocuidad y calidad, al subsector.</t>
  </si>
  <si>
    <t>Apicultores y operarios de las plantas procesadoras de miel de abejas, capacitado</t>
  </si>
  <si>
    <t>Informe mensual de la División, Listado de participación.</t>
  </si>
  <si>
    <t>01.01.23.02.01.H</t>
  </si>
  <si>
    <t xml:space="preserve">Capacitar a apicultores y operarios de las plantas procesadoras de miel de abejas en temas relacionados a la inocuidad y calidad. </t>
  </si>
  <si>
    <t>01.01.23.02.01.M</t>
  </si>
  <si>
    <t>01.01.23.02.01.E</t>
  </si>
  <si>
    <t>01.01.23.03.00.</t>
  </si>
  <si>
    <t>Fomentar el desarrollo y uso de sistemas de trazabilidad.</t>
  </si>
  <si>
    <t>Informe de trazabilidad apícola, realizado</t>
  </si>
  <si>
    <t>Informe anual</t>
  </si>
  <si>
    <t>01.01.23.03.01.</t>
  </si>
  <si>
    <t>Generar un informe de trazabilidad apícola</t>
  </si>
  <si>
    <t>Informe mensual de la división, Informe anual trazabilidad apícola</t>
  </si>
  <si>
    <t>DIPOA dará la información para DIRRA</t>
  </si>
  <si>
    <t>01.01.24.00.00.</t>
  </si>
  <si>
    <t>Disponibilidad de alternativas tecnológicas e industrialización de productos y subproductos de la miel</t>
  </si>
  <si>
    <t>01.01.24.05.00.</t>
  </si>
  <si>
    <t>Implementar un programa permanente de sanidad e inocuidad apícola.</t>
  </si>
  <si>
    <t>Inspecciones y verificaciones en plantas procesadoras de productos y subproductos apícolas, incluyendo proveedores (Productor y Unidad Productiva) y sus procesos, realizadas</t>
  </si>
  <si>
    <t>Informe de la División, hoja  de inspección y verificación.</t>
  </si>
  <si>
    <t>01.01.24.05.01.</t>
  </si>
  <si>
    <t>Inspeccionar plantas procesadoras de productos y subproductos apícolas, incluyendo proveedores (Productor y Unidad Productiva) y sus procesos</t>
  </si>
  <si>
    <t>01.01.24.05.02.</t>
  </si>
  <si>
    <t>Realizar muestreo de abejas, colmenas, productos y subproductos apícolas, en puntos fronterizos, unidades productivas y plantas procesadoras.</t>
  </si>
  <si>
    <t>Muestreo de abejas, colmenas, productos y subproductos apícolas, en puntos fronterizos, unidades productivas y plantas procesadoras, realizados.</t>
  </si>
  <si>
    <t>Informe de la División, formulario de muestreo, acta de muestreo o resultado del análisis.</t>
  </si>
  <si>
    <t>01.01.24.05.03.</t>
  </si>
  <si>
    <t>Emitir certificaciones sanitarias de productos y subproductos apícolas para garantizar la inocuidad ante socios comerciales.</t>
  </si>
  <si>
    <t>Certificación</t>
  </si>
  <si>
    <t>Certificaciones sanitarias de productos y subproductos apícolas para garantizar la inocuidad ante socios comerciales, emitidos</t>
  </si>
  <si>
    <t>Informe de División y copia del certificado.</t>
  </si>
  <si>
    <t>01.01.24.05.04.</t>
  </si>
  <si>
    <t>Presentar el Plan Nacional de Control de residuos en miel de abejas.</t>
  </si>
  <si>
    <t>Plan Nacional de Control de residuos en miel de abejas, presentado</t>
  </si>
  <si>
    <t>Informe de División y Plan.</t>
  </si>
  <si>
    <t>01.01.26.00.00.</t>
  </si>
  <si>
    <t>Mayor sinergia o complementariedad en la ejecución de acciones para el subsector Apícola</t>
  </si>
  <si>
    <t>01.01.26.02.00.</t>
  </si>
  <si>
    <t>Informe de seguimiento al espacio de dialogo apícola, realizado</t>
  </si>
  <si>
    <t>01.01.26.02.01.</t>
  </si>
  <si>
    <t>Dar seguimiento al espacio de dialogo apícola  de los comités de producción, mercado nacional y exportación</t>
  </si>
  <si>
    <t>01.01.28.06.00.</t>
  </si>
  <si>
    <t>Fortalecer el sistema de vigilancia sanitaria e inocuidad en la importación de productos.</t>
  </si>
  <si>
    <t>Muestreo de productos pesqueros y acuícolas importados, en puntos fronterizos, aduanas, puntos de almacenamiento o resguardo y barcos, realizado.</t>
  </si>
  <si>
    <t xml:space="preserve">Informe de División, formulario de muestreo o análisis realizado. </t>
  </si>
  <si>
    <t>01.01.28.06.01.</t>
  </si>
  <si>
    <t>Ejecutar Plan de muestreo de productos pesqueros y acuícolas importados.</t>
  </si>
  <si>
    <t>Informe mensual de la dependencia, formulario de muestreo o análisis realizado.</t>
  </si>
  <si>
    <t>La ejecución dependerá de los requerimiento del Área de Cuarentena Animal.</t>
  </si>
  <si>
    <t xml:space="preserve">Línea 1: Entrega eficaz de insumos agropecuarios  </t>
  </si>
  <si>
    <t>02.01.01.07.00.</t>
  </si>
  <si>
    <t>Fortalecer el programa de especies menores.</t>
  </si>
  <si>
    <t>Incentivo</t>
  </si>
  <si>
    <t>Incentivos para el programa de especies menores, distribuido</t>
  </si>
  <si>
    <t>Informe de la División, hoja de asistencia técnica</t>
  </si>
  <si>
    <t>02.01.01.07.01.</t>
  </si>
  <si>
    <t>Establecer módulos de producción avícola</t>
  </si>
  <si>
    <t>Modulo avícola, establecido</t>
  </si>
  <si>
    <t>Informe mensual de la división , acta de entrega</t>
  </si>
  <si>
    <t>Fondo GOES para la atención a Victimas del Mozote y Graves Violaciones a los Derechos Humanos en el marco del Conflicto Armado de El Salvador</t>
  </si>
  <si>
    <t>02.01.01.07.02.</t>
  </si>
  <si>
    <t>Comercializar pie de cría avícola a precio de fomento</t>
  </si>
  <si>
    <t>Pollo</t>
  </si>
  <si>
    <t xml:space="preserve">Pie de cría avícola a precio de fomento, comercializado </t>
  </si>
  <si>
    <t>Informe mensual; copia de registro venta.</t>
  </si>
  <si>
    <t>02.01.01.07.03.</t>
  </si>
  <si>
    <t>Comercializar material genético avícola (huevo)</t>
  </si>
  <si>
    <t>Huevo</t>
  </si>
  <si>
    <t>Material genético avícola (huevo), comercializado</t>
  </si>
  <si>
    <t>02.01.01.07.04.</t>
  </si>
  <si>
    <t>Comercializar especies menores</t>
  </si>
  <si>
    <t>Pie de cría de especies menores a precio de fomento, comercializado</t>
  </si>
  <si>
    <t>Línea 3: Asistencia técnica a la producción familiar</t>
  </si>
  <si>
    <t>02.03.02.01.00.</t>
  </si>
  <si>
    <t>02.03.02.01.02.H</t>
  </si>
  <si>
    <t>Brindar asistencia técnica a pequeños apicultores.</t>
  </si>
  <si>
    <t>Asistencia técnica a pequeños apicultores, realizada</t>
  </si>
  <si>
    <t>Informe mensual del centro, hoja de asistencia técnica</t>
  </si>
  <si>
    <t>Meta no acumulable</t>
  </si>
  <si>
    <t>02.03.02.01.02.M</t>
  </si>
  <si>
    <t xml:space="preserve">Mujer </t>
  </si>
  <si>
    <t>02.03.02.01.02.V</t>
  </si>
  <si>
    <t>Sem modifica el responsable poque DZA no tienen capacidad de dar asistencia.</t>
  </si>
  <si>
    <t>02.03.02.01.03.H</t>
  </si>
  <si>
    <t>Brindar asistencia técnica para el manejo de pequeñas ganaderías bovinas</t>
  </si>
  <si>
    <t>Asistencia técnica para el manejo de pequeñas ganaderías bovinas, realizada</t>
  </si>
  <si>
    <t>Informe mensual de la división, hoja de asistencia técnica</t>
  </si>
  <si>
    <t>02.03.02.01.03.M</t>
  </si>
  <si>
    <t>02.03.02.01.03.V</t>
  </si>
  <si>
    <t>02.03.02.01.04.H</t>
  </si>
  <si>
    <t>Brindar asistencia técnica para el manejo de crianza avícola</t>
  </si>
  <si>
    <t>Asistencia técnica para el manejo de crianza avícola, realizada</t>
  </si>
  <si>
    <t>02.03.02.01.04.M</t>
  </si>
  <si>
    <t>02.03.02.01.04.V</t>
  </si>
  <si>
    <t>02.03.02.01.05.H</t>
  </si>
  <si>
    <t>Brindar asistencia técnica para el manejo de crianza de cerdos, conejos, ovicaprinos y otros.</t>
  </si>
  <si>
    <t xml:space="preserve">Asistencia técnica para el manejo de crianza de cerdos, conejos, ovicaprinos y otros, realizada </t>
  </si>
  <si>
    <t>02.03.02.01.05.M</t>
  </si>
  <si>
    <t>02.03.02.01.05.V</t>
  </si>
  <si>
    <t>02.03.02.01.06.H</t>
  </si>
  <si>
    <t>Realizar evento de capacitación para el manejo de pequeños apiarios</t>
  </si>
  <si>
    <t>Productores en  el manejo de pequeños apiarios, capacitados</t>
  </si>
  <si>
    <t xml:space="preserve">Informe de la División, informe de capacitación, listas de asistencia técnica </t>
  </si>
  <si>
    <t>Lic. Fernando Lino Marín - Jefe CEDAF-Morazán / Lic. Melvin Trujillo - Jefe DZA</t>
  </si>
  <si>
    <t>02.03.02.01.06.M</t>
  </si>
  <si>
    <t>02.03.02.01.06.E</t>
  </si>
  <si>
    <t>02.03.02.01.07.H</t>
  </si>
  <si>
    <t>Realizar evento de capacitación para el manejo de pequeñas ganaderías bovinas.</t>
  </si>
  <si>
    <t>Evento de capacitación para el manejo de pequeñas ganaderías bovinas, realizada</t>
  </si>
  <si>
    <t>02.03.02.01.07.M</t>
  </si>
  <si>
    <t>02.03.02.01.07.E</t>
  </si>
  <si>
    <t>02.03.02.01.08.H</t>
  </si>
  <si>
    <t>Realizar evento de capacitación en el manejo de crianza avícola.</t>
  </si>
  <si>
    <t>Evento de capacitación en el manejo de crianza avícola, realizada</t>
  </si>
  <si>
    <t>02.03.02.01.08.M</t>
  </si>
  <si>
    <t>02.03.02.01.08.E</t>
  </si>
  <si>
    <t>02.03.02.01.09.H</t>
  </si>
  <si>
    <t xml:space="preserve">Realizar evento de capacitación en el manejo de crianza de cerdos, conejos, ovicaprinos y otros. </t>
  </si>
  <si>
    <t xml:space="preserve">Evento de capacitación en el manejo de crianza de cerdos, conejos, ovicaprinos y otros, realizada </t>
  </si>
  <si>
    <t>02.03.02.01.09.M</t>
  </si>
  <si>
    <t>02.03.02.01.09.E</t>
  </si>
  <si>
    <t>Linea 1. Restauración de sistemas degradados relacionados con el sector</t>
  </si>
  <si>
    <t>03.01.02.02.05.U</t>
  </si>
  <si>
    <t>Establecer Sistemas agrosilvopastoriles en unidades productivas bovinas para contrarrestar los efectos del cambio climático</t>
  </si>
  <si>
    <t xml:space="preserve">Sistemas agrosilvopastoriles en unidades productivas, establecidos </t>
  </si>
  <si>
    <t xml:space="preserve">Informe mensual de la División y hoja de visita </t>
  </si>
  <si>
    <t>03.01.02.02.05.V</t>
  </si>
  <si>
    <t>Eje 8:  Modernización institucional</t>
  </si>
  <si>
    <t>08.02.01.03.13.</t>
  </si>
  <si>
    <t>Proponer acuerdo ministerial donde se establezcan las sustancias de uso veterinarias prohibidas y restringidas para el uso en animales o alimentación animal</t>
  </si>
  <si>
    <t>Acuerdo ministerial para sustancias de uso veterinarias prohibidas y restringidas para el uso en animales o alimentación animal, presentado</t>
  </si>
  <si>
    <t>Pro-forma del acuerdo</t>
  </si>
  <si>
    <t>Ing. Elmer López Bonilla - Jefe Cuarentena Animal</t>
  </si>
  <si>
    <t>08.02.01.03.14.</t>
  </si>
  <si>
    <t xml:space="preserve">Actualizar marco legal de acuerdo a requerimientos relacionados a la inocuidad, sanidad y calidad de los productos avícolas. </t>
  </si>
  <si>
    <t>Marco legal de acuerdo a requerimientos relacionados a la inocuidad, sanidad y calidad de los productos avícolas, actualizado.</t>
  </si>
  <si>
    <t>Informe de División y documento del marco legal propuesto para tramite en OSARTEC</t>
  </si>
  <si>
    <t>Inga. Ruth Saravia - Jefa DIPOA / Dr. Néstor Avendaño - DSV</t>
  </si>
  <si>
    <t>08.02.01.04.00.</t>
  </si>
  <si>
    <t>Adoptar modelos de gestión normalizados.</t>
  </si>
  <si>
    <t>Modelos de gestión, normalizados</t>
  </si>
  <si>
    <t>08.02.01.04.01.</t>
  </si>
  <si>
    <t>Proponer reformas a marcos legales vinculantes al comercio nacional e internacional de vida silvestre.</t>
  </si>
  <si>
    <t>Reformas a marcos legales vinculantes al comercio nacional e internacional de vida silvestre, propuestos.</t>
  </si>
  <si>
    <t>Informe de Unidad, documentos presentado.</t>
  </si>
  <si>
    <t>Dra. Stephanie López Claros - Jefa Unidad CITES</t>
  </si>
  <si>
    <t>08.02.01.04.02.</t>
  </si>
  <si>
    <t>Ampliar el alcance de acreditación de ensayos certificar la producción y facilitar la exportación a los diferentes mercados</t>
  </si>
  <si>
    <t>Ensayos en el alcance de acreditación, ampliados</t>
  </si>
  <si>
    <t>Informe mensual de la red, constancia de acreditación emitida por OSA (Organismo Salvadoreño de Acreditación)</t>
  </si>
  <si>
    <t>Inga. Margarita Arango - Jefa RLV</t>
  </si>
  <si>
    <t>08.02.01.04.03.</t>
  </si>
  <si>
    <t>Evaluar los Servicios de Sanidad Animal del MAG, por la Organización Mundial de Sanidad Animal (OIE) para facilitar el comercio internacional.</t>
  </si>
  <si>
    <t>Servicios de Sanidad Animal del MAG, por la Organización Mundial de Sanidad Animal (OIE) para facilitar el comercio internacional, evaluados.</t>
  </si>
  <si>
    <t>Informe de evaluación PVS</t>
  </si>
  <si>
    <t>08.02.01.04.04.</t>
  </si>
  <si>
    <t>Revisar   Plan contra la resistencia a los antimicrobianos para sanidad agropecuaria</t>
  </si>
  <si>
    <t>Plan contra la resistencia a los antimicrobianos para sanidad agropecuaria, aprobado</t>
  </si>
  <si>
    <t>Informe mensual de la división, documento de gestión de acuerdo de autorización</t>
  </si>
  <si>
    <t>08.02.01.05.00.</t>
  </si>
  <si>
    <t>Comparar e intercambiar mejores prácticas.</t>
  </si>
  <si>
    <t>Eventos realizados con otros laboratorios en temas de ensayos  a través de video conferencias y/o presenciales, realizados</t>
  </si>
  <si>
    <t>08.02.01.05.01.</t>
  </si>
  <si>
    <t>Intercambiar conocimientos con otros laboratorios en temas de ensayos</t>
  </si>
  <si>
    <t>Informe mensual de la red, Informe de actividad.</t>
  </si>
  <si>
    <t>08.06.00.00.00.</t>
  </si>
  <si>
    <t>08.06.01.00.00.</t>
  </si>
  <si>
    <t>08.06.01.04.00.</t>
  </si>
  <si>
    <t>Gestión</t>
  </si>
  <si>
    <t>Gestiones, realizadas</t>
  </si>
  <si>
    <t>08.06.01.04.06.</t>
  </si>
  <si>
    <t xml:space="preserve">Equipar los Puestos de Control Cuarentenario (PCC) en las fronteras con servidores, video vigilancia y otros. </t>
  </si>
  <si>
    <t>Puesto</t>
  </si>
  <si>
    <t>Puestos de Control Cuarentenario (PCC), equipados.</t>
  </si>
  <si>
    <t>Facturas, actas de recepción</t>
  </si>
  <si>
    <t>08.06.01.06.00.</t>
  </si>
  <si>
    <t>Gestionar los inmuebles, equipos, tecnología materiales.</t>
  </si>
  <si>
    <t xml:space="preserve">Gestión  </t>
  </si>
  <si>
    <t>Inmuebles, equipos, tecnología y materiales, gestionados</t>
  </si>
  <si>
    <t>08.06.01.06.04.</t>
  </si>
  <si>
    <t>Gestionar la mejora de la capacidad instalada y equipo tecnico de la DGG</t>
  </si>
  <si>
    <t>Proyectos para mejorar los servicio en calidad y cobertura de la DGG, gestionados.</t>
  </si>
  <si>
    <t>Informe mensual de la dependencia, documento de proyecto y nota de remisión.</t>
  </si>
  <si>
    <t>Jefaturas de DGG</t>
  </si>
  <si>
    <t>Tres dependencia programaron, pero pueden informar todas las que entreguen.</t>
  </si>
  <si>
    <t>Actividades Misionales</t>
  </si>
  <si>
    <t>09.14.00.00.00</t>
  </si>
  <si>
    <t>Dirección General de Ganadería</t>
  </si>
  <si>
    <t>09.14.01.00.00</t>
  </si>
  <si>
    <t>División de Identificación, trazabilidad y Reproducción Animal</t>
  </si>
  <si>
    <t>09.14.01.01.00</t>
  </si>
  <si>
    <t>Apoyo a la Reproducción, mejoramiento genético e implementación de la trazabilidad animal</t>
  </si>
  <si>
    <t>09.14.01.01.01</t>
  </si>
  <si>
    <t>Atender casos de problemas reproductivos</t>
  </si>
  <si>
    <t>Visitas a unidades productivas para proveer atención veterinaria reproductiva, realizadas</t>
  </si>
  <si>
    <t>Informe mensual de la división, Hoja de atención veterinaria reproductiva</t>
  </si>
  <si>
    <t>09.14.01.01.02.H</t>
  </si>
  <si>
    <t>Fortalecer la producción y productividad de ganaderos</t>
  </si>
  <si>
    <t>Eventos en temas de  Reproducción Animal, realizados</t>
  </si>
  <si>
    <t>Informe mensual de la división, Informe de la capacitación y listados de asistencia</t>
  </si>
  <si>
    <t>09.14.01.01.02.M</t>
  </si>
  <si>
    <t>09.14.01.01.02.E</t>
  </si>
  <si>
    <t>09.14.01.01.03</t>
  </si>
  <si>
    <t>Sensibilizar a ganaderos para implementar la Trazabilidad Bovina</t>
  </si>
  <si>
    <t>Eventos de sensibilización sobre la importancia de la  Identificación y rastreabilidad animal, realizados</t>
  </si>
  <si>
    <t>Informe mensual de la división, listado asistentes</t>
  </si>
  <si>
    <t>09.14.01.01.04</t>
  </si>
  <si>
    <t>Elaborar normativa  para identificación, registro y movilización pecuaria y acuícola</t>
  </si>
  <si>
    <t>Procedimiento para el registro, identificación y movilización pecuaria y acuícola, elaborado</t>
  </si>
  <si>
    <t>Informe mensual de la división, nota de remisión de documentos tramitados.</t>
  </si>
  <si>
    <t>09.14.02.00.00</t>
  </si>
  <si>
    <t>División de Cuarentena Animal y Registro Veterinario</t>
  </si>
  <si>
    <t>09.14.02.01.00</t>
  </si>
  <si>
    <t>Implementar medidas cuarentenarias para prevenir daños a la salud animal, humana y el medio ambiente; y el control de la calidad de insumos de uso pecuario.</t>
  </si>
  <si>
    <t>09.14.02.01.01</t>
  </si>
  <si>
    <t xml:space="preserve">Emitir "Certificados Zoosanitarios de Exportación" o "Certificados Zoosanitarios de Reexportación" de productos y sub-productos de origen animal y animales vivos. </t>
  </si>
  <si>
    <t xml:space="preserve">"Certificados Zoosanitarios de Exportación" o "Certificados Zoosanitarios de Reexportación" de productos y sub-productos de origen animal y animales vivos, emitidos </t>
  </si>
  <si>
    <t>Informe mensual de la División, Reporte de SISA y CIEX de los certificados zoosanitarios para la exportación y reexportación</t>
  </si>
  <si>
    <t>09.14.02.01.02</t>
  </si>
  <si>
    <t>Emitir autorizaciones Fito zoosanitarios de importación por productos y sub-productos de origen animal y vegetal</t>
  </si>
  <si>
    <t>Autorizaciones Fito zoosanitarios de importación por productos y sub-productos de origen animal y vegetal, emitidas</t>
  </si>
  <si>
    <t>Informe mensual de la División, Reporte resumido del SISA de autorizaciones de importación.</t>
  </si>
  <si>
    <t>09.14.02.01.03</t>
  </si>
  <si>
    <t>Realizar inspecciones a importaciones a través de la revisión documental y físicas por productos agropecuarios</t>
  </si>
  <si>
    <t>Inspecciones a importaciones a través de la revisión documental y físicas por productos agropecuarios, realizadas</t>
  </si>
  <si>
    <t>Informe mensual de la División, Reporte del SISA de Certificaciones fitosanitario y zoosanitario de inspección de importaciones.</t>
  </si>
  <si>
    <t>09.14.02.01.04</t>
  </si>
  <si>
    <t>Actualizar el Sistema de Información de sanidad Agropecuaria (SISA)</t>
  </si>
  <si>
    <t>Sistema de Información de sanidad Agropecuaria (SISA), actualizado</t>
  </si>
  <si>
    <t>Informe mensual de la división, informe mensual de avance del SISA</t>
  </si>
  <si>
    <t>09.14.02.01.05</t>
  </si>
  <si>
    <t>Emitir certificado para establecimiento que se dedica a la formulación, fabricación y comercio de productos pecuarios para uso animal.</t>
  </si>
  <si>
    <t>Certificado para establecimiento que se dedica a la formulación, fabricación y comercio de productos pecuarios para uso animal, emitido</t>
  </si>
  <si>
    <t>Informe mensual de la división, copia de Certificado de establecimiento emitido</t>
  </si>
  <si>
    <t xml:space="preserve">Dra. Naoko Quijano -  Jefe Registro y Fiscalización </t>
  </si>
  <si>
    <t>09.14.02.01.06</t>
  </si>
  <si>
    <t>Emitir certificado de libre venta de productos veterinarios y alimentos para animales  comercializados en El Salvador.</t>
  </si>
  <si>
    <t>Certificado de libre venta de productos veterinarios y alimentos para animales  comercializados en El Salvador, emitido</t>
  </si>
  <si>
    <t>Informe mensual de la División, Informe de SISA emitido mensualmente</t>
  </si>
  <si>
    <t>09.14.02.01.07</t>
  </si>
  <si>
    <t>Emitir certificado de libre venta al exterior de productos veterinarios y alimenticios para animales elaborados por formuladores nacionales.</t>
  </si>
  <si>
    <t>Certificado de libre venta al exterior de productos veterinarios y alimenticios para animales elaborados por formuladores nacionales, emitido</t>
  </si>
  <si>
    <t>Informe mensual de la División, Certificado con número correlativo emitido</t>
  </si>
  <si>
    <t>09.14.02.01.08</t>
  </si>
  <si>
    <t>Incorporar marginaciones  al registros de productos veterinarios y alimenticios para animales vigentes</t>
  </si>
  <si>
    <t>Marginación</t>
  </si>
  <si>
    <t>Marginaciones  al registros de productos veterinarios y alimenticios para animales vigentes, incorporadas</t>
  </si>
  <si>
    <t>Informe mensual de la división, copia de nota de marginación realizada en registros autorizados</t>
  </si>
  <si>
    <t>09.14.02.01.09</t>
  </si>
  <si>
    <t>Emitir visado de importación de insumos pecuarios</t>
  </si>
  <si>
    <t>Visa</t>
  </si>
  <si>
    <t xml:space="preserve">Visado de importación de insumos pecuarios, emitido </t>
  </si>
  <si>
    <t>Informe mensual de la división, Informe SISA detallando numero correlativo de visas</t>
  </si>
  <si>
    <t>09.14.02.01.10</t>
  </si>
  <si>
    <t>Realizar modificaciones o cambio de información en el  registro de establecimiento que se dedican a la formulación, fabricación y comercio de productos pecuarios para uso animal.</t>
  </si>
  <si>
    <t>Modificación</t>
  </si>
  <si>
    <t>Modificación o cambio de información en el  registro de establecimiento que se dedican a la formulación, fabricación y comercio de productos pecuarios para uso animal, realizado</t>
  </si>
  <si>
    <t>Informe mensual de la división, copia  de nuevo certificado y certificado antiguo</t>
  </si>
  <si>
    <t>09.14.02.01.11</t>
  </si>
  <si>
    <t>Visar facturas de exportación y re-exportación de insumos pecuarios.</t>
  </si>
  <si>
    <t>Factura</t>
  </si>
  <si>
    <t>Factura de exportación y re-exportación de insumos pecuarios, visada</t>
  </si>
  <si>
    <t>Informe mensual de la división, informe emitido por CIEX y copia de factura visada</t>
  </si>
  <si>
    <t>09.14.02.01.12</t>
  </si>
  <si>
    <t>Realizar fiscalizaciones a establecimientos que se dedican a la formulación, fabricación y comercio de productos pecuarios para uso animal  e insumos veterinarios, alimenticios para animales e inspección de BPM (nacional e internacional), realizadas.</t>
  </si>
  <si>
    <t>Hoja de Fiscalización a establecimientos que se dedican a la formulación, fabricación y comercio de productos pecuarios para uso animal  e insumos veterinarios, alimenticios para animales e inspección de BPM (nacional e internacional), realizadas</t>
  </si>
  <si>
    <t>Informe de la división, hoja de fiscalización</t>
  </si>
  <si>
    <t>09.14.03.00.00</t>
  </si>
  <si>
    <t>Red de Laboratorios Veterinarios</t>
  </si>
  <si>
    <t>09.14.03.01.00</t>
  </si>
  <si>
    <t>Contribuir a la salud animal a través del servicio de análisis y diagnóstico de laboratorio; y a la salud pública a través del análisis de calidad e inocuidad de los alimentos de origen animal.</t>
  </si>
  <si>
    <t>09.14.03.01.01</t>
  </si>
  <si>
    <t>Realizar el diagnóstico de laboratorio para la detección de enfermedades en animales.</t>
  </si>
  <si>
    <t>Diagnóstico</t>
  </si>
  <si>
    <t>Diagnóstico de laboratorio para la detección de enfermedades en animales, realizado</t>
  </si>
  <si>
    <t>Informe mensual de la dependencia, bitácoras de análisis  y expedientes de análisis realizado</t>
  </si>
  <si>
    <t>09.14.03.01.02</t>
  </si>
  <si>
    <t>Realizar el diagnóstico de laboratorio para el control de calidad de alimentos de origen animal.</t>
  </si>
  <si>
    <t>Diagnóstico de laboratorio para el control de calidad de alimentos de origen animal, realizado</t>
  </si>
  <si>
    <t>09.14.04.00.00</t>
  </si>
  <si>
    <t>División de Servicios Veterinarios</t>
  </si>
  <si>
    <t>09.14.04.01.00</t>
  </si>
  <si>
    <t>Proteger la salud de las especies pecuarias y acuícolas de importancia económica del país.</t>
  </si>
  <si>
    <t>09.14.04.01.01</t>
  </si>
  <si>
    <t>Realizar vigilancia epidemiológica acuícola y de pesca para la protección de la salud animal y humana</t>
  </si>
  <si>
    <t>Visitas a unidades productivas acuícola bajo vigilancia epidemiológica activa, realizada</t>
  </si>
  <si>
    <t>Informe mensual de la dependencia, evaluación de bioseguridad y/o hoja de visita</t>
  </si>
  <si>
    <t>09.14.04.01.02</t>
  </si>
  <si>
    <t>Realizar visitas a unidades productivas acuícolas para la atención  de  casos clínicos y poder confirmar o descartar la presencia de enfermedades restrictivas al comercio internacional</t>
  </si>
  <si>
    <t>Visitas a unidades productivas acuícola para la atención de casos clínicos y poder confirmar o descartar la presencia de enfermedades restrictivas al comercio internacional, realizadas</t>
  </si>
  <si>
    <t>Informe mensual de la dependencia, SIVE 1 y/o SIVE 2 y/o hoja de visita</t>
  </si>
  <si>
    <t>09.14.04.01.03</t>
  </si>
  <si>
    <t>Realizar certificación sanitaria de tilapia para la exportación.</t>
  </si>
  <si>
    <t>Certificación sanitaria de tilapia para la exportación, realizadas</t>
  </si>
  <si>
    <t>Informe mensual de la dependencia, copia de certificaciones realizadas</t>
  </si>
  <si>
    <t>09.14.04.01.04.H</t>
  </si>
  <si>
    <t>Realizar eventos de divulgación en sanidad acuícola.</t>
  </si>
  <si>
    <t>Eventos de divulgación en sanidad acuícola, realizados</t>
  </si>
  <si>
    <t>Informe mensual de la dependencia, listado de participación e Informe de capacitación desarrollado</t>
  </si>
  <si>
    <t>09.14.04.01.04.M</t>
  </si>
  <si>
    <t>09.14.04.01.04.E</t>
  </si>
  <si>
    <t>09.14.04.01.05</t>
  </si>
  <si>
    <t>Emitir certificaciones sanitarios oficiales de zoo criaderos para la exportación de animales, productos y subproductos</t>
  </si>
  <si>
    <t>"Certificado Zoosanitario" de aves, productos avícolas, acuícolas y especies silvestres, emitido</t>
  </si>
  <si>
    <t xml:space="preserve">Informe mensual de la dependencia, copia de certificado emitido </t>
  </si>
  <si>
    <t>09.14.04.01.06.B</t>
  </si>
  <si>
    <t>Fortalecer el Área de Análisis de Riesgo Pecuarios (ARPe), con equipo, información y personal capacitado.</t>
  </si>
  <si>
    <t>Boletín epidemiológico de enfermedades de notificación obligatoria, emitido</t>
  </si>
  <si>
    <t>Informe mensual de la dependencia, boletín epidemiológico emitido</t>
  </si>
  <si>
    <t>09.14.04.01.06.O</t>
  </si>
  <si>
    <t>Opinión</t>
  </si>
  <si>
    <t>Opinión Técnica de potenciales riesgos sanitarios asociados a la importación de animales vivos, productos y subproductos, realizada</t>
  </si>
  <si>
    <t>Informe mensual de la dependencia, documento de respuesta dando la opinión técnica de potenciales riesgos del Área de Análisis de Riesgo</t>
  </si>
  <si>
    <t>09.14.04.01.07</t>
  </si>
  <si>
    <t>Realizar campañas sanitarias en otros animales de importancia económica (cerdos, equinos, ovicaprinos) para evitar enfermedades de importancia económica.</t>
  </si>
  <si>
    <t>Animales en campañas sanitarias, atendidos</t>
  </si>
  <si>
    <t>Z. Ex-Bolsones</t>
  </si>
  <si>
    <t>Su cumplimiento depende de la coordinación y respuesta del el Min. RREE, para el acceso al territorio</t>
  </si>
  <si>
    <t>09.14.04.01.08</t>
  </si>
  <si>
    <t>Realizar actividades de prevención, control y erradicación de otras enfermedades de importancia económica</t>
  </si>
  <si>
    <t>Visitas a unidades productivas Equinos, y Ovicaprinos bajo vigilancia epidemiológica para la prevención, control y erradicación de otras enfermedades de importancia económica, realizadas</t>
  </si>
  <si>
    <t>09.14.04.01.09</t>
  </si>
  <si>
    <t>Atender notificaciones de casos clínicos con sospecha de enfermedades exóticas y endémicas incluidas las zoonosis en equinos y ovicaprinos</t>
  </si>
  <si>
    <t>Visitas a unidades productivas Equina y Ovicaprinos para la atención de casos clínicos y poder confirmar o descartar la presencia de enfermedades restrictivas al comercio internacional, realizadas</t>
  </si>
  <si>
    <t>09.14.04.01.10</t>
  </si>
  <si>
    <t>Declarar el país libre de la Zoonosis Rabia en apoyo a MINSAL</t>
  </si>
  <si>
    <t>Informe de Vacunación Anti-Rábica de perros y gatos a nivel nacional, en apoyo al Ministerio de Salud, realizado</t>
  </si>
  <si>
    <t>Informe mensual de la División, informe de vacunaciones antirrábica</t>
  </si>
  <si>
    <t>09.14.05.00.00</t>
  </si>
  <si>
    <t>División de Inocuidad de Productos de Origen Animal</t>
  </si>
  <si>
    <t>09.14.05.01.00</t>
  </si>
  <si>
    <t xml:space="preserve">Proteger la salud del consumidor por el control de la inocuidad y calidad de los productos pecuarios destinados al mercado nacional e internacional </t>
  </si>
  <si>
    <t>09.14.05.01.01</t>
  </si>
  <si>
    <t>Controlar la inocuidad y las regulaciones de ley, de los productos y subproductos de origen animal en plantas procesadoras, proveedores, rastros y barcos.</t>
  </si>
  <si>
    <t>Plantas procesadoras, proveedores, rastros y barcos, controlados</t>
  </si>
  <si>
    <t>Informe mensual de la dependencia, formulario de inspección o verificación.</t>
  </si>
  <si>
    <t>09.14.05.01.02</t>
  </si>
  <si>
    <t>Realizar muestreos de productos y subproductos  de origen animal, en puntos fronterizos, bodegas, locales de resguardo, unidades productivas, plantas procesadoras, barcos y rastros, realizados.</t>
  </si>
  <si>
    <t>Muestreo de productos y subproductos  de origen animal, en puntos fronterizos, bodegas, locales de resguardo, unidades productivas, plantas procesadoras, barcos y rastros, realizados</t>
  </si>
  <si>
    <t>Informe mensual de la dependencia, formulario de  muestreo o resultado de análisis.</t>
  </si>
  <si>
    <t>Parte de los muestreo es a solicitud</t>
  </si>
  <si>
    <t>09.14.05.01.03</t>
  </si>
  <si>
    <t>Emitir certificación sanitaria de productos y subproductos de origen animal para garantizar la inocuidad ante socios comerciales.</t>
  </si>
  <si>
    <t>Certificación sanitaria de productos y subproductos de origen animal, emitidos</t>
  </si>
  <si>
    <t>Informe mensual de la dependencia, copia del certificado.</t>
  </si>
  <si>
    <t>09.14.06.00.00</t>
  </si>
  <si>
    <t>Unidad de Atención CITES</t>
  </si>
  <si>
    <t>09.14.06.01.00</t>
  </si>
  <si>
    <t>Velar por la aplicación y cumplimiento de la aplicación de la Convención CITES, en lo que corresponde a la Autoridad Administrativa.</t>
  </si>
  <si>
    <t>09.14.06.01.01</t>
  </si>
  <si>
    <t>Emitir certificados  o premiso de importación,  exportación y reexportación  de especímenes CITES y no CITES respectivamente</t>
  </si>
  <si>
    <t>Certificados o Permisos de importación, exportación y reexportación  de especímenes CITES y NO CITES, emitidos</t>
  </si>
  <si>
    <t xml:space="preserve">Informe de la Unidad, Autorizaciones CITES y no CITES </t>
  </si>
  <si>
    <t>09.14.06.01.02</t>
  </si>
  <si>
    <t>Inspeccionar establecimientos para el registro y reconocimiento de poblaciones, especies,  productos y sub-productos de vida silvestre</t>
  </si>
  <si>
    <t>Registro e inspección de zoo criaderos, viveros, bodegas,  decomisos u otros relacionados para reconocimiento de especies y especímenes, realizado</t>
  </si>
  <si>
    <t>Informe de la Unidad,  Informe de inspección y/o hoja de inspección.</t>
  </si>
  <si>
    <t>09.14.06.01.03.H</t>
  </si>
  <si>
    <t>Realizar evento de sensibilización a la población sobre el tema de la convención CITES.</t>
  </si>
  <si>
    <t>Evento de sensibilización a la población sobre el tema de la convención CITES, realizado</t>
  </si>
  <si>
    <t>Informe de la Unidad, listado de participación, Informe de capacitación desarrollado</t>
  </si>
  <si>
    <t>09.14.06.01.03.M</t>
  </si>
  <si>
    <t>09.14.06.01.03.E</t>
  </si>
  <si>
    <t>09.14.07.00.00</t>
  </si>
  <si>
    <t>Extensión de conocimientos en los Centro de Desarrollo Ganadero para apoyar el adaptar los sistemas de producción al cambio climático</t>
  </si>
  <si>
    <t>Z. Oriental</t>
  </si>
  <si>
    <t>09.14.07.01.00</t>
  </si>
  <si>
    <t>Apoyar la extensión de conocimientos para la transferencia de tecnología apropiada de los sistemas de producción.</t>
  </si>
  <si>
    <t>09.14.07.01.01. A</t>
  </si>
  <si>
    <t>Establecer parcelas demostrativas en los Centros de desarrollo Pecuarios que permita la adopción de tecnologías.</t>
  </si>
  <si>
    <t xml:space="preserve">Parcela </t>
  </si>
  <si>
    <t>Parcela demostrativa bajo ambiente protegido para demostración a productores/as de la zona, establecida.</t>
  </si>
  <si>
    <t>Informe mensual de la dependencia, bitácora de cultivo y seguimiento fotográfico</t>
  </si>
  <si>
    <t>09.14.07.01.01.C</t>
  </si>
  <si>
    <t>Parcela demostrativa a cielo abierto para demostración a productores/as de la zona, establecida.</t>
  </si>
  <si>
    <t>09.14.07.01.01.F</t>
  </si>
  <si>
    <t>Parcela de validación de frijol a cielo abierto, establecida.</t>
  </si>
  <si>
    <t>09.14.07.01.01.S</t>
  </si>
  <si>
    <t>Cultivo de frijol a cielo abierto para la obtención de semilla, establecida.</t>
  </si>
  <si>
    <t>09.14.07.01.01.E</t>
  </si>
  <si>
    <t>Eventos en temas agropecuarios para grupo de productores y/o alumnos de la zona oriental, realizado.</t>
  </si>
  <si>
    <t xml:space="preserve">Informe mensual de la dependencia, registro de asistencia e informe de la capacitación. </t>
  </si>
  <si>
    <t>09.14.08.00.00</t>
  </si>
  <si>
    <t>División de Zootecnia y Agrostología</t>
  </si>
  <si>
    <t>09.14.08.01.00</t>
  </si>
  <si>
    <t>Contribuir a incrementar la producción y productividad pecuaria nacional</t>
  </si>
  <si>
    <t>09.14.08.01.02</t>
  </si>
  <si>
    <t xml:space="preserve">Entregar publicaciones que apoyen las medidas a tomar ante los problemas de salud, manejo de hatos, alimentación y otros causados por el cambio climático y enfermedades. </t>
  </si>
  <si>
    <t xml:space="preserve">Publicaciones que apoyen las medidas a tomar ante los problemas de salud, manejo de hatos, alimentación y otros causados por el cambio climático y enfermedades, entregadas </t>
  </si>
  <si>
    <t>Informe mensual de la dependencia: DZA, DIPOA, DIRRA y DSV</t>
  </si>
  <si>
    <t>Cuatro dependencia programaron, pero pueden informar todas las que entreguen.</t>
  </si>
  <si>
    <t>09.14.08.01.03.H</t>
  </si>
  <si>
    <t>Capacitar en practicas de conservación de suelo y agua en unidades productivas</t>
  </si>
  <si>
    <t>Evento en practicas de conservación de suelo y agua en unidades productivas de ganaderos  de lecherías especializadas y doble propósito, realizadas</t>
  </si>
  <si>
    <t>09.14.08.01.03.M</t>
  </si>
  <si>
    <t>09.14.08.01.03.E</t>
  </si>
  <si>
    <t>09.14.08.01.04.B</t>
  </si>
  <si>
    <t>Elaborar las Líneas Bases de información de productores con actividades económicas pecuarias, que oriente la asistencia técnica que permita el incremento de la producción y productividad ganadera.</t>
  </si>
  <si>
    <t>Diagnóstico para construir la Línea Base de productores con bovinos, elaborado</t>
  </si>
  <si>
    <t>informe de la división, documento de línea base del productor</t>
  </si>
  <si>
    <t>09.14.08.01.04.A</t>
  </si>
  <si>
    <t>Diagnóstico para construir la Línea Base de productores avícolas, elaborado</t>
  </si>
  <si>
    <t>09.14.08.01.04.C</t>
  </si>
  <si>
    <t>Diagnóstico para construir la Línea Base de productores con cerdos, conejos, ovicaprinos y otros, elaborado</t>
  </si>
  <si>
    <t>09.14.08.01.04.S</t>
  </si>
  <si>
    <t>Diagnóstico para construir la Línea Base de productores Agrosilvopastoriles, elaborado</t>
  </si>
  <si>
    <t>09.14.09.00.00</t>
  </si>
  <si>
    <t>División de Bienestar Animal</t>
  </si>
  <si>
    <t>09.14.09.01.00</t>
  </si>
  <si>
    <t>Aplicar y velar por el cumplimiento de  la Ley de Bienestar Animal para animales de compañía.</t>
  </si>
  <si>
    <t>09.14.09.01.01.C</t>
  </si>
  <si>
    <t>Vigilar para la protección y promoción de bienestar animal</t>
  </si>
  <si>
    <t>Comité</t>
  </si>
  <si>
    <t>Comité Nacional de Protección y Promoción de Bienestar Animal, conformado</t>
  </si>
  <si>
    <t>Informe de la División, copia del Acuerdo ministerial de creación.</t>
  </si>
  <si>
    <t>San Salvador, La libertad</t>
  </si>
  <si>
    <t>Dra. Marcela Chinchia - Jefa DIBA</t>
  </si>
  <si>
    <t>09.14.09.01.01.R</t>
  </si>
  <si>
    <t>Reuniones de coordinación interinstitucionales para implementar programa de vigilancia y control del cumplimiento de la Ley de Protección y Promoción del Bienestar de los Animales de compañía, realizado</t>
  </si>
  <si>
    <t>Informe de la División, documento de evidencia de reunión (invitación, correo, otros).</t>
  </si>
  <si>
    <t>09.14.09.01.01.V</t>
  </si>
  <si>
    <t>Visitas refugios, albergues y centros de reproducción animal, para verificar el cuido y manejo aplicando las normativas de bienestar animal, realizado</t>
  </si>
  <si>
    <t>Informe de la División, hoja de monitoreo</t>
  </si>
  <si>
    <t>09.14.09.01.01.VI</t>
  </si>
  <si>
    <t>Visitas a municipalidades para velar por la aplicación de la Ley de Protección y Promoción del  Bienestar en animales de compañía, realizado.</t>
  </si>
  <si>
    <t>09.14.09.01.03</t>
  </si>
  <si>
    <t>Proponer reformas al marco legal vinculantes al bienestar de animales de compañía</t>
  </si>
  <si>
    <t>Reformas a marcos legales vinculantes al bienestar de animales de compañía, propuesto</t>
  </si>
  <si>
    <t>Informe de la División, nota de remisión de reformas presentadas.</t>
  </si>
  <si>
    <t>Los documentos son: Reforma a la Ley de Bienestar Animal y su Reglamento de aplicación (la presentación de este segundo dependerá de la aprobación del primero).</t>
  </si>
  <si>
    <t>09.14.09.01.04.P</t>
  </si>
  <si>
    <t>Velar por el cumplimiento de la protección y bienestar de los animales de compañía.</t>
  </si>
  <si>
    <t xml:space="preserve">Proceso </t>
  </si>
  <si>
    <t>Acompañamiento de denuncias de maltrato de animales de compañía con otras instancias públicas o privadas, realizado</t>
  </si>
  <si>
    <t>Informe de la División, Acta de denuncia, cuadro control de acompañamientos/rescates realizados</t>
  </si>
  <si>
    <t>09.14.09.01.04.A</t>
  </si>
  <si>
    <t>09.14.09.01.05.H</t>
  </si>
  <si>
    <t>Realizar eventos de capacitación para la difusión y concientización de la aplicación de la Ley de "Bienestar Animal" en organismos públicos y población en general</t>
  </si>
  <si>
    <t>Eventos de capacitación para la difusión y concientización de la aplicación de la Ley de "Bienestar Animal" en organismos públicos y población en general, realizados</t>
  </si>
  <si>
    <t>Informe mensual de la División, informe y listado de capacitación.</t>
  </si>
  <si>
    <t>09.14.09.01.05.M</t>
  </si>
  <si>
    <t>09.14.09.01.05.E</t>
  </si>
  <si>
    <t>09.14.09.01.06.J</t>
  </si>
  <si>
    <t>Implementar medidas de protección en animales de compañía.</t>
  </si>
  <si>
    <t>Jornadas de castración y esterilización en perros y gatos para el control de la población, realizadas</t>
  </si>
  <si>
    <t>Informe mensual de la División, documentos de respaldo de la actividad.</t>
  </si>
  <si>
    <t>09.14.09.01.06.A</t>
  </si>
  <si>
    <t>Informe mensual de la División, cuadro resumen de animales atendidos por especie.</t>
  </si>
  <si>
    <t>Dirección / Oficina: Dirección General de Sanidad Vegetal (DGSV)</t>
  </si>
  <si>
    <t>FAE
F.P.</t>
  </si>
  <si>
    <t>DGSV</t>
  </si>
  <si>
    <t>01.01.01.00.00.</t>
  </si>
  <si>
    <t>01.01.01.02.00.</t>
  </si>
  <si>
    <t>Tecnología post-cosecha y ampliar la capacidad de almacenamiento de pequeños y medianos productores, realizada</t>
  </si>
  <si>
    <t>01.01.01.02.01.</t>
  </si>
  <si>
    <t>Impartir capacitaciones a agricultores en temas de Inocuidad y almacenamiento apropiado de granos básicos</t>
  </si>
  <si>
    <t>Agricultores, capacitados</t>
  </si>
  <si>
    <t>Douglas Navarro. Jefe, División de Vigilancia y Certificación de Producción Agrícola (DVCPA)</t>
  </si>
  <si>
    <t>Por motivo de pandemia las capacitaciones programadas  se cancelaron</t>
  </si>
  <si>
    <t>01.01.01.05.00.</t>
  </si>
  <si>
    <t>01.01.01.05.01.</t>
  </si>
  <si>
    <t xml:space="preserve">Efectuar visitas a campo de producción de semillas y material vegetativo </t>
  </si>
  <si>
    <t>Visitas a campo de producción de semillas, realizadas</t>
  </si>
  <si>
    <t>Bitácora de visitas.</t>
  </si>
  <si>
    <t>Alexis Rigoberto Espinoza Vásquez</t>
  </si>
  <si>
    <t>01.01.01.05.02.</t>
  </si>
  <si>
    <t>Muestrear y analizar semilla</t>
  </si>
  <si>
    <t>Análisis en laboratorio, realizados</t>
  </si>
  <si>
    <t>Hoja de resultados de análisis</t>
  </si>
  <si>
    <t>01.01.01.05.03.</t>
  </si>
  <si>
    <t>Etiquetar y certificar semilla certificada que cumpla con los estándares de calidad</t>
  </si>
  <si>
    <t>Quintales de semilla, certificada</t>
  </si>
  <si>
    <t>Hoja de certificación (Etiquetado)</t>
  </si>
  <si>
    <t>01.01.01.06.00.</t>
  </si>
  <si>
    <t>Ejecutar el Sistema de Vigilancia Fitosanitaria.</t>
  </si>
  <si>
    <t>Unidades de producción, inspeccionadas</t>
  </si>
  <si>
    <t>01.01.01.06.01.</t>
  </si>
  <si>
    <t>Vigilar fitosanitariamente en cultivos y productos de importancia económica</t>
  </si>
  <si>
    <t>Douglas Navarro. Jefe DVCPA</t>
  </si>
  <si>
    <t>01.01.01.06.02.</t>
  </si>
  <si>
    <t>Capacitar sobre aspectos fitosanitarios</t>
  </si>
  <si>
    <t>Agricultor, capacitado</t>
  </si>
  <si>
    <t>01.01.06.00.00.</t>
  </si>
  <si>
    <t>01.01.06.07.00.</t>
  </si>
  <si>
    <t>Ejecutar el Sistema de Inocuidad de Frutas y Hortalizas Frescas</t>
  </si>
  <si>
    <t>Certificado fitosanitario Autorizado, emitido</t>
  </si>
  <si>
    <t>01.01.06.07.01.</t>
  </si>
  <si>
    <t>Aplicar las Buenas Prácticas Agrícolas y de Manufactura en unidades productivas inspeccionadas</t>
  </si>
  <si>
    <t>Hoja de Acciones Correctivas</t>
  </si>
  <si>
    <t>01.01.06.07.02.</t>
  </si>
  <si>
    <t>Muestrear alimentos de origen vegetal para residuos de plaguicidas</t>
  </si>
  <si>
    <t>Muestra</t>
  </si>
  <si>
    <t>Muestras en alimentos de origen vegetal, recolectadas</t>
  </si>
  <si>
    <t>Resultado de análisis de la muestra</t>
  </si>
  <si>
    <t>01.01.06.07.04.</t>
  </si>
  <si>
    <t>Capacitar sobre inocuidad de Alimentos de origen vegetal, en  el marco de la reglamentación vigente</t>
  </si>
  <si>
    <t>01.01.06.07.05.</t>
  </si>
  <si>
    <t>01.01.06.07.06.</t>
  </si>
  <si>
    <t>01.01.06.07.07.</t>
  </si>
  <si>
    <t>Producir parasitoides para el control de las moscas de la fruta</t>
  </si>
  <si>
    <t>Parasitoides para el control de las moscas de la fruta, producidos</t>
  </si>
  <si>
    <t>Registro de parasitoides producidos.</t>
  </si>
  <si>
    <t>01.01.06.07.08.</t>
  </si>
  <si>
    <t>Autorizar Certificación de Productos vegetales y otros.</t>
  </si>
  <si>
    <t>Hoja de autorización de certificación fitosanitaria</t>
  </si>
  <si>
    <t>01.01.06.07.09.</t>
  </si>
  <si>
    <t>Elaborar informes de consulta técnica para Análisis de Riesgo de Plagas.</t>
  </si>
  <si>
    <t>Consulta técnica de Análisis de Riesgo de Plaga, realizada.</t>
  </si>
  <si>
    <t>Perfil de análisis de riesgo.</t>
  </si>
  <si>
    <t>Luís Huezo Abarca</t>
  </si>
  <si>
    <t>01.01.06.08.00.</t>
  </si>
  <si>
    <t>Ejecutar el Sistema de  Vigilancia de Agricultura Orgánica</t>
  </si>
  <si>
    <t>Unidades de producción orgánica, inspeccionadas</t>
  </si>
  <si>
    <t>01.01.06.08.01.</t>
  </si>
  <si>
    <t>Registrar productores orgánicos</t>
  </si>
  <si>
    <t>Productores orgánicos, registrados</t>
  </si>
  <si>
    <t>Solicitud de registro</t>
  </si>
  <si>
    <t>01.04.01.00.00.</t>
  </si>
  <si>
    <t>01.04.01.01.00.</t>
  </si>
  <si>
    <t>Fortalecer la asistencia Fitosanitaria del cultivo, productividad y control de la trazabilidad.</t>
  </si>
  <si>
    <t>01.04.01.01.01.</t>
  </si>
  <si>
    <t>Vigilar fitosanitariamente en cultivos de cacao</t>
  </si>
  <si>
    <t>01.05.01.02.04.</t>
  </si>
  <si>
    <t>01.05.01.03.04.</t>
  </si>
  <si>
    <t>Registrar insumos agrícolas</t>
  </si>
  <si>
    <t>Certificado de registro, emitido</t>
  </si>
  <si>
    <t>Certificado de registro</t>
  </si>
  <si>
    <t>José Roberto Cabrera Cuéllar</t>
  </si>
  <si>
    <t>01.05.01.03.05.</t>
  </si>
  <si>
    <t xml:space="preserve">Realizar control de calidad de insumos agrícolas. </t>
  </si>
  <si>
    <t>Certificado de Análisis, emitido</t>
  </si>
  <si>
    <t>Certificado de Análisis</t>
  </si>
  <si>
    <t>01.05.01.03.06.</t>
  </si>
  <si>
    <t>Supervisar y fiscalizar Establecimientos que comercializan insumos de uso agrícola.</t>
  </si>
  <si>
    <t>02.02.00.00.00.</t>
  </si>
  <si>
    <t>Línea 2. Acopio y acceso a mercados</t>
  </si>
  <si>
    <t>02.02.02.00.00.</t>
  </si>
  <si>
    <t>Mayor acopio y acceso de alimentos</t>
  </si>
  <si>
    <t>02.02.02.01.00.</t>
  </si>
  <si>
    <t>Fortalecer el Programa de Silos Metálicos y otras alternativas post cosecha, para transferir tecnología y ampliar la capacidad de almacenamiento de pequeños y medianos productores.</t>
  </si>
  <si>
    <t>Silo</t>
  </si>
  <si>
    <t>Silo metálico, entregado</t>
  </si>
  <si>
    <t>Acta de entrega</t>
  </si>
  <si>
    <t>02.02.02.01.01.</t>
  </si>
  <si>
    <t>Formar artesanos Postcosecha</t>
  </si>
  <si>
    <t>Artesano</t>
  </si>
  <si>
    <t>Artesano, formado</t>
  </si>
  <si>
    <t>08.02.01.03.05.</t>
  </si>
  <si>
    <t>Incorporar el tema de inocuidad de alimentos a la Ley de Sanidad Vegetal y Animal</t>
  </si>
  <si>
    <t xml:space="preserve">Ley de Sanidad Vegetal y Anima con temas de inocuidad, incorporados  </t>
  </si>
  <si>
    <t xml:space="preserve">Documento de Ley </t>
  </si>
  <si>
    <t>Douglas Navarro. Jefe DVCPA y Roberto Danilo Guzmán Mariona. Jefe Depto. Asesoría Jurídica</t>
  </si>
  <si>
    <t>08.02.01.03.06.</t>
  </si>
  <si>
    <t>Elaborar propuesta de  reglamento para la certificación genética de bancos y lotes de producción de semillas  y viveros para la producción  de plántula de café.</t>
  </si>
  <si>
    <t>Propuesta de Reglamento, presentado</t>
  </si>
  <si>
    <t>08.02.01.03.07.</t>
  </si>
  <si>
    <t>Revisar el Reglamento de Buenas prácticas agrícolas</t>
  </si>
  <si>
    <t>Reglamento, revisado</t>
  </si>
  <si>
    <t>08.02.01.03.08.</t>
  </si>
  <si>
    <t>Presentación de propuesta de Ley de viveros</t>
  </si>
  <si>
    <t>Propuesta, presentada</t>
  </si>
  <si>
    <t>08.05.01.01.02.</t>
  </si>
  <si>
    <t>Capacitar al personal para el fortalecimiento de la DGSV.</t>
  </si>
  <si>
    <t>09.00.00.00.00.</t>
  </si>
  <si>
    <t xml:space="preserve">Eje 9: Acciones Misionales </t>
  </si>
  <si>
    <t>09.10.00.00.00.</t>
  </si>
  <si>
    <t>Línea 1. Dirección General de Sanidad Vegetal</t>
  </si>
  <si>
    <t>09.10.01.00.00.</t>
  </si>
  <si>
    <t>Dirección General</t>
  </si>
  <si>
    <t>09.10.01.01.00.</t>
  </si>
  <si>
    <t>Proteger  el sector agrícola del país de plagas, así como garantizar la fitosanidad e inocuidad de alimentos de origen vegetal para prevenir daños en la salud humana y el medio ambiente</t>
  </si>
  <si>
    <t>09.10.01.01.01.</t>
  </si>
  <si>
    <t>Apoyo a otras dependencias del MAG</t>
  </si>
  <si>
    <t>Informe sobre el Apoyo a otras dependencias del MAG, elaborado</t>
  </si>
  <si>
    <t>DGEA, ODC, DGAF, CENTA, DTIT, OPPS</t>
  </si>
  <si>
    <t>Secretaría de Estado</t>
  </si>
  <si>
    <t>Dirección / Oficina: Direccion Legal (DL)</t>
  </si>
  <si>
    <t>Período de Ejecución: Enero a Diciembre 2021</t>
  </si>
  <si>
    <t>DL</t>
  </si>
  <si>
    <t>08.02.01.03.09.</t>
  </si>
  <si>
    <t>Asesorar la revisión o elaboración de  Instrumentos Jurídicos al despacho ministerial y demás dependencias.</t>
  </si>
  <si>
    <t>Documentos</t>
  </si>
  <si>
    <t>08.02.01.03.10.</t>
  </si>
  <si>
    <t>Asesorar la elaboración de opiniones jurídicas</t>
  </si>
  <si>
    <t>Asesorar la elaboración de opiniones jurídicas solicitadas</t>
  </si>
  <si>
    <t>Nota técnica o dictamen jurídico</t>
  </si>
  <si>
    <t>08.02.01.03.11.</t>
  </si>
  <si>
    <t>Asesorar la revisión  o elaboración de documentos que requieran de la función notarial</t>
  </si>
  <si>
    <t>Asesorar la elaboración o revisión de Documentos notariales</t>
  </si>
  <si>
    <t>08.02.00.00.00</t>
  </si>
  <si>
    <t>08.02.01.00.00</t>
  </si>
  <si>
    <t>08.02.01.02.00</t>
  </si>
  <si>
    <t>08.02.01.02.13.</t>
  </si>
  <si>
    <t>Actualizar Manual de Políticas del uso de recursos tecnológicos</t>
  </si>
  <si>
    <t>Manual de Políticas del uso de recursos tecnológicos actualizado</t>
  </si>
  <si>
    <t>Manual de Políticas de recursos tecnológicos</t>
  </si>
  <si>
    <t>DTIT, Ing. Elvis Ramirez</t>
  </si>
  <si>
    <t>08.02.01.02.14.</t>
  </si>
  <si>
    <t>Actualizar manual de procedimientos del uso de recursos tecnológicos</t>
  </si>
  <si>
    <t>Manual de Procedimientos del uso de recursos tecnológicos, actualizado</t>
  </si>
  <si>
    <t>Manual de Procedimientos del uso de recursos tecnológicos</t>
  </si>
  <si>
    <t>08.02.01.06.00</t>
  </si>
  <si>
    <t>08.02.01.06.07.</t>
  </si>
  <si>
    <t>Asesorar a las diferentes dependencias del MAG en el desarrollo de términos de referencia, para elaborar los sistemas de información automatizados</t>
  </si>
  <si>
    <t>Términos de referencia de sistemas de información automatizados, asesorados</t>
  </si>
  <si>
    <t>Términos de referencia de sistemas de información automatizados</t>
  </si>
  <si>
    <t>08.05.00.00.00</t>
  </si>
  <si>
    <t>Línea 5. Orientación hacia el personal</t>
  </si>
  <si>
    <t>08.05.01.00.00</t>
  </si>
  <si>
    <t>08.05.01.01.00</t>
  </si>
  <si>
    <t>Plan de capacitación elaborado</t>
  </si>
  <si>
    <t>08.05.01.01.05.</t>
  </si>
  <si>
    <t>Proponer un plan para mejorar las capacidades técnicas del personal informático</t>
  </si>
  <si>
    <t>Plan para mejorar las capacidades técnicas del personal informático, presentado</t>
  </si>
  <si>
    <t>Memo de remisión para su aprobación del Plan para mejorar las capacidades técnicas del personal informático.</t>
  </si>
  <si>
    <t>Línea 6. Gestión de Procesos</t>
  </si>
  <si>
    <t>08.06.01.06.00</t>
  </si>
  <si>
    <t>Gestionar los inmuebles, equipos, tecnología y materiales</t>
  </si>
  <si>
    <t>08.06.01.06.01</t>
  </si>
  <si>
    <t>Gestionar la adquisición de servidores de última generación</t>
  </si>
  <si>
    <t>Servidores de ultima generación, Gestionados</t>
  </si>
  <si>
    <t>Documento de Gestión</t>
  </si>
  <si>
    <t>08.06.01.06.02</t>
  </si>
  <si>
    <t>Mejorar la infraestructura informática del MAG</t>
  </si>
  <si>
    <t>Red informática, mejorada</t>
  </si>
  <si>
    <t>Pruebas de comunicación</t>
  </si>
  <si>
    <t>09.03.00.00.00</t>
  </si>
  <si>
    <t>Dirección de Tecnología de la Información y Telecomunicación</t>
  </si>
  <si>
    <t>09.03.01.00.00</t>
  </si>
  <si>
    <t>Dirección de Tecnología de Información y Telecomunicación</t>
  </si>
  <si>
    <t>09.03.01.01.00</t>
  </si>
  <si>
    <t>Reconvertir la División de Informática a una dependencia orientada al desarrollo tecnológico institucional</t>
  </si>
  <si>
    <t>09.03.01.01.01</t>
  </si>
  <si>
    <t>Actualizar instructivos para la gestión de TI</t>
  </si>
  <si>
    <t xml:space="preserve">Instructivos actualizados </t>
  </si>
  <si>
    <t>Documento Actualizado.</t>
  </si>
  <si>
    <t>09.03.01.01.02</t>
  </si>
  <si>
    <t>Administrar contratos de servicios relacionados a las TIC´s para la gestión institucional</t>
  </si>
  <si>
    <t>Contratos administrados</t>
  </si>
  <si>
    <t>Informe de administración de contratos</t>
  </si>
  <si>
    <t>09.03.01.01.03</t>
  </si>
  <si>
    <t>Analizar sistemas actuales desarrollados en tecnologías obsoletas </t>
  </si>
  <si>
    <t>Análisis de Sistema de Información elaborado</t>
  </si>
  <si>
    <t>Documento de análisis</t>
  </si>
  <si>
    <t>09.03.01.01.04</t>
  </si>
  <si>
    <t>Diseñar los Sistemas Administrativos del MAG</t>
  </si>
  <si>
    <t>Documento de diseño de los Sistemas Administrativos elaborado</t>
  </si>
  <si>
    <t>Documento de diseño</t>
  </si>
  <si>
    <t>09.03.01.01.05</t>
  </si>
  <si>
    <t>Proporcionar asistencia técnica especializada en la dirección de proyectos de desarrollo por la vía del sub contrato (a demanda)</t>
  </si>
  <si>
    <t>Asistencia técnica especializada en la dirección de proyectos de desarrollo subcontratos proporcionada</t>
  </si>
  <si>
    <t>Informe de la asistencia brindada</t>
  </si>
  <si>
    <t>09.03.01.01.06</t>
  </si>
  <si>
    <t>Proporcionar Soporte tecnológico para el proceso de entrega de insumos agrícolas para los campesinos de subsistencia</t>
  </si>
  <si>
    <t>Soporte tecnológico para el proceso de entrega de insumos agrícolas proporcionado</t>
  </si>
  <si>
    <t>Informe de soporte proporcionado</t>
  </si>
  <si>
    <t>09.03.01.01.07</t>
  </si>
  <si>
    <t>Brindar Soporte Técnico Informático a las oficinas del MAG</t>
  </si>
  <si>
    <t>Soporte Técnico Informático brindado</t>
  </si>
  <si>
    <t>Informe del soporte técnico brindado</t>
  </si>
  <si>
    <t>Dirección / Oficina: Dirección de Tecnologías de Información y Telecomunicación</t>
  </si>
  <si>
    <t>Área Ministerial: Dependencias Descentralizada</t>
  </si>
  <si>
    <t>Dirección/Oficina: Escuela nacional de agricultura "Roberto Quiñónez" (ENA)</t>
  </si>
  <si>
    <t>Periodo de Ejecución: Enero - Diciembre de 2021</t>
  </si>
  <si>
    <t>Resultado / Acción Estratégica/Acción Operativa</t>
  </si>
  <si>
    <t>Gestión ambiental y cambio climático</t>
  </si>
  <si>
    <t>Restauración de ecosistemas degradados relacionados con el sector</t>
  </si>
  <si>
    <t>03.01.02.01.00</t>
  </si>
  <si>
    <t>03.01.02.01.03</t>
  </si>
  <si>
    <t>Aumentar áreas con cobertura arbórea, en zonas de recarga acuífera dentro del campus ENA</t>
  </si>
  <si>
    <t>Área con cobertura arbórea, en zonas de recarga acuífera dentro de la ENA, incrementada</t>
  </si>
  <si>
    <t xml:space="preserve">San Andrés Ciudad Arce </t>
  </si>
  <si>
    <t xml:space="preserve">Francisco Parker </t>
  </si>
  <si>
    <t>03.01.02.03.06</t>
  </si>
  <si>
    <t>Establecer obras de conservación de suelo y cosecha de agua</t>
  </si>
  <si>
    <t>Superficie con obras de conservación de suelo y agua , construida</t>
  </si>
  <si>
    <t>informe de avance</t>
  </si>
  <si>
    <t>Desarrollo y aprovechamiento del recurso hídrico (RIEGO)</t>
  </si>
  <si>
    <t>03.02.02.02.00</t>
  </si>
  <si>
    <t>Implementar  soluciones tecnológicas de cosecha de agua en áreas de secano.</t>
  </si>
  <si>
    <t>03.02.02.02.01</t>
  </si>
  <si>
    <t>Implementar tecnologías de cosecha de agua en áreas de secano</t>
  </si>
  <si>
    <t>Tecnología, establecida</t>
  </si>
  <si>
    <t>informe de  avance</t>
  </si>
  <si>
    <t>Fortalecer mecanismos internos para la transversalización del enfoque de género.</t>
  </si>
  <si>
    <t>05.01.01.02.00</t>
  </si>
  <si>
    <t>Promover servicios de atención,  capacitación y asistencia técnica integral y diferenciada para mujeres, juventud y pueblos indígenas</t>
  </si>
  <si>
    <t>05.01.01.02.06</t>
  </si>
  <si>
    <t>Realizar Campaña permanente de prevención de violencia, dirigida a estudiantes, docentes y personal administrativo</t>
  </si>
  <si>
    <t>Campaña permanente de prevención de violencia, dirigida a estudiantes, docentes y personal administrativo, realizada</t>
  </si>
  <si>
    <t>Mensajes de prevención publicados</t>
  </si>
  <si>
    <t>05.01.01.02.07</t>
  </si>
  <si>
    <t>Realizar Jornada de sensibilización de prevención de la violencia dirigida a la comunidad educativa y personal institucional</t>
  </si>
  <si>
    <t>Jornada de sensibilización de prevención de la violencia dirigida a la comunidad educativa y personal institucional, realizada</t>
  </si>
  <si>
    <t>Listado de asistencia</t>
  </si>
  <si>
    <t>05.01.01.02.08</t>
  </si>
  <si>
    <t>Elaborar Instrumentos normativos institucionales armonizado a la legislación de los derechos humanos de las mujeres y jovenes</t>
  </si>
  <si>
    <t>Instrumentos normativos institucionales armonizado a la legislación de los derechos humanos de las mujeres y jóvenes, elaborado</t>
  </si>
  <si>
    <t>reglamento, resoluciones y acuerdos</t>
  </si>
  <si>
    <t>05.01.01.03.00</t>
  </si>
  <si>
    <t>05.01.01.03.01</t>
  </si>
  <si>
    <t>Publicar Estadísticas desagregadas por sexo y grupo etario de la comunidad inscrita en la ENA, graduada y del personal institucional</t>
  </si>
  <si>
    <t>Estadísticas desagregadas por sexo y grupo etario de la comunidad inscrita, graduada y del personal institucional, publicados</t>
  </si>
  <si>
    <t>Registros y listados</t>
  </si>
  <si>
    <t>05.02.00.00.00</t>
  </si>
  <si>
    <t>Promover el empoderamiento y autonomía económica de las mujeres y jóvenes, dotando de mayor acceso y control a medios productivos.</t>
  </si>
  <si>
    <t>05.02.01.00.00</t>
  </si>
  <si>
    <t>05.02.01.04.00</t>
  </si>
  <si>
    <t>Generar articulación interinstitucional para desarrollar acciones afirmativas para el empoderamiento y autonomía económica de las mujeres, jóvenes y población indígena.</t>
  </si>
  <si>
    <t>05.02.01.04.02</t>
  </si>
  <si>
    <t>Gestionar Alianzas estratégicas de la ENA con instituciones gubernamentales, privadas, ONG's y asociaciones cooperativas orientadas a mujeres y jóvenes</t>
  </si>
  <si>
    <t>Alianzas estratégicas con instituciones gubernamentales, privadas, Ong's y asociaciones cooperativas orientadas a mujeres y jóvenes, gestionadas</t>
  </si>
  <si>
    <t>Convenios, memorando de entendimiento y alianzas público-privada firmados</t>
  </si>
  <si>
    <t>05.03.00.00.00</t>
  </si>
  <si>
    <t>Fortalecer capacidades  en mujeres y jóvenes</t>
  </si>
  <si>
    <t>05.03.01.00.00</t>
  </si>
  <si>
    <t>Formar en capacidades productivas y empresariales en mujeres y jóvenes</t>
  </si>
  <si>
    <t>05.03.01.04.00</t>
  </si>
  <si>
    <t>Promover iniciativas integrales específicas para la juventud que incentive la permanencia  en actividades del agro y medio rural.</t>
  </si>
  <si>
    <t>05.03.01.04.01</t>
  </si>
  <si>
    <t>Promover Emprendedurismo agropecuario con jóvenes estudiantes de agronomía</t>
  </si>
  <si>
    <t>Emprendedurismo agropecuario con jóvenes estudiantes de agronomía, promovido</t>
  </si>
  <si>
    <t>Empresas, proyectos o productos lanzados al mercado</t>
  </si>
  <si>
    <t>Eje 6: Educación, Investigación e Innovación Agropecuaria</t>
  </si>
  <si>
    <t>06.01.00.00.00</t>
  </si>
  <si>
    <t>Fortalecimiento de las capacidades del recurso humano para el sector agropecuario</t>
  </si>
  <si>
    <t>06.01.01.00.00</t>
  </si>
  <si>
    <t xml:space="preserve">Mayor oferta de profesionales para el desarrollo del sector </t>
  </si>
  <si>
    <t>06.01.01.01.00</t>
  </si>
  <si>
    <t>Desarrollar oferta académica especializada para el desarrollo del sector.</t>
  </si>
  <si>
    <t>06.01.01.01.01</t>
  </si>
  <si>
    <t xml:space="preserve">Formar Técnicos Agrónomos </t>
  </si>
  <si>
    <t>Técnico agrónomo, formado</t>
  </si>
  <si>
    <t>Registro académico</t>
  </si>
  <si>
    <t xml:space="preserve">Cuidad Arce, La Libertad </t>
  </si>
  <si>
    <t>ENA</t>
  </si>
  <si>
    <t xml:space="preserve">Meta no acumulada </t>
  </si>
  <si>
    <t>06.01.01.02.00</t>
  </si>
  <si>
    <t>Fortalecer la cobertura del programa de becas de la ENA para hijos de productores del sector.</t>
  </si>
  <si>
    <t>06.01.01.02.01</t>
  </si>
  <si>
    <t>Gestionar ante diferentes cooperantes ampliar la cobertura del programa de becas de la ENA para hijos de productores.</t>
  </si>
  <si>
    <t>Gestión, realizada</t>
  </si>
  <si>
    <t>Documento enviado</t>
  </si>
  <si>
    <t>06.01.01.04.00</t>
  </si>
  <si>
    <t>Fomento de cursos especializados en gestión empresarial, manejo post-cosecha, valor agregado en granos básicos con apoyo de la industria, asocio público-privado y la cooperación técnica internacional.</t>
  </si>
  <si>
    <t>06.01.01.04.01</t>
  </si>
  <si>
    <t>Capacitar a personas  en temas agropecuarios forestales, pesquero,  acuícola y en gestión empresarial, manejo post-cosecha, valor agregado en granos básicos.</t>
  </si>
  <si>
    <t>Personas, capacitadas</t>
  </si>
  <si>
    <t>06.01.01.05.00</t>
  </si>
  <si>
    <t>Financiar parcialmente las líneas de investigación capacitación y entrenamiento de profesores e investigadores de la ENA</t>
  </si>
  <si>
    <t>06.01.01.05.01</t>
  </si>
  <si>
    <t>Formar a profesores e investigadores de la ENA</t>
  </si>
  <si>
    <t>Profesores e investigador, capacitado</t>
  </si>
  <si>
    <t>Desarrollo de tecnologías especializadas para el sector agropecuario</t>
  </si>
  <si>
    <t>06.02.01.01.00</t>
  </si>
  <si>
    <t>Poner a disposición una mayor oferta de soluciones tecnológicas en agroindustria.</t>
  </si>
  <si>
    <t>06.02.01.01.01</t>
  </si>
  <si>
    <t>Ejecutar las investigaciones, validaciones y adaptaciones en agroindustria.</t>
  </si>
  <si>
    <t>Investigación, realizada</t>
  </si>
  <si>
    <t>Protocolo de investigación</t>
  </si>
  <si>
    <t>Modernización institucional</t>
  </si>
  <si>
    <t>08.01.01.04.00.</t>
  </si>
  <si>
    <t>Remodelar o reconstruir infraestructura de la Escuela Nacional de Agricultura (ENA)</t>
  </si>
  <si>
    <t xml:space="preserve">Edificación </t>
  </si>
  <si>
    <t>Edificación, rehabilitada</t>
  </si>
  <si>
    <t>08.01.01.04.01.</t>
  </si>
  <si>
    <t xml:space="preserve">Rehabilitar infraestructura de la ENA </t>
  </si>
  <si>
    <t>08.01.00.00.00</t>
  </si>
  <si>
    <t>Desarrollo de liderazgo</t>
  </si>
  <si>
    <t>08.01.01.00.00</t>
  </si>
  <si>
    <t>08.02.01.06.05.</t>
  </si>
  <si>
    <t xml:space="preserve">Implementar Normas Técnicas de Control Interno </t>
  </si>
  <si>
    <t>Normas Técnicas de Control Interno, implementadas</t>
  </si>
  <si>
    <t>Informe de Normas técnicas de control interno</t>
  </si>
  <si>
    <t>Dependencia: Instituto Salvadoreño de Transformación Agraria (ISTA)</t>
  </si>
  <si>
    <t>Prestamo
Externos</t>
  </si>
  <si>
    <t>03.03.00.00.00</t>
  </si>
  <si>
    <t>Gestión Ambiental para el desarrollo agropecuario</t>
  </si>
  <si>
    <t>03.03.01.00.00</t>
  </si>
  <si>
    <t>Mayor gestión ambiental en el sector</t>
  </si>
  <si>
    <t>03.03.01.01.00</t>
  </si>
  <si>
    <t>Incorporar la dimensión ambiental en las políticas, planes, programas y proyectos para el sector.</t>
  </si>
  <si>
    <t>03.03.01.01.02</t>
  </si>
  <si>
    <t>Implementar la Política de Gestión Ambiental del ISTA, que permita minimizar los impactos negativos al medio ambiente y reducir la vulnerabilidad frente al cambio climático.</t>
  </si>
  <si>
    <t>Informe de seguimiento a la implementación del Sistema de Gestión Ambiental, elaborado</t>
  </si>
  <si>
    <t>San Salvador, San Salvador</t>
  </si>
  <si>
    <t>Unidad Ambiental</t>
  </si>
  <si>
    <t>04.00.00.00.00</t>
  </si>
  <si>
    <t>Transformación Agraria</t>
  </si>
  <si>
    <t>04.01.00.00.00</t>
  </si>
  <si>
    <t>Transferencia y legalización de tierras</t>
  </si>
  <si>
    <t>04.01.01.00.00</t>
  </si>
  <si>
    <t>04.01.01.01.00</t>
  </si>
  <si>
    <t>04.01.01.01.03</t>
  </si>
  <si>
    <t>Elaborar informe técnico para aprobación de proyecto ISTA</t>
  </si>
  <si>
    <t>Informe técnico para aprobación de proyecto ISTA, elaborado</t>
  </si>
  <si>
    <t>Informe técnico para aprobación de proyecto ISTA</t>
  </si>
  <si>
    <t>Nivel Nacional</t>
  </si>
  <si>
    <t>Gerencia de Desarrollo Rural / Departamento Proyectos De Parcelación</t>
  </si>
  <si>
    <t>04.01.01.01.04</t>
  </si>
  <si>
    <t>Realizar la medición de los proyectos en propiedades a favor del ISTA.</t>
  </si>
  <si>
    <t>Plano</t>
  </si>
  <si>
    <t xml:space="preserve">Plano de perímetro, aprobado </t>
  </si>
  <si>
    <t>Plano aprobado de perímetro</t>
  </si>
  <si>
    <t>04.01.01.01.05</t>
  </si>
  <si>
    <t>Plano de DCD,  aprobado</t>
  </si>
  <si>
    <t>Plano aprobado de DCD</t>
  </si>
  <si>
    <t>04.01.01.01.06</t>
  </si>
  <si>
    <t>Realizar la entrega de testimonio de escritura pública de Acto o Contrato, al Departamento de Registro para ser presentados y tramitados su inscripción en el CNR; (DCD, Reuniones de Inmuebles, Remediciones, Permutas, Rectificaciones)</t>
  </si>
  <si>
    <t>Escritura Intermedia, elaborada</t>
  </si>
  <si>
    <t xml:space="preserve">Escritura Intermedia </t>
  </si>
  <si>
    <t>Gerencia Legal / Departamento de Escrituración</t>
  </si>
  <si>
    <t>04.01.01.01.07</t>
  </si>
  <si>
    <t>Elaborar dictamen para aprobación de proyectos ISTA</t>
  </si>
  <si>
    <t>Dictamen</t>
  </si>
  <si>
    <t>Dictamen  para la autorización de proyectos ISTA, elaborado</t>
  </si>
  <si>
    <t xml:space="preserve">Dictamen  para la autorización de proyectos ISTA </t>
  </si>
  <si>
    <t>Gerencia Legal / Departamento de Asistencia Jurídica</t>
  </si>
  <si>
    <t>04.01.01.01.08</t>
  </si>
  <si>
    <t>Realizar inspecciones de campo según demanda de las/os usuarias/os</t>
  </si>
  <si>
    <t>Inspecciones de campo, realizadas</t>
  </si>
  <si>
    <t>Registros de las Secciones Transferencia de Tierras - CETIA</t>
  </si>
  <si>
    <t>Gerencia de Desarrollo Rural / Secciones Transferencia de Tierras - CETIA</t>
  </si>
  <si>
    <t>04.01.01.01.09</t>
  </si>
  <si>
    <t>Completar solicitud de adjudicación de inmueble para Proyectos con DCD</t>
  </si>
  <si>
    <t>Solicitud</t>
  </si>
  <si>
    <t>Solicitudes de adjudicación de inmueble para Proyectos con DCD, completadas</t>
  </si>
  <si>
    <t>Solicitudes de adjudicación de inmueble para Proyectos con DCD</t>
  </si>
  <si>
    <t>04.01.01.01.10</t>
  </si>
  <si>
    <t>Elaborar dictámen tecnico  para la adjudicación  o readjudicación de inmuebles en proyectos con DCD inscrita</t>
  </si>
  <si>
    <t>Asignación</t>
  </si>
  <si>
    <t>Asignaciones de inmuebles en los proyectos que tienen DCD, realizadas</t>
  </si>
  <si>
    <t>Asignaciones de inmuebles en los proyectos que tienen DCD</t>
  </si>
  <si>
    <t>Gerencia de Desarrollo Rural / Departamento de Asignación Individual y Avalúos</t>
  </si>
  <si>
    <t>04.01.01.01.11</t>
  </si>
  <si>
    <t>Elaborar dictamen para la donación o venta de inmuebles al Estado de El Salvador, Alcaldías o personas jurídicas</t>
  </si>
  <si>
    <t xml:space="preserve"> Dictamen</t>
  </si>
  <si>
    <t>Dictamen de donación o venta de inmuebles al Estado de El Salvador, Alcaldías o personas jurídicas, elaborado</t>
  </si>
  <si>
    <t>Dictamen de donación o venta de inmuebles al Estado de El Salvador, Alcaldías o personas jurídicas</t>
  </si>
  <si>
    <t>04.01.01.01.12</t>
  </si>
  <si>
    <t>Coordinar con los Departamentos correspondientes para que provean los documentos necesarios que permita una fluidez en colaboración, confrontación en la impresión de escrituras públicas.</t>
  </si>
  <si>
    <t>04.01.01.01.13</t>
  </si>
  <si>
    <t>Mantener la aplicabilidad del Convenio de Cooperación Institucional celebrado entre el CNR e ISTA y hacerle las adendas de conformidad a los requerimientos en materia de registro.</t>
  </si>
  <si>
    <t>Documentos al CNR, presentados</t>
  </si>
  <si>
    <t>Documentos presentados al CNR</t>
  </si>
  <si>
    <t>Gerencia Legal / Departamento de Registro</t>
  </si>
  <si>
    <t>04.01.01.01.14</t>
  </si>
  <si>
    <t>Documentos en CNR, inscritos</t>
  </si>
  <si>
    <t>Documentos inscritos en CNR</t>
  </si>
  <si>
    <t>04.01.01.01.15</t>
  </si>
  <si>
    <t>Realizar la entrega de escrituras a beneficiarios  y beneficiarias</t>
  </si>
  <si>
    <t>Escritura, entregada</t>
  </si>
  <si>
    <t xml:space="preserve">Escritura </t>
  </si>
  <si>
    <t>Unidad de Gestión Documental y Archivos</t>
  </si>
  <si>
    <t>04.01.01.01.16</t>
  </si>
  <si>
    <t>Capacitar a familias en seguridad alimentaria nutricional y dar seguimiento</t>
  </si>
  <si>
    <t>Familia</t>
  </si>
  <si>
    <t>Familias del sector rural, beneficiadas</t>
  </si>
  <si>
    <t>Registros de Asistencia</t>
  </si>
  <si>
    <t xml:space="preserve">Gerencia de Transformación e Innovación Agropecuaria </t>
  </si>
  <si>
    <t>04.01.01.01.17</t>
  </si>
  <si>
    <t>Capacitar a cooperativas del sector rural con planes de negocio para la reactivación del sector agropecuario.</t>
  </si>
  <si>
    <t>Plan de negocio, realizado</t>
  </si>
  <si>
    <t>Plan de negocio</t>
  </si>
  <si>
    <t>04.01.01.01.18</t>
  </si>
  <si>
    <t>Establecer huertos familiares para la seguridad alimentaria nutricional.</t>
  </si>
  <si>
    <t>Huerto</t>
  </si>
  <si>
    <t>Huertos familiares para la seguridad alimentaria nutricional, establecidos</t>
  </si>
  <si>
    <t>Registros de huertos</t>
  </si>
  <si>
    <t>04.03.00.00.00</t>
  </si>
  <si>
    <t>Recuperación de la deuda Agraria del sector reformado</t>
  </si>
  <si>
    <t>04.03.01.00.00</t>
  </si>
  <si>
    <t>Mayor facilidad de cancelación de deuda agraria y agropecuaria</t>
  </si>
  <si>
    <t>04.03.01.01.00</t>
  </si>
  <si>
    <t>Mejorar los mecanismos de recuperación de la deuda agraria de acuerdo al marco legal.</t>
  </si>
  <si>
    <t>04.03.01.01.01</t>
  </si>
  <si>
    <t>Generar políticas de cobro para contar con una oportuna acción administrativa de cobro con un sistema moderno, ampliando las opciones en las cuales los beneficiarios puedan cancelar la deuda agraria.</t>
  </si>
  <si>
    <t>Crédito</t>
  </si>
  <si>
    <t>Créditos en dólares, recuperados</t>
  </si>
  <si>
    <t>Créditos recuperados en dólares</t>
  </si>
  <si>
    <t>Gerencia de Desarrollo Rural / Sección de Cobros</t>
  </si>
  <si>
    <t>04.03.01.01.02</t>
  </si>
  <si>
    <t>Gestión de cobro, realizada</t>
  </si>
  <si>
    <t xml:space="preserve">Gestión de cobro </t>
  </si>
  <si>
    <t>Género y Juventud</t>
  </si>
  <si>
    <t>05.01.01.02.09</t>
  </si>
  <si>
    <t>Implementar el Plan de acción de la política de género del ISTA</t>
  </si>
  <si>
    <t>Plan de acción de la política de género del ista, implementado</t>
  </si>
  <si>
    <t>Informes de verificación y seguimiento a la ejecución del plan de acción de la política de género</t>
  </si>
  <si>
    <t>Unidad de Genero</t>
  </si>
  <si>
    <t>09.20.00.00.00</t>
  </si>
  <si>
    <t>Instituto Salvadoreño de Transformación Agraria</t>
  </si>
  <si>
    <t>09.20.01.00.00</t>
  </si>
  <si>
    <t>Gerencia de Recursos Humanos</t>
  </si>
  <si>
    <t>09.20.01.01.00</t>
  </si>
  <si>
    <t xml:space="preserve">Administrar eficientemente el Recurso Humano Institucional de conformidad a las leyes normas y políticas gubernamentales; mediante la implementación de planes, programas y proyectos orientados al desarrollo integral del mismo. </t>
  </si>
  <si>
    <t>09.20.01.01.01</t>
  </si>
  <si>
    <t xml:space="preserve">Crear, mantener y desarrollar dentro del ISTA condiciones para reclutar, seleccionar y administrar el recurso humano y sus prestaciones, a fin de que este sea estable, desarrolle una adecuada cultura organizacional y se fomente una vinculación dinámica entre el personal y la Gerencia. </t>
  </si>
  <si>
    <t>Informe de actividades de la Gerencia de Recursos Humanos, elaborado</t>
  </si>
  <si>
    <t>Informe de actividades de la Gerencia de Recursos Humanos</t>
  </si>
  <si>
    <t>09.20.02.00.00</t>
  </si>
  <si>
    <t>Gerencia de Operaciones y Logística</t>
  </si>
  <si>
    <t>09.20.02.01.00</t>
  </si>
  <si>
    <t xml:space="preserve">Facilitar la correcta administración de los recursos físicos y logísticos, con el fin de obtener su máximo aprovechamiento en la ejecución de planes y proyectos Institucionales. </t>
  </si>
  <si>
    <t>09.20.02.01.01</t>
  </si>
  <si>
    <t>Administrar eficientemente los recursos físicos y logísticos, con el fin de obtener su máximo aprovechamiento en la ejecución de planes y proyectos institucionales</t>
  </si>
  <si>
    <t>Informe de actividades de la Gerencia de Operaciones y Logística, elaborado</t>
  </si>
  <si>
    <t>Informe de actividades  de la Gerencia de Operaciones y Logística</t>
  </si>
  <si>
    <t>09.20.03.00.00</t>
  </si>
  <si>
    <t>Unidad de Informática</t>
  </si>
  <si>
    <t>09.20.03.01.00</t>
  </si>
  <si>
    <t xml:space="preserve">Contribuir con la modernización del ISTA, coordinando y apoyando labores de informatización de las actividades que se desarrollan en las diferentes Dependencias de la Institución, mediante el uso y la aplicación de tecnologías de información para la elaboración y el mantenimiento de sistemas informatizados y equipos de computación, automatización de oficinas y habilitando los demás recursos informáticos necesarios para lograr de forma más cómoda, ágil y fácil, la eficiencia de los procesos, el flujo de la información derivado de ellos y ayudar a cumplir los Objetivos Institucionales. </t>
  </si>
  <si>
    <t>09.20.03.01.01</t>
  </si>
  <si>
    <t>Coordinar la modernización institucional mediante la generación, uso y aplicación de sistemas informáticos y de infraestructura tecnológica.</t>
  </si>
  <si>
    <t>Informe de actividades  de la Unidad de Informática, elaborado</t>
  </si>
  <si>
    <t>Informe de actividades de la Unidad de Informática</t>
  </si>
  <si>
    <t>09.20.04.00.00</t>
  </si>
  <si>
    <t>Unidad de Comunicaciones</t>
  </si>
  <si>
    <t>09.20.04.01.00</t>
  </si>
  <si>
    <t xml:space="preserve">Divulgar a nivel interno y externo todas las actividades y acciones encaminadas a fortalecer la adjudicación de tierras al sector campesino, así como de todos los proyectos que impulsa el Instituto en favor de este sector de la población. </t>
  </si>
  <si>
    <t>09.20.04.01.01</t>
  </si>
  <si>
    <t>Divulgar a nivel interno y externo los alcances obtenidos sobre la aplicación de los diferentes decretos que norman la operatividad del sector agropecuario reformado y no reformado.</t>
  </si>
  <si>
    <t>Actualizaciones de las acciones de ISTA en sitio web, redes sociales y señaléticas, realizadas</t>
  </si>
  <si>
    <t>Informe de actualizaciones de las acciones de ISTA en sitio web, redes sociales y señaléticas</t>
  </si>
  <si>
    <t xml:space="preserve">Unidad de Comunicaciones </t>
  </si>
  <si>
    <t>09.20.05.00.00</t>
  </si>
  <si>
    <t>Unidad Financiera Institucional</t>
  </si>
  <si>
    <t>09.20.05.01.00</t>
  </si>
  <si>
    <t>Dirigir, Coordinar, Integrar y supervisar las actividades de los departamentos de Presupuesto, Tesorería y Contabilidad, relacionadas con la gestión financiera Institucional, velando por el cumplimiento de las disposiciones legales y técnicas vigentes.</t>
  </si>
  <si>
    <t>09.20.05.01.01</t>
  </si>
  <si>
    <t>Propiciar una eficiente captación y administración de los recursos financieros asignados en el Presupuesto General de la Nación a la Institución, así como los que provienen de la recuperación de las deudas agraria y bancaria, que permita liquidez.</t>
  </si>
  <si>
    <t>Informe de seguimiento, control y ejecución  de las disponibilidades presupuestarias contenidas en los recursos financieros asignados y ejecutados mensualmente a cada unidad organizativa e Informe de análisis de disponibilidades bancarias, realizado</t>
  </si>
  <si>
    <t>Informe de Seguimiento, Control y Ejecución  de las disponibilidades presupuestarias contenidas en los recursos financieros asignados y ejecutados mensualmente a cada Unidad Organizativa e Informe de análisis de disponibilidades bancarias</t>
  </si>
  <si>
    <t>09.20.06.00.00</t>
  </si>
  <si>
    <t>Unidad de Adquisiciones y Contrataciones Institucional</t>
  </si>
  <si>
    <t>09.20.06.01.00</t>
  </si>
  <si>
    <t>Realizar todas las actividades relacionadas con la gestión de adquisiciones y contrataciones de obras, bienes y servicios de acuerdo a la normativa vigente.</t>
  </si>
  <si>
    <t>09.20.06.01.01</t>
  </si>
  <si>
    <t>Realizar las adquisiciones y contrataciones de bienes, obras y servicios de acuerdo a la asignación presupuestaria y el seguimiento al Plan Anual de Compras de la Institución.</t>
  </si>
  <si>
    <t>Gestiones de compras, realizadas</t>
  </si>
  <si>
    <t>Registros de la Unidad de Adquisiciones y Contrataciones Institucional (UACI)</t>
  </si>
  <si>
    <t>Unidad de Adquisiciones y Contrataciones Institucional (UACI)</t>
  </si>
  <si>
    <t>09.20.07.00.00</t>
  </si>
  <si>
    <t>09.20.07.01.00</t>
  </si>
  <si>
    <t>Coordinar la organización, catalogación, conservación, resguardo y acceso al patrimonio documental del Instituto Salvadoreño de Transformación Agraria -ISTA- de conformidad a la normativa vigente.</t>
  </si>
  <si>
    <t>09.20.07.01.01</t>
  </si>
  <si>
    <t>Resguardar e integrar archivos digitales y físicos a fin de brindar un servicio eficiente a las/los usuarias/os, así como a la diferente documentación institucional de las unidades organizativas.</t>
  </si>
  <si>
    <t>Informe, realizado</t>
  </si>
  <si>
    <t>Registros de la Unidad de Gestión Documental y Archivos</t>
  </si>
  <si>
    <t>09.20.09.00.00</t>
  </si>
  <si>
    <t>Presidencia, Vicepresidencia, Asesoría a la Presidencia, Unidad de Asistencia a Junta Directiva, Formación y cooperación, Gerencia General, Unidad de Auditoria Interna y Unidad de Planificación</t>
  </si>
  <si>
    <t>09.20.09.01.00</t>
  </si>
  <si>
    <t>Dirigir, administrar y representar legalmente al ISTA para garantizar que las diferentes acciones que se aplican en el Sector Agropecuario Reformado y no Reformado, se desarrollen de acuerdo a las políticas y disposiciones legales vigentes.</t>
  </si>
  <si>
    <t>09.20.09.01.01</t>
  </si>
  <si>
    <t>Dirigir la gestión de administración superior institucional</t>
  </si>
  <si>
    <t>Informe del Plan Anual Operativo Institucional, elaborado</t>
  </si>
  <si>
    <t xml:space="preserve">Informe del Plan Anual Operativo </t>
  </si>
  <si>
    <t>09.20.10.00.00</t>
  </si>
  <si>
    <t>Departamento de Asistencia Ciudadana</t>
  </si>
  <si>
    <t>09.20.10.01.00</t>
  </si>
  <si>
    <t>Brindar asistencia técnica y jurídica a los usuarios/as del ISTA, gestionando trámites o servicios en forma ágil y eficaz, así como realizar la recepción, distribución y despacho de la correspondencia institucional</t>
  </si>
  <si>
    <t>09.20.10.01.01</t>
  </si>
  <si>
    <t xml:space="preserve">Brindar atención y asesoría a las usuarias y usuarios del ISTA, mediante servicios de información. </t>
  </si>
  <si>
    <t>Usuarios/as, atendidos/as</t>
  </si>
  <si>
    <t>Registros del Departamento de Asistencia Ciudadana</t>
  </si>
  <si>
    <t>Dirección / Oficina: Oficina de Adquisiciones y Contrataciones Institucional (OACI)</t>
  </si>
  <si>
    <t>Observaciones</t>
  </si>
  <si>
    <t>OACI</t>
  </si>
  <si>
    <t>08.02.01.06.06.</t>
  </si>
  <si>
    <t>Digitalizar los procesos de Adquisiciones y contrataciones del MAG</t>
  </si>
  <si>
    <t xml:space="preserve">Procesos de Adquisiciones y contrataciones del MAG, digitalizados </t>
  </si>
  <si>
    <t xml:space="preserve">Informe de digitalización de los procesos de adquisiciones y contrataciones </t>
  </si>
  <si>
    <t>La Libertad, Santa Tecla</t>
  </si>
  <si>
    <t>08.03.01.01.00.</t>
  </si>
  <si>
    <t>Planes, desarrollados</t>
  </si>
  <si>
    <t>08.03.01.01.03.</t>
  </si>
  <si>
    <t>Analizar los planes de adquisiciones y contrataciones de las dependencias y consolidación del mismo, a nivel del MAG</t>
  </si>
  <si>
    <t>Plan anual de adquisiciones y contrataciones de las dependencias del MAG, consolidado</t>
  </si>
  <si>
    <t>Plan anual consolidado de adquisiciones y contrataciones del MAG</t>
  </si>
  <si>
    <t>09.06.00.00.00</t>
  </si>
  <si>
    <t xml:space="preserve">Oficina de Adquisiciones y Contrataciones Institucional </t>
  </si>
  <si>
    <t>09.06.01.00.00</t>
  </si>
  <si>
    <t>Área de libre gestión</t>
  </si>
  <si>
    <t>09.06.01.01.00</t>
  </si>
  <si>
    <t>Realizar la gestión de adquisiciones bajo la modalidad de libre gestión, acorde a lo establecido en la Ley de Adquisiciones y Contrataciones de la Administración Pública, su reglamento y demás normativa aplicable; cumpliendo las políticas, lineamientos y disposiciones técnicas que sean establecidas por la UNAC</t>
  </si>
  <si>
    <t>09.06.01.01.01</t>
  </si>
  <si>
    <t>Realizar ordenes de compra para la adquisición de obras, bienes y servicios para el MAG</t>
  </si>
  <si>
    <t>Orden de compra para la adquisicion de obras,  bienes y  servicios para el MAG, elaborada</t>
  </si>
  <si>
    <t>Informe de Ordenes de compra  aprobada</t>
  </si>
  <si>
    <t>09.06.02.00.00</t>
  </si>
  <si>
    <t xml:space="preserve">Área de Contratos </t>
  </si>
  <si>
    <t>09.06.02.01.00</t>
  </si>
  <si>
    <t>Verificar la correcta redacción legal de las bases de licitación, concurso, contrataciones directas, ordenes de negociación, resoluciones y contratos; la legalidad de los documentos requeridos en los procesos de contrataciones de obras, bienes y servicios; y el cumplimiento de la LACAP y demás normativa aplicable, en los procesos realizados por las diferentes áreas de la Oficina.</t>
  </si>
  <si>
    <t>09.06.02.01.01</t>
  </si>
  <si>
    <t>Realizar contratos y/o ordenes de negociación para la adquisición de obras, bienes y  servicios para el  MAG</t>
  </si>
  <si>
    <t>Contratos y/o ordenes de negociación para la adquisicion de obras, bienes y servicios para el MAG, elaborados</t>
  </si>
  <si>
    <t>Informe de Contrataciones y/o ordenes de negociación aprobado</t>
  </si>
  <si>
    <t>Dirección / Oficina: Oficina de Auditoría Interna (OAI)</t>
  </si>
  <si>
    <t>Periodo de Ejecución: Enero a Diciembre de 2021</t>
  </si>
  <si>
    <t>OAI</t>
  </si>
  <si>
    <t>Mecanismos de medición y evaluación</t>
  </si>
  <si>
    <t>08.08.01.01.05.</t>
  </si>
  <si>
    <t>Realizar auditorias operativas</t>
  </si>
  <si>
    <t>Auditoria operativa, realizadas</t>
  </si>
  <si>
    <t>Informe de auditoria operativa</t>
  </si>
  <si>
    <t>08.08.01.01.07.</t>
  </si>
  <si>
    <t>Realizar auditorias de procesos</t>
  </si>
  <si>
    <t>Auditoria de procesos, realizada</t>
  </si>
  <si>
    <t>Informe de auditoria de procesos</t>
  </si>
  <si>
    <t>Área Ministerial: Despacho Ministerial</t>
  </si>
  <si>
    <t>Dirección / Oficina: Oficina de Comunicaciones (ODC)</t>
  </si>
  <si>
    <t>Periodo de Ejecución: 01 de enero a 31 de diciembre 2021</t>
  </si>
  <si>
    <t>Eje / Línea /Resultado / Acción Estratégica / Acción Operativa</t>
  </si>
  <si>
    <t>Prestamo
Externo</t>
  </si>
  <si>
    <t>ODC</t>
  </si>
  <si>
    <t>08.08.01.01.03.</t>
  </si>
  <si>
    <t>Diseñar y divulgar informe de labores correspondiente al período</t>
  </si>
  <si>
    <t>Informe de labores del MAG, elaborado</t>
  </si>
  <si>
    <t>Informe de labores del MAG</t>
  </si>
  <si>
    <t>Oscar Dominguez</t>
  </si>
  <si>
    <t>09.05.00.00.00</t>
  </si>
  <si>
    <t>Oficina de Comunicaciones</t>
  </si>
  <si>
    <t>09.05.01.00.00</t>
  </si>
  <si>
    <t>Dar a conocer las acciones del MAG</t>
  </si>
  <si>
    <t>09.05.01.02.00</t>
  </si>
  <si>
    <t>Comunicación digital</t>
  </si>
  <si>
    <t>09.05.01.02.02</t>
  </si>
  <si>
    <t>Publicar las acciones del MAG en Facebook</t>
  </si>
  <si>
    <t>Publicación</t>
  </si>
  <si>
    <t>Publicaciones de las acciones del MAG en Facebook, realizadas</t>
  </si>
  <si>
    <t xml:space="preserve">Informe de publicaciones </t>
  </si>
  <si>
    <t>Fernando Flores</t>
  </si>
  <si>
    <t>09.05.01.02.03</t>
  </si>
  <si>
    <t>Publicar las acciones del MAG en Twitter</t>
  </si>
  <si>
    <t>Publicaciones de las acciones del MAG en Twitter, realizadas</t>
  </si>
  <si>
    <t>09.05.01.02.04</t>
  </si>
  <si>
    <t>Publicar las acciones del MAG en Instagram</t>
  </si>
  <si>
    <t>Publicaciones de las acciones del MAG en Instagram, realizadas</t>
  </si>
  <si>
    <t>Informe de publicaciones</t>
  </si>
  <si>
    <t>09.05.01.02.05</t>
  </si>
  <si>
    <t>Producir videos informativos de las acciones del MAG y de los servicios</t>
  </si>
  <si>
    <t>Video</t>
  </si>
  <si>
    <t>Videos informativos de las acciones del MAG y de los servicios, producidos</t>
  </si>
  <si>
    <t>Informe de videos producidos</t>
  </si>
  <si>
    <t>Cristian Borja</t>
  </si>
  <si>
    <t>09.05.01.02.06</t>
  </si>
  <si>
    <t>Realizar coberturas fotográficas para eventos oficiales</t>
  </si>
  <si>
    <t>Coberturas fotográficas para eventos oficiales, realizadas</t>
  </si>
  <si>
    <t>Informe de coberturas fotográficas</t>
  </si>
  <si>
    <t>Ricardo Ovidio Siliézar</t>
  </si>
  <si>
    <t>09.05.01.02.07</t>
  </si>
  <si>
    <t>Realizar coberturas fotográficas para misiones especiales</t>
  </si>
  <si>
    <t>Misión</t>
  </si>
  <si>
    <t>Coberturas fotográficas para misiones especiales, realizadas</t>
  </si>
  <si>
    <t>Informe de coberturas de misiones</t>
  </si>
  <si>
    <t>09.05.01.02.08</t>
  </si>
  <si>
    <t>Diseñar artes gráficas para redes sociales, comunicación institucional interna y externa</t>
  </si>
  <si>
    <t>Arte</t>
  </si>
  <si>
    <t>Artes gráficas para redes sociales y comunicación institucional interna y externa, diseñadas</t>
  </si>
  <si>
    <t>Informe de artes diseñados</t>
  </si>
  <si>
    <t>Juan Carlos Rivera Bonilla</t>
  </si>
  <si>
    <t>09.05.01.03.00</t>
  </si>
  <si>
    <t>Medios</t>
  </si>
  <si>
    <t>09.05.01.03.01</t>
  </si>
  <si>
    <t>Gestionar entrevistas a medios de comunicación para dar a conocer acciones del MAG</t>
  </si>
  <si>
    <t>Entrevista</t>
  </si>
  <si>
    <t>Entrevistas a medios de comunicación para dar a conocer acciones del MAG, gestionadas</t>
  </si>
  <si>
    <t>Informe de entrevistas gestionadas</t>
  </si>
  <si>
    <t>Licda. Alexssandra Quiñonez</t>
  </si>
  <si>
    <t>09.05.01.03.02</t>
  </si>
  <si>
    <t>Comunicar acciones relevantes del quehacer institucional en los medios de comunicación y sitio web del MAG</t>
  </si>
  <si>
    <t>Comunicado</t>
  </si>
  <si>
    <t>Acciones relevantes del quehacer institucional en los medios de comunicación social y sitio web del MAG, divulgados</t>
  </si>
  <si>
    <t>Informe de comunicados divulgados</t>
  </si>
  <si>
    <t>09.05.01.03.04</t>
  </si>
  <si>
    <t>Monitorear diariamente las noticias publicadas del sector agropecuario.</t>
  </si>
  <si>
    <t>Día</t>
  </si>
  <si>
    <t>Días de noticias del sector agropecuario, monitoreadas</t>
  </si>
  <si>
    <t>Informe de monitoreo de noticias del sector agropecuario</t>
  </si>
  <si>
    <t>09.05.01.03.05</t>
  </si>
  <si>
    <t>Producir video:  "Vida Agropecuaria"</t>
  </si>
  <si>
    <t>Video "Vida Agropecuaria", Producido</t>
  </si>
  <si>
    <t>Jorge Golcher</t>
  </si>
  <si>
    <t>09.05.01.03.06</t>
  </si>
  <si>
    <t>Producir programa de radio "Tempranito con el Agro"</t>
  </si>
  <si>
    <t>Programa radial "Tempranito con el agro", producido</t>
  </si>
  <si>
    <t>Guión del programa producido</t>
  </si>
  <si>
    <t>Argentina Velásquez</t>
  </si>
  <si>
    <t>09.05.01.04.00</t>
  </si>
  <si>
    <t>Relaciones Publicas</t>
  </si>
  <si>
    <t>09.05.01.04.01</t>
  </si>
  <si>
    <t>Organizar eventos públicos del MAG</t>
  </si>
  <si>
    <t>Eventos públicos del MAG, organizados</t>
  </si>
  <si>
    <t>Informe de eventos realizados</t>
  </si>
  <si>
    <t>Luz Marina Kattan</t>
  </si>
  <si>
    <t>09.05.01.04.02</t>
  </si>
  <si>
    <t>Realizar montaje publicitario a eventos estratégicos  del MAG</t>
  </si>
  <si>
    <t>Montaje publicitario a eventos estratégicos  del MAG, realizados</t>
  </si>
  <si>
    <t>Informe de eventos con montaje publicitario</t>
  </si>
  <si>
    <t>Nathalia Milena Pacheco</t>
  </si>
  <si>
    <t>09.05.01.04.03</t>
  </si>
  <si>
    <t>Elaborar planes de medios para campañas y pauta en medios de comunicación</t>
  </si>
  <si>
    <t xml:space="preserve">Plan </t>
  </si>
  <si>
    <t>Planes de medios para campañas y pauta en medios de comunicación, elaborados</t>
  </si>
  <si>
    <t>Informe de plan de medios elaborados</t>
  </si>
  <si>
    <t>PROGRAMACION DE METAS FISICAS Y FINANCIERAS</t>
  </si>
  <si>
    <t>Dirección / Oficina: Oficina Ambiental y de Cambio Climático (OFACC)</t>
  </si>
  <si>
    <t>Periodo de Ejecución: septiembre a diciembre 2021</t>
  </si>
  <si>
    <t>C</t>
  </si>
  <si>
    <t>01.02.02.12.00.</t>
  </si>
  <si>
    <t>Apoyo a la formulación de Acciones Apropiadas de Mitigación (NAMAS) para la caficultura de El Salvador (OD)</t>
  </si>
  <si>
    <t>Perfil de proyecto, gestionado</t>
  </si>
  <si>
    <t>01.02.02.12.01.</t>
  </si>
  <si>
    <t>Coordinar con el CSC la gestión de financiamiento para la formulación de NAMA Café.</t>
  </si>
  <si>
    <t>Documento de gestión</t>
  </si>
  <si>
    <t>Magdalena López</t>
  </si>
  <si>
    <t>01.03.01.00.00.</t>
  </si>
  <si>
    <t>Incremento de la producción de  Caña de azúcar</t>
  </si>
  <si>
    <t>José Enrique Cabrera Avelar</t>
  </si>
  <si>
    <t>01.03.01.01.00.</t>
  </si>
  <si>
    <t>Verificar y supervisar los métodos de producción agrícola con el fin de disminuir el impacto ambiental y laboral.</t>
  </si>
  <si>
    <t>Métodos de producción agrícola con el fin de disminuir el impacto ambiental y laboral, supervisado</t>
  </si>
  <si>
    <t>01.03.01.01.01.</t>
  </si>
  <si>
    <t xml:space="preserve">Asesorar a las direcciones del MAG en el diseño de métodos de producción agrícola para garantizar la incorporación del enfoque ambiental </t>
  </si>
  <si>
    <t>Documento de asesoría a las Direcciones del MAG en el diseño de métodos de producción agrícola para garantizar la incorporación del enfoque ambiental, realizado</t>
  </si>
  <si>
    <t>Documento de asesoría</t>
  </si>
  <si>
    <t>01.03.01.01.02.</t>
  </si>
  <si>
    <t>Coordinar el seguimiento de la aplicación de las Buenas Prácticas Agrícolas</t>
  </si>
  <si>
    <t>Documento de seguimiento, elaborado</t>
  </si>
  <si>
    <t>01.04.01.03.00.</t>
  </si>
  <si>
    <t>Fomentar un sistema de producción bajo el enfoque de sostenibilidad ambiental y de agroturismo.</t>
  </si>
  <si>
    <t>Alianza estratégica para promover sistemas de producción con enfoque de sostenibilidad ambiental, suscrita</t>
  </si>
  <si>
    <t>01.04.01.03.01.</t>
  </si>
  <si>
    <t>Gestionar alianzas estratégicas para promover sistemas de producción con enfoque de sostenibilidad ambiental</t>
  </si>
  <si>
    <t>Las 2 metas para 2021, una fue reportada  por UAS</t>
  </si>
  <si>
    <t>03.03.01.00.00.</t>
  </si>
  <si>
    <t>03.03.01.01.00.</t>
  </si>
  <si>
    <t>Opinión técnica, emitida</t>
  </si>
  <si>
    <t>03.03.01.01.01.</t>
  </si>
  <si>
    <t>Emitir opinión técnica de actividades, obras y proyectos del MAG que requieren permiso ambiental</t>
  </si>
  <si>
    <t>Opinión técnica , emitida</t>
  </si>
  <si>
    <t>De las 8 metas para 2021, 6 fueron reportados por UAS</t>
  </si>
  <si>
    <t>03.03.01.02.00.</t>
  </si>
  <si>
    <t>Dar seguimiento a los compromisos adquiridos internacionalmente en el tema ambiental.</t>
  </si>
  <si>
    <t>Informe de verificación , elaborado</t>
  </si>
  <si>
    <t>03.03.01.02.01.</t>
  </si>
  <si>
    <t>informar los avances en el cumplimiento de los compromisos adquiridos internacionalmente en el tema ambiental</t>
  </si>
  <si>
    <t>03.03.02.02.03.</t>
  </si>
  <si>
    <t>Establecer un espacio de articulación interinstitucional que permita la coordinación de proyectos y acciones hacia la adaptación y mitigación al cambio climático en el sector agropecuario, forestal, pesquero y acuícola</t>
  </si>
  <si>
    <t>Informe de avances, reportado</t>
  </si>
  <si>
    <t>08.02.01.02.18.</t>
  </si>
  <si>
    <t>Crear la Oficina Ambiental y de Cambio Climático para la ejecución del modelo de gestión de la calidad y excelencia del MAG</t>
  </si>
  <si>
    <t>Manual de organización, gestionado</t>
  </si>
  <si>
    <t>08.02.01.07.00.</t>
  </si>
  <si>
    <t>Gestionar alianzas y proveedores.</t>
  </si>
  <si>
    <t>Alianzas, suscritas</t>
  </si>
  <si>
    <t>08.02.01.07.01.</t>
  </si>
  <si>
    <t>Gestionar alianzas estratégicas para impulsar acciones de restauración ambiental de zonas agro productivas</t>
  </si>
  <si>
    <t>Alianzas estratégicas para impulsar acciones de restauración ambiental de zonas agro productivas, gestionada</t>
  </si>
  <si>
    <t>Documento de alianza suscrito</t>
  </si>
  <si>
    <t>08.06.01.04.07.</t>
  </si>
  <si>
    <t>Gestionar los recursos financieros para la operación de la OFACC</t>
  </si>
  <si>
    <t>Recursos financieros, gestionado</t>
  </si>
  <si>
    <t>Memo de gestión</t>
  </si>
  <si>
    <t>08.06.01.06.10.</t>
  </si>
  <si>
    <t>Gestionar la mejora de la capacidad instalada y equipo técnico de la OFACC</t>
  </si>
  <si>
    <t>Mejora de la capacidad instalada y equipo técnico, gestionada</t>
  </si>
  <si>
    <t>MINISTERIO DE AGRICULTURA Y GANADERIA
RE-PROGRAMACION DE METAS FISICAS Y FINANCIERAS</t>
  </si>
  <si>
    <t>Dirección / Oficina:  Oficina Financiera Institucional (OFI)</t>
  </si>
  <si>
    <t>Costo 
Porcentual</t>
  </si>
  <si>
    <t>Peso 
ponderado 
Resultado</t>
  </si>
  <si>
    <t>Peso 
ponderado 
acción</t>
  </si>
  <si>
    <t xml:space="preserve">Costo 
Total </t>
  </si>
  <si>
    <t>Prest. Ext.</t>
  </si>
  <si>
    <r>
      <t>Don</t>
    </r>
    <r>
      <rPr>
        <b/>
        <u/>
        <sz val="11.2"/>
        <rFont val="Arial"/>
        <family val="2"/>
        <charset val="1"/>
      </rPr>
      <t xml:space="preserve">a
</t>
    </r>
    <r>
      <rPr>
        <b/>
        <sz val="11.2"/>
        <rFont val="Arial"/>
        <family val="2"/>
        <charset val="1"/>
      </rPr>
      <t>ción</t>
    </r>
  </si>
  <si>
    <t>FAE o FP</t>
  </si>
  <si>
    <t>Coop. Tecn. Intl.</t>
  </si>
  <si>
    <r>
      <t>Otros
(Fide</t>
    </r>
    <r>
      <rPr>
        <b/>
        <u/>
        <sz val="11.2"/>
        <rFont val="Arial"/>
        <family val="2"/>
        <charset val="1"/>
      </rPr>
      <t xml:space="preserve">i
</t>
    </r>
    <r>
      <rPr>
        <b/>
        <sz val="11.2"/>
        <rFont val="Arial"/>
        <family val="2"/>
        <charset val="1"/>
      </rPr>
      <t>comiso)</t>
    </r>
  </si>
  <si>
    <t>Físico</t>
  </si>
  <si>
    <t>Finaciero</t>
  </si>
  <si>
    <t>OFI</t>
  </si>
  <si>
    <t>08.06.01.04.04.</t>
  </si>
  <si>
    <t>Gestionar los recursos financieros oportunos y eficientes adicionales al presupuesto botado ante el ministerio de Hacienda</t>
  </si>
  <si>
    <t>Acuerdos-ejecutivos Decretos</t>
  </si>
  <si>
    <t>La Libertad,Santa Tecla</t>
  </si>
  <si>
    <t>Direccion OFI y División de Presupuesto</t>
  </si>
  <si>
    <t>09.07.00.00.00</t>
  </si>
  <si>
    <t>Oficina financiera Institucional</t>
  </si>
  <si>
    <t>09.07.01.00.00</t>
  </si>
  <si>
    <t>División de Presupuesto</t>
  </si>
  <si>
    <t>09.07.01.01.00</t>
  </si>
  <si>
    <t>Gestionar y dar seguimiento del presupuesto institucional</t>
  </si>
  <si>
    <t>Division de Presupuesto</t>
  </si>
  <si>
    <t>09.07.01.01.01</t>
  </si>
  <si>
    <t>Asesorar, analizar, consolidar y remitir el Proyecto de Presupuesto de formulación a la DGP</t>
  </si>
  <si>
    <r>
      <rPr>
        <sz val="12"/>
        <color rgb="FF000000"/>
        <rFont val="Arial"/>
        <family val="2"/>
        <charset val="1"/>
      </rPr>
      <t>Documento de</t>
    </r>
    <r>
      <rPr>
        <sz val="12"/>
        <rFont val="Arial"/>
        <family val="2"/>
        <charset val="1"/>
      </rPr>
      <t xml:space="preserve"> Anteproyecto de presupuesto formulado</t>
    </r>
  </si>
  <si>
    <t>1. Acuerdo de Comité.
2. Notas de notificación.
3. Documento de proyecto de presupuesto</t>
  </si>
  <si>
    <t>09.07.01.01.02</t>
  </si>
  <si>
    <t>Elaborar la Programación de la Ejecución Presupuestaria Institucional  (PEP)</t>
  </si>
  <si>
    <r>
      <rPr>
        <sz val="12"/>
        <color rgb="FF000000"/>
        <rFont val="Arial"/>
        <family val="2"/>
        <charset val="1"/>
      </rPr>
      <t xml:space="preserve">Documento de Programación </t>
    </r>
    <r>
      <rPr>
        <sz val="12"/>
        <rFont val="Arial"/>
        <family val="2"/>
        <charset val="1"/>
      </rPr>
      <t>de Ejecución presupuestaria, gestionada</t>
    </r>
  </si>
  <si>
    <t>Documento de Programación de Ejecución presupuestaria</t>
  </si>
  <si>
    <t>09.07.01.01.03</t>
  </si>
  <si>
    <t>Realizar Seguimiento a la ejecución de Presupuesto Ordinario</t>
  </si>
  <si>
    <t>Informes técnicos mensual, elaborados</t>
  </si>
  <si>
    <t xml:space="preserve">Cuadros y Nota de remisión </t>
  </si>
  <si>
    <t>09.07.01.01.04</t>
  </si>
  <si>
    <t>Realizar Seguimiento Financiero de la Inversión</t>
  </si>
  <si>
    <t>Informes financiero mensual de la Inversión, elaborados</t>
  </si>
  <si>
    <t>09.07.01.01.05</t>
  </si>
  <si>
    <t>Realizar avances semanales de Seguimiento a la ejecución del Presupuesto Ordinario</t>
  </si>
  <si>
    <t>Informes técnicos semanal, elaborados</t>
  </si>
  <si>
    <t xml:space="preserve">Cuadros y correos de  remisión </t>
  </si>
  <si>
    <t>09.07.01.01.06</t>
  </si>
  <si>
    <t>Realizar Avances semanales del Seguimiento Financiero de la Inversión</t>
  </si>
  <si>
    <t>Informes financiero semanal de la Inversión, elaborados</t>
  </si>
  <si>
    <t>09.07.02.00.00</t>
  </si>
  <si>
    <t>División de Tesoreria</t>
  </si>
  <si>
    <t>09.07.02.01.00</t>
  </si>
  <si>
    <t>Registrar las obligaciones por pagar</t>
  </si>
  <si>
    <t>09.07.02.01.01</t>
  </si>
  <si>
    <t>Informe elaborado</t>
  </si>
  <si>
    <t>09.07.02.01.02</t>
  </si>
  <si>
    <t>Solicitar asignación de cuotas para pago de obligaciones</t>
  </si>
  <si>
    <t>09.07.02.01.03</t>
  </si>
  <si>
    <t>Ingresar Registros en la aplicación informática del SAFI</t>
  </si>
  <si>
    <t>Registros, ingresados</t>
  </si>
  <si>
    <t>Registros</t>
  </si>
  <si>
    <t>09.07.03.00.00</t>
  </si>
  <si>
    <t>División de contabilidad</t>
  </si>
  <si>
    <t>09.07.03.01.00</t>
  </si>
  <si>
    <t>Validar, contabilizar los hechos económicos y generar estados financieros</t>
  </si>
  <si>
    <t>División de Contabilidad</t>
  </si>
  <si>
    <t>09.07.03.01.01</t>
  </si>
  <si>
    <t>Ejecutar la Validación de registros dentro del SAFI.</t>
  </si>
  <si>
    <t>Informes de Registros Contables, validado</t>
  </si>
  <si>
    <t>Comprobante Contable</t>
  </si>
  <si>
    <t>09.07.03.01.02</t>
  </si>
  <si>
    <t>Efectuar Cierres contables y emitir mensualmente Estados Financieros</t>
  </si>
  <si>
    <t>Estados Financieros, Generados</t>
  </si>
  <si>
    <t>1.Reportes del SAFI de cierre efectuado, 2.Estados financieros Impresos y 3.Nota de Remisión al Ministerio de Hacienda.</t>
  </si>
  <si>
    <t>09.07.03.01.03</t>
  </si>
  <si>
    <r>
      <rPr>
        <sz val="12"/>
        <rFont val="Arial"/>
        <family val="2"/>
        <charset val="1"/>
      </rPr>
      <t>Realizar</t>
    </r>
    <r>
      <rPr>
        <sz val="12"/>
        <color rgb="FFFF0000"/>
        <rFont val="Arial"/>
        <family val="2"/>
        <charset val="1"/>
      </rPr>
      <t xml:space="preserve"> </t>
    </r>
    <r>
      <rPr>
        <sz val="12"/>
        <rFont val="Arial"/>
        <family val="2"/>
        <charset val="1"/>
      </rPr>
      <t>Cierre contable definitivo del Ejercicio fiscal  del año anterior</t>
    </r>
  </si>
  <si>
    <t>Informe de Cierre contable definitivo, realizado</t>
  </si>
  <si>
    <t>1.Reportes del SAFI de cierre efectuado  y 2.nota de remisión de Estados Financieros Definitivos al Ministerio de Hacienda</t>
  </si>
  <si>
    <t>09.07.03.01.04</t>
  </si>
  <si>
    <t>Generar Estados Financieros Institucionales</t>
  </si>
  <si>
    <t>Informes de Cierres contable definitivo, realizado</t>
  </si>
  <si>
    <t>Área Ministerial: Dirección de Administración y Finanzas</t>
  </si>
  <si>
    <t>Dirección / Oficina: Oficina General Administrativa (OGA)</t>
  </si>
  <si>
    <t>OGA</t>
  </si>
  <si>
    <t>08.05.01.01.03.</t>
  </si>
  <si>
    <t>Desarrollar capacitaciones sobre Leyes Gubernamentales</t>
  </si>
  <si>
    <t>Capacitaciones sobre Leyes Gubernamentales, realizadas.</t>
  </si>
  <si>
    <t xml:space="preserve">Lista de asistencia </t>
  </si>
  <si>
    <t>Santa Tecla, la Libertad</t>
  </si>
  <si>
    <t>OGA - RRHH</t>
  </si>
  <si>
    <t>08.05.01.01.04.</t>
  </si>
  <si>
    <t>Desarrollar capacitaciones en temas de Técnicos</t>
  </si>
  <si>
    <t>Capacitaciones en temas de Técnicos, realizadas</t>
  </si>
  <si>
    <t>08.05.01.02.00.</t>
  </si>
  <si>
    <t>Fomentar la comunicación, participación y delegación del personal.</t>
  </si>
  <si>
    <t>Personal en eventos de actividades de integración, manejo del estrés y habilidades gerenciales, participante</t>
  </si>
  <si>
    <t>08.05.01.02.01.</t>
  </si>
  <si>
    <t>Desarrollar actividades de integración, Manejo del estrés, Habilidades Gerenciales</t>
  </si>
  <si>
    <t>08.05.01.03.03.</t>
  </si>
  <si>
    <t>Ejecutar pausas activas 3 veces por semana</t>
  </si>
  <si>
    <t>Pausa</t>
  </si>
  <si>
    <t>Pausas activas 3 veces por semana, Ejecutadas</t>
  </si>
  <si>
    <t>Informe de implementación</t>
  </si>
  <si>
    <t>09.08.00.00.00</t>
  </si>
  <si>
    <t>Oficina General de Administración</t>
  </si>
  <si>
    <t>09.08.01.00.00</t>
  </si>
  <si>
    <t>División de desarrollo institucional</t>
  </si>
  <si>
    <t>09.08.01.01.00</t>
  </si>
  <si>
    <t>Mantener los sistema de gestión de calidad de los laboratorios actualizados</t>
  </si>
  <si>
    <t>09.08.01.01.01</t>
  </si>
  <si>
    <t>Gestionar la acreditación de ensayos de laboratorios Veterinarios para años en curso</t>
  </si>
  <si>
    <t>Acreditación de ensayos de laboratorios Veterinarios para años en curso, gestionada</t>
  </si>
  <si>
    <t>Documento de Gestión ante el OSA</t>
  </si>
  <si>
    <t>DDI, Licda. Elsa Edith Bernal</t>
  </si>
  <si>
    <t>09.08.01.01.02</t>
  </si>
  <si>
    <t xml:space="preserve">Actualizar el Sistema de Gestión Documental </t>
  </si>
  <si>
    <t>Sistema de Gestión Documental actualizado</t>
  </si>
  <si>
    <t>Documentos Actualizados de Lista Maestra</t>
  </si>
  <si>
    <t>09.08.01.01.03</t>
  </si>
  <si>
    <t>Realizar el  Seguimiento del Sistema de Gestión de Calidad de los Laboratorios Veterinarios con el fin de que cumplan los requisitos de la norma ISO-IEC 17025</t>
  </si>
  <si>
    <t>Seguimiento del Sistema de Gestión de Calidad de los Laboratorios Veterinarios con el fin de que cumplan los requisitos de la norma ISO-IEC 17025, realizados</t>
  </si>
  <si>
    <t>Documento de informe de seguimiento</t>
  </si>
  <si>
    <t>09.08.01.01.04</t>
  </si>
  <si>
    <t>Realizar la implementación del sistema de gestión en el área de ELISA de los Laboratorios Veterinarios de acuerdo a los requisitos de la norma ISO-IEC 17025</t>
  </si>
  <si>
    <t>Sistema de gestión en el área de ELISA de los Laboratorios Veterinarios de acuerdo a los requisitos de la norma ISO-IEC 17025, implementado</t>
  </si>
  <si>
    <t>Documento de informe de implementación</t>
  </si>
  <si>
    <t>09.08.01.01.05</t>
  </si>
  <si>
    <t>Gestionar la documentación del Laboratorio Central de Sanidad Vegetal</t>
  </si>
  <si>
    <t>Documentación del Laboratorio Central de Sanidad Vegetal, gestionada</t>
  </si>
  <si>
    <t>Documento de gestión de procedimientos</t>
  </si>
  <si>
    <t>09.08.01.02.00</t>
  </si>
  <si>
    <t>Asistir técnicamente y capacitar para el desarrollo institucional</t>
  </si>
  <si>
    <t>09.08.01.02.01</t>
  </si>
  <si>
    <t>Asesorar y dar Asistencia Técnica en Gestión de Calidad</t>
  </si>
  <si>
    <t>Asesoría y asistencia Técnica en Gestión de Calidad, realizada</t>
  </si>
  <si>
    <t>Documento de informe</t>
  </si>
  <si>
    <t>Santa Tecla. La Libertad</t>
  </si>
  <si>
    <t>09.08.01.02.02</t>
  </si>
  <si>
    <t>Asesorar y dar Asistencias Técnicas de Direccionamiento Estratégico Institucional</t>
  </si>
  <si>
    <t>Asesoría y asistencia Técnica en Direccionamiento Estratégico Institucional, realizada</t>
  </si>
  <si>
    <t>09.08.01.02.03</t>
  </si>
  <si>
    <t>Asesorar y dar Asistencias Técnicas en Gestión por Procesos</t>
  </si>
  <si>
    <t>Asesoría y asistencia Técnica en Gestión por Procesos, realizada</t>
  </si>
  <si>
    <t>09.08.01.02.04</t>
  </si>
  <si>
    <t>Capacitar en Gestión de Calidad</t>
  </si>
  <si>
    <t>Personal Capacitado</t>
  </si>
  <si>
    <t>Listado de Asistencia por evento</t>
  </si>
  <si>
    <t>09.08.01.02.05</t>
  </si>
  <si>
    <t>Capacitar en Gestión por Procesos</t>
  </si>
  <si>
    <t>09.08.02.00.00</t>
  </si>
  <si>
    <t>División de Infraestructura</t>
  </si>
  <si>
    <t>09.08.02.01.00</t>
  </si>
  <si>
    <t>Optimizar la calidad de los servicios prestados por la División de infraestructura</t>
  </si>
  <si>
    <t>09.08.02.01.01</t>
  </si>
  <si>
    <t>Formular Carpetas Técnicas para la Rehabilitación y/o Construcción de Obras de Infraestructura</t>
  </si>
  <si>
    <t>Proyecto de Diseño elaborado, para la Rehabilitación y/o Construcción de Obras de Infraestructura</t>
  </si>
  <si>
    <t>Documento, Planos, Presupuesto, Especificaciones Técnicas</t>
  </si>
  <si>
    <t>Infraestructura, Ing. Saúl Avelar</t>
  </si>
  <si>
    <t>09.08.02.01.02</t>
  </si>
  <si>
    <t>Formular Informes de supervisión de proyectos de Infraestructura relacionados con la Rehabilitación y/o Construcción de Obras o con el estado de las mismas.</t>
  </si>
  <si>
    <t>Informe elaborado de supervisión de proyecto</t>
  </si>
  <si>
    <t>Obra de Infraestructura Construida y/o Reconstruida</t>
  </si>
  <si>
    <t>09.08.04.00.00</t>
  </si>
  <si>
    <t>División de Recursos Humanos</t>
  </si>
  <si>
    <t>09.08.04.01.00</t>
  </si>
  <si>
    <t>Gestionar los procesos técnicos administrativos de recursos humanos en cumplimiento a las normas y políticas institucionales</t>
  </si>
  <si>
    <t>09.08.04.01.01</t>
  </si>
  <si>
    <t>Desarrollar procesos y elaborar documentos oficiales de Acuerdos Ejecutivos, Resoluciones, Planillas de pago salarios, Propuestas para contratación, refrendas de Ley de Salarios y contratos de personal, Formulación del Presupuesto Anual, Informes a diferentes entes contralores, Controles de asistencia, presupuestos y otras operaciones en materia de Recursos Humanos</t>
  </si>
  <si>
    <t>Informe de documentos de las diferentes operaciones en materia de recursos humanos, elaborada</t>
  </si>
  <si>
    <t>Informe de documentos en materia de recursos humanos</t>
  </si>
  <si>
    <t>Santa Tecla, La Libertad y Soyapango, San Salvador</t>
  </si>
  <si>
    <t>Recursos Humanos, Licda. Mayra Beatriz Barahona</t>
  </si>
  <si>
    <t>09.08.04.01.02</t>
  </si>
  <si>
    <t>Desarrollar los procesos de reclutamiento, selección e inducción, evaluación del desempeño y actualización de los perfiles de puestos del MAG</t>
  </si>
  <si>
    <t>Informe trimestral de desarrollo de los Procesos de reclutamiento, selección e inducción , evaluación del desempeño y actualización de los perfiles de puestos del MAG, elaborado</t>
  </si>
  <si>
    <t>Informe de  procesos de reclutamiento, selección e inducción , evaluación del desempeño y actualización de los perfiles de puestos del MAG</t>
  </si>
  <si>
    <t xml:space="preserve">Recursos Humanos, Licda. Mayra Beatriz Barahona </t>
  </si>
  <si>
    <t>09.08.04.01.03</t>
  </si>
  <si>
    <t>Capacitar al personal de jefaturas, técnicos, administrativos y de apoyo para el fortalecimiento de las competencias.</t>
  </si>
  <si>
    <t>Personal de jefaturas técnicas, administrativas y de apoyo, capacitados</t>
  </si>
  <si>
    <t xml:space="preserve">Informes y Registros de las capacitaciones </t>
  </si>
  <si>
    <t>Santa Tecla, Soyapango, Santa Ana, San Salvador y San Miguel</t>
  </si>
  <si>
    <t>09.08.04.01.04</t>
  </si>
  <si>
    <t>Ejecutar acciones orientadas al bienestar del personal del MAG, en lo social, en la seguridad y salud ocupacional</t>
  </si>
  <si>
    <t>El personal  del MAG en acciones orientadas al bienestar, en lo social, en la seguridad y salud ocupacional, atendido</t>
  </si>
  <si>
    <t>Informes consolidados de las acciones orientadas al bienestar, en lo social, en la seguridad y salud ocupacional</t>
  </si>
  <si>
    <t>Santa Tecla, Departamento de La Libertad</t>
  </si>
  <si>
    <t>Informes conolidados</t>
  </si>
  <si>
    <t>09.08.05.00.00</t>
  </si>
  <si>
    <t>División de Logística</t>
  </si>
  <si>
    <t>09.08.05.01.00</t>
  </si>
  <si>
    <t>Facilitar bienes y servicios para uso y funcionamiento  de mobiliario, equipo, vehículos e instalaciones</t>
  </si>
  <si>
    <t>09.08.05.01.01</t>
  </si>
  <si>
    <t>Elaborar conciliaciones entre inventarios y estados financieros de Fondos GOES y FAES de SEDE, DGFCR, DGEA, CENDEPESCA DGG y DGSV</t>
  </si>
  <si>
    <t>Cuadro</t>
  </si>
  <si>
    <t xml:space="preserve">Cuadros de conciliaciones entre inventarios y estados financieros de Fondos GOES y FAES de SEDE, DGFCR, DGEA, CENDEPESCA, DGG y DGSV, elaborado </t>
  </si>
  <si>
    <t>Cuadro de conciliaciones de inventario y financieros</t>
  </si>
  <si>
    <t>Santa Tecla Depto. La Libertad.</t>
  </si>
  <si>
    <t>Logística, Ing. Elmer Eduardo López</t>
  </si>
  <si>
    <t>09.08.05.01.02</t>
  </si>
  <si>
    <t>Actualizar Inventario de bienes muebles, inmuebles e intangible</t>
  </si>
  <si>
    <t>Inventario de bienes muebles, inmuebles e intangible, actualizado</t>
  </si>
  <si>
    <t>Informe de Inventario de Bienes</t>
  </si>
  <si>
    <t>09.08.05.01.03</t>
  </si>
  <si>
    <t>Formular el Plan de Mantenimiento preventivo y correctivo de los vehículos automotores del MAG</t>
  </si>
  <si>
    <t>Plan de Mantenimiento preventivo y correctivo de los vehículos automotores del MAG, elaborado</t>
  </si>
  <si>
    <t>Plan de mantenimiento</t>
  </si>
  <si>
    <t>09.08.05.01.04</t>
  </si>
  <si>
    <t>Realizar seguimiento al sistema de control de costos de mantenimiento preventivo y correctivo de los vehículos automotores del MAG</t>
  </si>
  <si>
    <t xml:space="preserve">Informe de seguimiento del sistema de control de costos de mantenimiento preventivo y correctivo de los vehículos automotores del MAG, elaborado
</t>
  </si>
  <si>
    <t>Informe de control de costos de mantenimiento preventivo y correctivo de los vehículos</t>
  </si>
  <si>
    <t>09.08.05.01.05</t>
  </si>
  <si>
    <t>Realizar Seguimiento al proceso de suministro de combustible a los  vehículos del MAG</t>
  </si>
  <si>
    <t>Informe del  proceso de suministro de combustible a los  vehículos del MAG, elaborado</t>
  </si>
  <si>
    <t>Informe de suministro de combustible</t>
  </si>
  <si>
    <t>09.08.05.01.06</t>
  </si>
  <si>
    <t>Realizar Seguimiento al proceso de control de existencias y liquidación de combustible por las diferentes fuentes de financiamiento</t>
  </si>
  <si>
    <t>Informe de seguimiento al proceso de control de existencias y liquidación de combustible por las diferentes fuentes de financiamiento, elaborado</t>
  </si>
  <si>
    <t>Informe de control de existencias y liquidación de combustible</t>
  </si>
  <si>
    <t>09.08.05.01.07</t>
  </si>
  <si>
    <t>Monitorear el proceso de emisión de permisos de circulación en misiones oficiales en horas no hábiles, fines de semana y días feriados</t>
  </si>
  <si>
    <t>Informe de proceso de emisión de permisos de circulación en misiones oficiales en horas no hábiles, fines de semana y días feriados, elaborados</t>
  </si>
  <si>
    <t xml:space="preserve">Informes de permisos de circulación en misiones oficiales </t>
  </si>
  <si>
    <t>09.08.05.01.08</t>
  </si>
  <si>
    <t>Realizar el proceso de refrenda de tarjetas de circulación de los vehículos automotores del MAG</t>
  </si>
  <si>
    <t>Informe de refrenda de tarjetas de circulación de los vehículos automotores del MAG, elaborado</t>
  </si>
  <si>
    <t>Informe de refrenda de tarjetas de circulación de los vehículos automotores del MAG</t>
  </si>
  <si>
    <t>09.08.05.01.09</t>
  </si>
  <si>
    <t>Realizar el proceso de renovación de seguro de vehículos automotores del MAG</t>
  </si>
  <si>
    <t>Informe de renovación de seguro de vehículos automotores del MAG, elaborado</t>
  </si>
  <si>
    <t>Informe de renovación de seguro de vehículos automotores del MAG</t>
  </si>
  <si>
    <t>09.08.05.01.10</t>
  </si>
  <si>
    <t xml:space="preserve">Dar seguimiento a la ejecución  de los planes de adquisición y contrataciones de bienes y servicios del MAG
</t>
  </si>
  <si>
    <t>Informe de ejecución  de los planes de adquisición, contrataciones de bienes y servicios del MAG, elaborado</t>
  </si>
  <si>
    <t xml:space="preserve">Informe de  seguimiento de los planes de adquisición y contrataciones de bienes y servicios del MAG </t>
  </si>
  <si>
    <t>09.08.05.01.11</t>
  </si>
  <si>
    <t>Dar seguimiento a la ejecución de asignaciones presupuestarias de bienes y servicios del MAG</t>
  </si>
  <si>
    <t>Informe de seguimiento a la ejecución de asignaciones presupuestarias de bienes y servicios del MAG, elaborado</t>
  </si>
  <si>
    <t>Informe de la ejecución de Asignaciones Presupuestarias de bienes y servicios del MAG</t>
  </si>
  <si>
    <t>09.08.05.01.12</t>
  </si>
  <si>
    <t xml:space="preserve">Realizar seguimiento  a la ejecución de los contratos de servicios de limpieza,  reproducciones y correspondencia del MAG
</t>
  </si>
  <si>
    <t xml:space="preserve">Informe de seguimiento a la ejecución de los contratos de servicios de limpieza, telecomunicaciones, reproducciones y correspondencia del MAG, elaborado
</t>
  </si>
  <si>
    <t xml:space="preserve">Informe de seguimiento a los contratos de servicios de limpieza, telecomunicaciones, reproducciones y correspondencia
</t>
  </si>
  <si>
    <t>09.08.05.01.13</t>
  </si>
  <si>
    <t>Realizar Inventario Físico de las existencias en el Almacén de SEDE, DGEA, DGG y CENDEPESCA</t>
  </si>
  <si>
    <t>Informe Elaborado</t>
  </si>
  <si>
    <t xml:space="preserve">Informe de las existencias físicas de bienes en  el Almacén de la SEDE, DGEA, DGA y CENDEPESCA </t>
  </si>
  <si>
    <t>09.08.05.01.14</t>
  </si>
  <si>
    <t>Elaborar informe de ingresos, egresos y saldos en las existencias en el almacén de la SEDE, DGEA, DGA y CENDEPESCA</t>
  </si>
  <si>
    <t>Informe de ingresos, egresos y saldos en las existencias en el almacén de la SEDE, DGEA, DGA y CENDEPESCA</t>
  </si>
  <si>
    <t>09.08.06.00.00</t>
  </si>
  <si>
    <t>Administración El Matazano</t>
  </si>
  <si>
    <t>09.08.06.01.00</t>
  </si>
  <si>
    <t>Facilitar los servicios de atención administrativa a los diferentes usuarios de las Unidades Organizativas con sede en el Matazano</t>
  </si>
  <si>
    <t>09.08.06.01.01</t>
  </si>
  <si>
    <t>Facilitar los Servicios de atención Medica para el personal  de Centro Agropecuario  Matazano</t>
  </si>
  <si>
    <t>Informe de Servicios de atención Medica para el personal con sede en el Matazano, elaborado</t>
  </si>
  <si>
    <t>Informe de servicios de atención medica</t>
  </si>
  <si>
    <t>Cantón El Matazano Soyapango</t>
  </si>
  <si>
    <t xml:space="preserve">Admin. Matazano Licda. Mayra Beatriz Barahona </t>
  </si>
  <si>
    <t>09.08.06.01.02</t>
  </si>
  <si>
    <t>Facilitar los servicios de atención Odontológica para el personal de Centro Agropecuario Matazano</t>
  </si>
  <si>
    <t>Informe de servicios de atención odontológica para el personal con sede en el Matazano, elaborado</t>
  </si>
  <si>
    <t>Informe de servicios de atención odontológica</t>
  </si>
  <si>
    <t>09.08.06.01.03</t>
  </si>
  <si>
    <t>Realizar Inventario Físico de las existencias en el Almacén del Centro Agropecuario El Matazano</t>
  </si>
  <si>
    <t xml:space="preserve">Informe de las existencias físicas de bienes en  el Almacén del Centro Agropecuario El Matazano </t>
  </si>
  <si>
    <t>Admin. Matazano Ing. Rogelio Elder Guardado López</t>
  </si>
  <si>
    <t>09.08.06.01.04</t>
  </si>
  <si>
    <t>Elaborar informe de ingresos, egresos y saldos en las existencias en el almacén del Centro Agropecuario El Matazano</t>
  </si>
  <si>
    <t>Informe de ingresos, egresos y saldos en las existencias en el almacén del Centro Agropecuario El Matazano</t>
  </si>
  <si>
    <t>09.08.06.01.05</t>
  </si>
  <si>
    <t>Facilitar bienes, servicios, mobiliario y equipo para uso y funcionamiento instalaciones del Matazano</t>
  </si>
  <si>
    <t>Informe de bienes, servicios, mobiliario, equipo, vehículos para uso y funcionamiento de las instalaciones del Matazano, elaborado</t>
  </si>
  <si>
    <t>Informe de bienes, servicios, mobiliario, equipo y vehículos del Matazano</t>
  </si>
  <si>
    <t>09.08.06.01.06</t>
  </si>
  <si>
    <t>Realizar seguimiento al proceso de control de existencias y liquidación de combustible por las diferentes fuentes de financiamiento del Matazano</t>
  </si>
  <si>
    <t>Informe de seguimiento al proceso de control de existencias y liquidación de combustible por las diferentes fuentes de financiamiento del Matazano, elaborado</t>
  </si>
  <si>
    <t>09.08.06.01.07</t>
  </si>
  <si>
    <t>Realizar el proceso de emisión de permisos de circulación en misiones oficiales en horas no habilites, fines de semana y días feriados del Matazano</t>
  </si>
  <si>
    <t>Informe de proceso de emisión de permisos de circulación en misiones oficiales en horas no habilites, fines de semana y días feriados del Matazano, elaborados</t>
  </si>
  <si>
    <t xml:space="preserve">Informes de permisos de circulación de vehículos en misiones oficiales </t>
  </si>
  <si>
    <t>09.08.06.01.08</t>
  </si>
  <si>
    <t>Realizar seguimiento a la ejecución de los planes de mantenimiento preventivo y correctivo de los vehículos automotores del Matazano</t>
  </si>
  <si>
    <t>Informe de seguimiento a la ejecución de los planes de mantenimiento preventivo y correctivo de los vehículos automotores del Matazano, elaborado</t>
  </si>
  <si>
    <t>Informe de seguimiento de mantenimiento preventivo y correctivo de los vehículos automotores</t>
  </si>
  <si>
    <t>RE-PROGRAMACION DE METAS FISICAS Y FINANCIERAS-OIR</t>
  </si>
  <si>
    <t>Dirección/Oficina: Oficina de Información y Respuesta (OIR)</t>
  </si>
  <si>
    <t>Ana Patricia Sánchez de Cruz</t>
  </si>
  <si>
    <t>08.02.01.02.09.</t>
  </si>
  <si>
    <t>Elaborar propuesta de manual de procedimientos de la OIR</t>
  </si>
  <si>
    <t>Propuesta de manual de procedimientos de la OIR, presentado</t>
  </si>
  <si>
    <t>Documento de propuesta de manual de procedimientos de la OIR</t>
  </si>
  <si>
    <t>La aprobación del documento dependerá de las gestiones que realice la División de Desarrollo Institucional-DDI-OGA</t>
  </si>
  <si>
    <t>08.02.01.02.10.</t>
  </si>
  <si>
    <t>Elaborar propuesta de actualización del Manual de Organización de la OIR</t>
  </si>
  <si>
    <t>Propuesta de actualización del Manual de Organización de la OIR presentado</t>
  </si>
  <si>
    <t>Documento de propuesta de actualización del Manual de Organización de la OIR</t>
  </si>
  <si>
    <t>08.04.00.00.00.</t>
  </si>
  <si>
    <t>Línea 4. Orientación hacia la ciudadanía</t>
  </si>
  <si>
    <t>08.04.01.00.00.</t>
  </si>
  <si>
    <t>Mayor participación ciudadana</t>
  </si>
  <si>
    <t>08.04.01.03.00.</t>
  </si>
  <si>
    <t>Establecer mecanismos adecuados para la comunicación y difusión de la información relevante para los ciudadanos</t>
  </si>
  <si>
    <t>Mecanismo</t>
  </si>
  <si>
    <t>Mecanismos adecuados para la comunicación y difusión de la información relevante para los ciudadanos, establecidos</t>
  </si>
  <si>
    <t>08.04.01.03.01.</t>
  </si>
  <si>
    <t>Desarrollar un Programa de Divulgación de la Ley de Acceso a la Información Pública para los servidores públicos del MAG</t>
  </si>
  <si>
    <t>Programa de Divulgación de la Ley de Acceso a la Información Pública para los servidores públicos del MAG, realizado</t>
  </si>
  <si>
    <t>Documento de Programa de Divulgación de la Ley de Acceso a la Información Pública para los servidores públicos del MAG</t>
  </si>
  <si>
    <t>08.04.01.03.02.</t>
  </si>
  <si>
    <t>Gestionar solicitudes de información pública, oficiosa, reservada y confidencial</t>
  </si>
  <si>
    <t>Solicitud de Información pública, oficiosa, reservada y confidencial, atendida</t>
  </si>
  <si>
    <t>Registro de las solicitudes de información pública, oficiosa, reservada y confidencial</t>
  </si>
  <si>
    <t xml:space="preserve">El cumplimeinto de la meta está sujeto a la demanda de la población </t>
  </si>
  <si>
    <t>08.04.01.03.03.</t>
  </si>
  <si>
    <t>Actualizar el Índice de Información Reservada del MAG</t>
  </si>
  <si>
    <t>Índice</t>
  </si>
  <si>
    <t>Publicar el Índice de Información Reservada del MAG, actualizado</t>
  </si>
  <si>
    <t>Documento que contiene el Índice de Información Reservada del MAG</t>
  </si>
  <si>
    <t>08.04.01.03.04.</t>
  </si>
  <si>
    <t>Actualizar la Información Oficiosa del MAG en el Portal de Transparencia Institucional</t>
  </si>
  <si>
    <t>Información</t>
  </si>
  <si>
    <t>Información Oficiosa del MAG disponible al público en el Portal de Transparencia Institucional e impresa, actualizado</t>
  </si>
  <si>
    <t>Documentos que contienen la información Oficiosa del MAG actualizada de manera impresa y/o disponible al público en el Portal de Transparencia Institucional</t>
  </si>
  <si>
    <t>08.03.01.04.05</t>
  </si>
  <si>
    <t>Gestionar la consulta ciudadana sobre información del quehacer del MAG</t>
  </si>
  <si>
    <t>Consulta ciudadana, atendida</t>
  </si>
  <si>
    <t>Registro de consultas, atendidas</t>
  </si>
  <si>
    <t>Dirección / Oficina: Dirección General de Inteligencia del Ministerio de Agricultura y Ganadería (DIMAG)</t>
  </si>
  <si>
    <t>Periodo de Ejecución: 05 de julio a 31 de diciembre 2021</t>
  </si>
  <si>
    <t>Eje 1: Fomento a la competitividad y productividad de cadenas agroproductivas para la seguridad alimentaria</t>
  </si>
  <si>
    <t>DIMAG- OCC, DIMAG- OPPE, DIMAG- OVT</t>
  </si>
  <si>
    <t>DIMAG- OCC , DIMAG- OPPE, DIMAG- OVT</t>
  </si>
  <si>
    <t>DIMAG- OCC</t>
  </si>
  <si>
    <t>01.01.03.01.00.</t>
  </si>
  <si>
    <t>Mejorar los sistemas de información estadísticas agropecuarias a disposición de la población y los medios de comunicación.</t>
  </si>
  <si>
    <t>Informe de opinión técnica sobre aperturas de contingentes de importación de granos básicos, elaborado</t>
  </si>
  <si>
    <t>Informe de opinión técnica sobre aperturas arancelarias</t>
  </si>
  <si>
    <t>01.01.03.01.02.</t>
  </si>
  <si>
    <t>Dar opinión técnica sobre aperturas de contingentes de importación de granos básicos en el marco de tratados comerciales</t>
  </si>
  <si>
    <t>Informe de opinión técnica sobre aperturas de contingentes de importación de granos básicos , elaborado</t>
  </si>
  <si>
    <t>01.01.03.03.00.</t>
  </si>
  <si>
    <t>Fortalecer la cadena productiva de maíz blanco, arroz y sorgo, a través de la reconversión del mecanismo de Convenio de Siembra y Comercialización.</t>
  </si>
  <si>
    <t>Informe de comercialización de granos básicos, elaborado</t>
  </si>
  <si>
    <t>Informe de comercialización de granos básicos</t>
  </si>
  <si>
    <t>01.01.03.03.01.</t>
  </si>
  <si>
    <t>Coordinar las acciones derivadas de los Convenios de comercialización de granos básicos</t>
  </si>
  <si>
    <t>01.01.04.00.00.</t>
  </si>
  <si>
    <t>Mayor sinergia o complementariedad en la ejecución de acciones para el subsector de Granos Básicos</t>
  </si>
  <si>
    <t>01.01.04.01.00.</t>
  </si>
  <si>
    <t>Establecer articulación interinstitucional para desarrollar acciones de producción, almacenamiento, transformación y comercialización en granos básicos.</t>
  </si>
  <si>
    <t>Informe de reuniones</t>
  </si>
  <si>
    <t>01.01.04.01.01.</t>
  </si>
  <si>
    <t>Realizar reuniones de coordinación para desarrollar acciones de producción, almacenamiento, transformación y comercialización en granos básicos.</t>
  </si>
  <si>
    <t>01.01.07.00.00.</t>
  </si>
  <si>
    <t>DIMAG- OPPE , DIMAG- OVT</t>
  </si>
  <si>
    <t>01.01.07.11.00.</t>
  </si>
  <si>
    <t>Diseñar e implementar proyectos de agricultura climáticamente inteligente en frutas y hortalizas</t>
  </si>
  <si>
    <t>Procesos de implementación de proyectos con los actores claves en el territorio, articulados</t>
  </si>
  <si>
    <t>01.01.07.11.01.</t>
  </si>
  <si>
    <t>Formular proyectos de producción de hortalizas en sistemas controlados</t>
  </si>
  <si>
    <t>Proyecto de producción de hortalizas en invernaderos, formulado</t>
  </si>
  <si>
    <t>DIMAG- OPPE</t>
  </si>
  <si>
    <t>01.01.07.11.02.</t>
  </si>
  <si>
    <t>Articular los procesos de implementación de proyectos con los actores claves en el territorio</t>
  </si>
  <si>
    <t>DIMAG- OVT</t>
  </si>
  <si>
    <t>01.01.09.04.00.</t>
  </si>
  <si>
    <t>Establecer articulación interinstitucional para desarrollar acciones de producción, almacenamiento, transformación y comercialización en frutas y hortalizas.</t>
  </si>
  <si>
    <t>01.01.09.04.01.</t>
  </si>
  <si>
    <t>Realizar reuniones de coordinación para desarrollar acciones de producción, almacenamiento, transformación y comercialización en frutas y hortalizas.</t>
  </si>
  <si>
    <t>01.01.14.05.00.</t>
  </si>
  <si>
    <t>Establecer articulación interinstitucional para desarrollar acciones de producción, almacenamiento, transformación y comercialización en productos ganaderos.</t>
  </si>
  <si>
    <t>01.01.14.05.01.</t>
  </si>
  <si>
    <t>Realizar reuniones de coordinación para desarrollar acciones de producción, almacenamiento, transformación y comercialización de productos ganaderos.</t>
  </si>
  <si>
    <t>01.01.19.04.00.</t>
  </si>
  <si>
    <t>Establecer articulación interinstitucional para desarrollar acciones de producción, almacenamiento, transformación y comercialización en porcinos.</t>
  </si>
  <si>
    <t>01.01.19.04.01.</t>
  </si>
  <si>
    <t>Realizar reuniones de coordinación para desarrollar acciones de producción, almacenamiento, transformación y comercialización de porcinos.</t>
  </si>
  <si>
    <t>01.01.26.04.00.</t>
  </si>
  <si>
    <t>Establecer articulación interinstitucional para desarrollar acciones de producción, almacenamiento, transformación y comercialización en apicultura.</t>
  </si>
  <si>
    <t>01.01.26.04.01.</t>
  </si>
  <si>
    <t>Realizar reuniones de coordinación para desarrollar acciones de producción, almacenamiento, transformación y comercialización en apicultura.</t>
  </si>
  <si>
    <t>01.01.31.11.00.</t>
  </si>
  <si>
    <t>Establecer articulación interinstitucional para desarrollar acciones de producción, almacenamiento, transformación y comercialización en pesca y acuicultura.</t>
  </si>
  <si>
    <t>01.01.31.11.01.</t>
  </si>
  <si>
    <t>Realizar reuniones de coordinación para desarrollar acciones de producción, almacenamiento, transformación y comercialización en pesca y acuicultura.</t>
  </si>
  <si>
    <t>01.02.04.01.03.</t>
  </si>
  <si>
    <t>Realizar reuniones de coordinación para desarrollar acciones de producción, almacenamiento, transformación y comercialización en café.</t>
  </si>
  <si>
    <t>01.03.03.00.00.</t>
  </si>
  <si>
    <t>Mayor sinergia o complementariedad en la ejecución de acciones para el subsector de Caña de azúcar</t>
  </si>
  <si>
    <t>01.03.03.02.00.</t>
  </si>
  <si>
    <t>Establecer articulación interinstitucional para desarrollar acciones de producción, almacenamiento, transformación y comercialización en caña de azúcar.</t>
  </si>
  <si>
    <t>01.03.03.02.01.</t>
  </si>
  <si>
    <t>Realizar reuniones de coordinación para desarrollar acciones de producción, almacenamiento, transformación y comercialización en caña de azúcar.</t>
  </si>
  <si>
    <t>06.00.00.00.00.</t>
  </si>
  <si>
    <t>06.01.00.00.00.</t>
  </si>
  <si>
    <t>Línea 1. Fortalecimiento del recurso humano para el desarrollo del sector agropecuario</t>
  </si>
  <si>
    <t>06.01.01.00.00.</t>
  </si>
  <si>
    <t>06.01.01.07.00.</t>
  </si>
  <si>
    <t>Promover la implementación de acciones orientadas a fomentar una agricultura basada en conocimiento.</t>
  </si>
  <si>
    <t xml:space="preserve">Acción </t>
  </si>
  <si>
    <t>Acciones, ejecutadas</t>
  </si>
  <si>
    <t>Informes de acciones ejecutadas</t>
  </si>
  <si>
    <t>06.01.01.07.02.</t>
  </si>
  <si>
    <t>Canalizar la oferta de becas y formación técnica con las Dependencias centralizadas y descentralizadas provenientes de la cooperación nacional e internacional</t>
  </si>
  <si>
    <t>Oferta de becas y formación técnica con las Dependencias centralizadas y descentralizadas provenientes de la cooperación nacional e internacional, canalizadas</t>
  </si>
  <si>
    <t>Notas ministeriales y memorandos</t>
  </si>
  <si>
    <t>DIMAG- OCC , DIMAG- OGC , DIMAG- OPPE, DIMG-OVT</t>
  </si>
  <si>
    <t>DIMAG- OCC, DIMAG- OPPE</t>
  </si>
  <si>
    <t>08.03.01.01.10.</t>
  </si>
  <si>
    <t>Asesorar los Planes Anuales Operativos de todas las dependencias del MAG</t>
  </si>
  <si>
    <t>Planes anuales Operativos, asesorados</t>
  </si>
  <si>
    <t>Documentos de Planes anuales operativos</t>
  </si>
  <si>
    <t>08.03.01.01.11.</t>
  </si>
  <si>
    <t>Integrar los Planes Anuales Operativos de todas las dependencias del MAG</t>
  </si>
  <si>
    <t>Plan Operativo Sectorial (POS), elaborado</t>
  </si>
  <si>
    <t>Documento del Plan Operativo Sectorial</t>
  </si>
  <si>
    <t>08.03.01.01.12.</t>
  </si>
  <si>
    <t>Asesorar los Planes de trabajo del Presupuesto anual</t>
  </si>
  <si>
    <t>Planes de trabajo del Presupuesto anual, asesorados</t>
  </si>
  <si>
    <t>Documentos de Planes del presupuesto</t>
  </si>
  <si>
    <t>08.03.01.01.18.</t>
  </si>
  <si>
    <t>Generar lineamientos de política agropecuaria, forestal, pesquera y acuícola acorde a la necesidad de mejora que reflejen los resultados de implementación del actual instrumento de política.</t>
  </si>
  <si>
    <t>Lineamientos de política agropecuaria, forestal, pesquera y acuícola, actualizados</t>
  </si>
  <si>
    <t>08.03.01.01.20.</t>
  </si>
  <si>
    <t>Formular proyectos para la reactivación del sector agropecuario, pesquero, acuícola y forestal</t>
  </si>
  <si>
    <t>Proyectos para la reactivación del sector agropecuario, pesquero, acuícola y forestal, formulados</t>
  </si>
  <si>
    <t>Documento de proyecto</t>
  </si>
  <si>
    <t>08.03.01.01.22.</t>
  </si>
  <si>
    <t>Coordinar la actualización de la Política Nacional Agropecuaria</t>
  </si>
  <si>
    <t>Política Nacional Agropecuaria, actualizada</t>
  </si>
  <si>
    <t>Documento de política</t>
  </si>
  <si>
    <t>08.03.01.01.23.</t>
  </si>
  <si>
    <t>Coordinar el ajuste del Plan Estratégico Institucional</t>
  </si>
  <si>
    <t>Ajuste del Plan Estratégico Institucional, coordinado</t>
  </si>
  <si>
    <t>Documento de Re-PEI</t>
  </si>
  <si>
    <t>08.03.01.02.03.</t>
  </si>
  <si>
    <t>Actualizar mapa  de necesidades institucionales para la gestión estratégica de cooperación, alineado a la Política, el PEI y el Plan Cuscatlán.</t>
  </si>
  <si>
    <t>Mapa de necesidades institucionales, actualizado</t>
  </si>
  <si>
    <t>Documento de mapa de necesidades institucionales alineado a la Política y PEI</t>
  </si>
  <si>
    <t>08.03.01.02.04.</t>
  </si>
  <si>
    <t>Actualizar inventario de las diversas fuentes de cooperación no reembolsable en coordinación con el ente rector y los cooperantes para el desarrollo del sector agropecuario en El Salvador</t>
  </si>
  <si>
    <t>Inventario</t>
  </si>
  <si>
    <t>Documento de inventario de fuentes de cooperación no reembolsable, elaborado</t>
  </si>
  <si>
    <t>Documento de inventario de las diversas fuentes de cooperación no reembolsable</t>
  </si>
  <si>
    <t>08.03.01.02.05.</t>
  </si>
  <si>
    <t>Facilitar asesorías a los Titulares y dependencias del MAG en temas vinculados con la Cooperación para el desarrollo agropecuario</t>
  </si>
  <si>
    <t>Asesoría e información al Despacho y las Dependencias MAG, elaborado</t>
  </si>
  <si>
    <t>Memorándums</t>
  </si>
  <si>
    <t>08.03.01.02.06.</t>
  </si>
  <si>
    <t>Realizar las gestiones de cooperación técnica/ financiera no reembolsable para la ejecución de iniciativas de desarrollo del sector</t>
  </si>
  <si>
    <t>Iniciativas de Cooperación, gestionadas.</t>
  </si>
  <si>
    <t>Documento de gestión de Iniciativas de Cooperación</t>
  </si>
  <si>
    <t>08.03.01.02.08.</t>
  </si>
  <si>
    <t>Actualizar mapa interactivo e  inventario de las diversas fuentes de cooperación no reembolsable en coordinación con el ente rector y los cooperantes para el desarrollo del sector agropecuario en El Salvador</t>
  </si>
  <si>
    <t>08.04.01.01.00.</t>
  </si>
  <si>
    <t>Desarrollar mecanismos y/o espacios de participación ciudadana en los diferentes planes y proyectos institucionales.</t>
  </si>
  <si>
    <t>Mecanismos y/o espacios de participación ciudadana en los diferentes planes y proyectos institucionales, desarrollados</t>
  </si>
  <si>
    <t>08.04.01.01.01.</t>
  </si>
  <si>
    <t>Coordinar la mesa interinstitucional para impulsar el programa de ruralización</t>
  </si>
  <si>
    <t>Mesa interinstitucional para impulsar el programa de ruralización, coordinada</t>
  </si>
  <si>
    <t>Ayuda memoria</t>
  </si>
  <si>
    <t>08.04.01.01.02.</t>
  </si>
  <si>
    <t>Preparar propuestas de desarrollo rural en territorios priorizado en el marco del programa de ruralización</t>
  </si>
  <si>
    <t>Propuestas de desarrollo rural en territorios priorizado en el marco del programa ruralización, elaborada</t>
  </si>
  <si>
    <t>08.06.01.01.00.</t>
  </si>
  <si>
    <t>Identificar los procesos operativos o de apoyo que sirven de soporte para la prestación de los servicios a los ciudadanos, innovando los sistemas de trabajo.</t>
  </si>
  <si>
    <t>Proceso</t>
  </si>
  <si>
    <t>Procesos de las dependencias, actualizados</t>
  </si>
  <si>
    <t>08.06.01.01.04.</t>
  </si>
  <si>
    <t>Acompañar al ente responsable de la cooperación y a los cooperantes en los eventos vinculados al apoyo del sector agropecuario</t>
  </si>
  <si>
    <t>Eventos de cooperación internacional vinculados al sector agropecuario, coordinados.</t>
  </si>
  <si>
    <t>Notas, Memo y/o correos electrónicos de coordinación para eventos</t>
  </si>
  <si>
    <t>08.06.01.03.00.</t>
  </si>
  <si>
    <t>Desarrollar de procesos sistemáticos para captar e incorporar, generar, adaptar y difundir la información y el conocimiento adquirido.</t>
  </si>
  <si>
    <t>Informe de experiencias exitosas de cooperación institucional, realizado</t>
  </si>
  <si>
    <t>08.06.01.03.01.</t>
  </si>
  <si>
    <t>Canalizar la oferta de experiencias exitosas de cooperación  institucional</t>
  </si>
  <si>
    <t>Informe de experiencias exitosas de cooperación institucional</t>
  </si>
  <si>
    <t>08.06.01.05.00.</t>
  </si>
  <si>
    <t>Gestionar los recursos de información y conocimiento.</t>
  </si>
  <si>
    <t>Informe de seguimiento físico y financiero de proyectos de cooperación no reembolsable, remitido</t>
  </si>
  <si>
    <t>08.06.01.05.01.</t>
  </si>
  <si>
    <t>Realizar gestiones de oficialización de los compromisos adquiridos en los diferentes instrumentos de cooperación.</t>
  </si>
  <si>
    <t>Nota de remisión de informe al Ente Rector de Cooperación</t>
  </si>
  <si>
    <t>08.07.00.00.00.</t>
  </si>
  <si>
    <t>Línea 7. Medición, análisis y gestión del conocimiento</t>
  </si>
  <si>
    <t>08.07.01.00.00.</t>
  </si>
  <si>
    <t>Mejora de los servicios prestados</t>
  </si>
  <si>
    <t>08.07.01.01.00.</t>
  </si>
  <si>
    <t>Desarrollar, evaluar, revisar y mejorar la estrategia.</t>
  </si>
  <si>
    <t>Informe de cooperación nacional e internacional del MAG</t>
  </si>
  <si>
    <t>08.07.01.01.02.</t>
  </si>
  <si>
    <t>Actualizar y consolidar el estado de la cooperación no reembolsable y el financiamiento climático nacional e internacional del MAG</t>
  </si>
  <si>
    <t>DIMAG- OCC, DIMAG- OGC</t>
  </si>
  <si>
    <t>08.08.01.01.08.</t>
  </si>
  <si>
    <t>Formular protocolo y matriz de seguimiento y gestión de proyecto de cooperación reembolsable, no reembolsable y financiamiento climático</t>
  </si>
  <si>
    <t>Protocolo y matriz de seguimiento y gestión de proyecto de cooperación reembolsable, no reembolsable y financiamiento climático, formulado</t>
  </si>
  <si>
    <t xml:space="preserve">Documento de protocolo y matriz </t>
  </si>
  <si>
    <t>08.08.01.01.09.</t>
  </si>
  <si>
    <t>Realizar seguimiento a la inversión Publica PAIP del MAG</t>
  </si>
  <si>
    <t>Informe de Seguimiento al Programa Anual de Inversión Pública (PAIP), elaborado</t>
  </si>
  <si>
    <t>Documento de Informe de seguimiento del PAIP</t>
  </si>
  <si>
    <t>08.08.01.01.10.</t>
  </si>
  <si>
    <t>Elaborar informe de seguimiento a los Planes Operativos Anuales de las Direcciones o unidades organizativas del MAG</t>
  </si>
  <si>
    <t>Informe de seguimiento a los Planes Operativos Anuales, elaborado</t>
  </si>
  <si>
    <t>Documento de informe de seguimiento a Planes Anuales Operativos Institucionales</t>
  </si>
  <si>
    <t>DIMAG- OGC</t>
  </si>
  <si>
    <t>08.08.01.01.14.</t>
  </si>
  <si>
    <t>Actualizar el programa de inversión publica del mediano plazo del MAG</t>
  </si>
  <si>
    <t>Programa de inversión publica del mediano plazo del MAG (PRIPME), actualizado</t>
  </si>
  <si>
    <t>Documento de Informe del PRIPME</t>
  </si>
  <si>
    <t>09.01.00.00.00</t>
  </si>
  <si>
    <t>División General de Inteligencia del Ministerio de Agricultura y Ganadería</t>
  </si>
  <si>
    <t>DIMAG- OCC,  DIMAG- OGC, DIMAG- OPPE, DIMAG- OVT</t>
  </si>
  <si>
    <t>09.01.01.00.00</t>
  </si>
  <si>
    <t>Oficina de Política y Planificación Estratégica</t>
  </si>
  <si>
    <t>09.01.01.01.00</t>
  </si>
  <si>
    <t>Asesorar al Despacho Ministerial y conducir los procesos de planeación, formulación e implementación de políticas, planes, programas y proyectos a fin de alcanzar los objetivos y metas institucionales</t>
  </si>
  <si>
    <t>09.01.01.01.01</t>
  </si>
  <si>
    <t xml:space="preserve">Elaborar opiniones técnicas  en materia de políticas sectoriales </t>
  </si>
  <si>
    <t>Opinión técnica, elaborada</t>
  </si>
  <si>
    <t>Documento de opinión técnica</t>
  </si>
  <si>
    <t>09.01.01.01.02</t>
  </si>
  <si>
    <t>Elaborar un informe de avance de las gestiones realizadas por la OPPE</t>
  </si>
  <si>
    <t>Informe de avance, elaborado</t>
  </si>
  <si>
    <t>Documento de informe de avance</t>
  </si>
  <si>
    <t>09.01.02.00.00</t>
  </si>
  <si>
    <t>Oficina de Cooperación y Comercio</t>
  </si>
  <si>
    <t>09.01.02.01.00</t>
  </si>
  <si>
    <t>Coordinar con el ente rector de la cooperación internacional y con el Ministerio de Relaciones Exteriores, la gestión de recursos técnicos y financieros provenientes de la cooperación internacional y nacional, destinados a la ejecución de iniciativas, programas y proyectos del MAG y de sus Entidades Adscritas.</t>
  </si>
  <si>
    <t>09.01.02.01.01</t>
  </si>
  <si>
    <t>Elaborar los términos de referencia de los Convenios en el marco del Programa de Fortalecimiento del MAG</t>
  </si>
  <si>
    <t>Términos de Referencia, elaborados</t>
  </si>
  <si>
    <t>Dcumentos de TDR</t>
  </si>
  <si>
    <t>09.01.02.01.02</t>
  </si>
  <si>
    <t>Elaborar un informe de avance de las gestiones realizadas por la OCC</t>
  </si>
  <si>
    <t>09.01.03.00.00</t>
  </si>
  <si>
    <t>Oficina de Vinculación Territorial</t>
  </si>
  <si>
    <t>09.01.03.01.00</t>
  </si>
  <si>
    <t>Dirigir y coordinar la vinculación territorial mediante la articulación de esfuerzos entre los gobiernos locales, organizaciones no gubernamentales, ministeriales y otros actores claves para el desarrollo sostenible del sector agropecuario, forestal, pesquero y acuícola</t>
  </si>
  <si>
    <t>09.01.03.01.01</t>
  </si>
  <si>
    <t>Gestionar solicitudes relacionadas con la entrega de insumos agropecuarios</t>
  </si>
  <si>
    <t>Informe de solicitudes gestionadas</t>
  </si>
  <si>
    <t>Documento de informe de solicitudes gestionadas</t>
  </si>
  <si>
    <t>09.01.03.01.02</t>
  </si>
  <si>
    <t>Formular el Proyecto Cubo Rural para la Zona Alta de Chalatenangoo</t>
  </si>
  <si>
    <t>Perfil de Proyecto Cubo Rural elaborado</t>
  </si>
  <si>
    <t>Documento de perfil de proeycto Cubo Rural</t>
  </si>
  <si>
    <t>09.01.03.01.03</t>
  </si>
  <si>
    <t>Elaborar un informe de avance de las gestiones realizadas por la OVT</t>
  </si>
  <si>
    <t>09.01.04.00.00</t>
  </si>
  <si>
    <t>Oficina Gestión de la Calidad</t>
  </si>
  <si>
    <t xml:space="preserve"> DIMAG- OGC</t>
  </si>
  <si>
    <t>09.01.04.01.00</t>
  </si>
  <si>
    <t>Dirigir y normar el desarrollo de metodologías, herramientas y sistemas de información que faciliten la mejora continua, el seguimiento y la evaluación, con el propósito de permitir una oportuna toma de decisiones y la identificación de acciones correctivas que aseguren el logro de las metas y objetivos del Gobierno, retroalimentando la ejecución de planes, programas y proyectos, así como el ciclo de gestión de políticas públicas</t>
  </si>
  <si>
    <t>09.01.04.01.01</t>
  </si>
  <si>
    <t>Realizar procesos de verificaciones de avances de resultados en reportes de programas y proyectos</t>
  </si>
  <si>
    <t>Informe de verificación de resultados, elaborado</t>
  </si>
  <si>
    <t>Documento de informe de resultados</t>
  </si>
  <si>
    <t>09.01.04.01.02</t>
  </si>
  <si>
    <t>Actualizar el Sistema de Gestión doumental</t>
  </si>
  <si>
    <t>Sistema de Gestión documental actualizado</t>
  </si>
  <si>
    <t>Documento del sisstema</t>
  </si>
  <si>
    <t>09.01.04.01.03</t>
  </si>
  <si>
    <t>Realizar el seguimiento de gestion de calidad de los Laboratorios Vetrinarios con el fin de que cumplan con  la norma ISO-IEC-17025</t>
  </si>
  <si>
    <t>Seguimiento de gestion de calidad de los Laboratorios Vetrinarios con el fin de que cumplan con  la norma ISO-IEC-17025, realizado</t>
  </si>
  <si>
    <t>Documento de informe de gestión de calidad de Laboratorios Veterinarios</t>
  </si>
  <si>
    <t>09.01.04.01.04</t>
  </si>
  <si>
    <t>Asesoría y asistencia técnica en gestión de calidad</t>
  </si>
  <si>
    <t>Asesoría y asistencia técnica en gestión de calidad, realidad</t>
  </si>
  <si>
    <t>Documento de informe de asesoria en gestión de calidad</t>
  </si>
  <si>
    <t>09.01.04.01.05</t>
  </si>
  <si>
    <t>Asesoría y asistencia técnica en direccionamiento estratégico institucional</t>
  </si>
  <si>
    <t>Asesoría y asistencia técnica en direccionamiento estratégico institucional, realizada</t>
  </si>
  <si>
    <t>Documento de informe de asesoría en direccionamiento estratégico</t>
  </si>
  <si>
    <t>09.01.04.01.06</t>
  </si>
  <si>
    <t>Capacitar en gesión por procesos</t>
  </si>
  <si>
    <t>Eventos de capacitación en gestión por proceso realizada</t>
  </si>
  <si>
    <t>09.01.04.01.07</t>
  </si>
  <si>
    <t>Elaborar un informe de avance de las gestiones realizadas por la OGC</t>
  </si>
  <si>
    <t>Dirección / Oficina:  Unidad de Género (UG)</t>
  </si>
  <si>
    <t>05.01.01.01.00.</t>
  </si>
  <si>
    <t>05.01.01.01.02.</t>
  </si>
  <si>
    <t>Ejecutar el Plan de capacitación para el personal del MAG sobre género y derechos humanos de las mujeres</t>
  </si>
  <si>
    <t>UG</t>
  </si>
  <si>
    <t>05.01.01.02.07.</t>
  </si>
  <si>
    <t>Incorporar enfoque de género a documentos MAG</t>
  </si>
  <si>
    <t>Informe de Incorporación del enfoque de género a los  documentos del MAG, realizado</t>
  </si>
  <si>
    <t>05.03.01.01.01.</t>
  </si>
  <si>
    <t>Realizar Visita de campo a organizaciones de mujeres rurales</t>
  </si>
  <si>
    <t>Informe de la visita</t>
  </si>
  <si>
    <t xml:space="preserve">Evento </t>
  </si>
  <si>
    <t>05.03.01.03.01.</t>
  </si>
  <si>
    <t>Desarrollar Asambleas Generales de Mujeres Rurales</t>
  </si>
  <si>
    <t>Asambleas Generales de Mujeres Rurales, desarrolladas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</si>
</sst>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quot;$&quot;* #,##0.00_-;\-&quot;$&quot;* #,##0.00_-;_-&quot;$&quot;* &quot;-&quot;??_-;_-@_-"/>
    <numFmt numFmtId="43" formatCode="_-* #,##0.00_-;\-* #,##0.00_-;_-* &quot;-&quot;??_-;_-@_-"/>
    <numFmt numFmtId="164" formatCode="0.0"/>
    <numFmt numFmtId="165" formatCode="#,##0.0"/>
    <numFmt numFmtId="166" formatCode="_(&quot;$&quot;* #,##0.00_);_(&quot;$&quot;* \(#,##0.00\);_(&quot;$&quot;* &quot;-&quot;??_);_(@_)"/>
    <numFmt numFmtId="167" formatCode="_ &quot;¢&quot;\ * #,##0.00_ ;_ &quot;¢&quot;\ * \-#,##0.00_ ;_ &quot;¢&quot;\ * &quot;-&quot;??_ ;_ @_ "/>
    <numFmt numFmtId="168" formatCode="_(* #,##0.00_);_(* \(#,##0.00\);_(* &quot;-&quot;??_);_(@_)"/>
    <numFmt numFmtId="169" formatCode="0;[Red]0"/>
    <numFmt numFmtId="170" formatCode="0.000000"/>
    <numFmt numFmtId="171" formatCode="_(&quot;¢&quot;* #,##0.00_);_(&quot;¢&quot;* \(#,##0.00\);_(&quot;¢&quot;* &quot;-&quot;??_);_(@_)"/>
    <numFmt numFmtId="172" formatCode="[$-440A]General"/>
    <numFmt numFmtId="173" formatCode="#,##0.00_ ;\-#,##0.00\ "/>
    <numFmt numFmtId="174" formatCode="_-[$$-440A]* #,##0.00_-;\-[$$-440A]* #,##0.00_-;_-[$$-440A]* &quot;-&quot;??_-;_-@_-"/>
    <numFmt numFmtId="175" formatCode="_([$$-440A]* #,##0.00_);_([$$-440A]* \(#,##0.00\);_([$$-440A]* &quot;-&quot;??_);_(@_)"/>
    <numFmt numFmtId="176" formatCode="_-[$$-440A]* #,##0.00_ ;_-[$$-440A]* \-#,##0.00\ ;_-[$$-440A]* &quot;-&quot;??_ ;_-@_ "/>
    <numFmt numFmtId="177" formatCode="&quot;$&quot;#,##0_);[Red]\(&quot;$&quot;#,##0\)"/>
    <numFmt numFmtId="178" formatCode="#,##0.000"/>
    <numFmt numFmtId="179" formatCode="0\ %"/>
    <numFmt numFmtId="180" formatCode="_(* #,##0.00_);_(* \(#,##0.00\);_(* \-??_);_(@_)"/>
    <numFmt numFmtId="181" formatCode="_(* #,##0.0_);_(* \(#,##0.0\);_(* \-?_);_(@_)"/>
  </numFmts>
  <fonts count="74">
    <font>
      <sz val="11"/>
      <color theme="1"/>
      <name val="Calibri"/>
      <family val="2"/>
      <scheme val="minor"/>
    </font>
    <font>
      <sz val="11"/>
      <color theme="1"/>
      <name val="Calibri"/>
      <family val="2"/>
      <scheme val="minor"/>
    </font>
    <font>
      <i/>
      <sz val="11"/>
      <color rgb="FF7F7F7F"/>
      <name val="Calibri"/>
      <family val="2"/>
      <scheme val="minor"/>
    </font>
    <font>
      <b/>
      <sz val="14"/>
      <name val="Arial"/>
      <family val="2"/>
    </font>
    <font>
      <sz val="14"/>
      <name val="Arial"/>
      <family val="2"/>
    </font>
    <font>
      <sz val="10"/>
      <name val="Arial"/>
      <family val="2"/>
    </font>
    <font>
      <b/>
      <sz val="14"/>
      <color indexed="8"/>
      <name val="Arial"/>
      <family val="2"/>
    </font>
    <font>
      <b/>
      <sz val="12"/>
      <name val="Arial"/>
      <family val="2"/>
    </font>
    <font>
      <sz val="12"/>
      <name val="Arial"/>
      <family val="2"/>
    </font>
    <font>
      <strike/>
      <sz val="12"/>
      <name val="Arial"/>
      <family val="2"/>
    </font>
    <font>
      <sz val="12"/>
      <color theme="1"/>
      <name val="Arial"/>
      <family val="2"/>
    </font>
    <font>
      <sz val="11"/>
      <color rgb="FF000000"/>
      <name val="Calibri"/>
      <family val="2"/>
      <charset val="1"/>
    </font>
    <font>
      <sz val="12"/>
      <name val="Arial"/>
      <family val="2"/>
      <charset val="1"/>
    </font>
    <font>
      <b/>
      <sz val="14"/>
      <name val="Bembo Std"/>
      <family val="1"/>
    </font>
    <font>
      <sz val="14"/>
      <name val="Bembo Std"/>
      <family val="1"/>
    </font>
    <font>
      <b/>
      <sz val="12"/>
      <name val="Bembo Std"/>
      <family val="1"/>
    </font>
    <font>
      <sz val="12"/>
      <name val="Bembo Std"/>
      <family val="1"/>
    </font>
    <font>
      <strike/>
      <sz val="12"/>
      <name val="Bembo Std"/>
      <family val="1"/>
    </font>
    <font>
      <sz val="10"/>
      <name val="Bembo Std"/>
      <family val="1"/>
    </font>
    <font>
      <b/>
      <sz val="9"/>
      <color indexed="81"/>
      <name val="Tahoma"/>
      <charset val="1"/>
    </font>
    <font>
      <sz val="9"/>
      <color indexed="81"/>
      <name val="Tahoma"/>
      <charset val="1"/>
    </font>
    <font>
      <b/>
      <sz val="9"/>
      <color indexed="81"/>
      <name val="Tahoma"/>
      <family val="2"/>
    </font>
    <font>
      <sz val="9"/>
      <color indexed="81"/>
      <name val="Tahoma"/>
      <family val="2"/>
    </font>
    <font>
      <sz val="11"/>
      <color theme="1"/>
      <name val="Arial"/>
      <family val="2"/>
    </font>
    <font>
      <b/>
      <sz val="14"/>
      <color theme="1"/>
      <name val="Arial"/>
      <family val="2"/>
    </font>
    <font>
      <sz val="14"/>
      <color theme="1"/>
      <name val="Arial"/>
      <family val="2"/>
    </font>
    <font>
      <b/>
      <sz val="14"/>
      <color rgb="FF000000"/>
      <name val="Arial"/>
      <family val="2"/>
    </font>
    <font>
      <sz val="11"/>
      <color theme="1"/>
      <name val="Calibri"/>
      <family val="2"/>
    </font>
    <font>
      <b/>
      <sz val="11"/>
      <color theme="1"/>
      <name val="Arial"/>
      <family val="2"/>
    </font>
    <font>
      <sz val="12"/>
      <color rgb="FFFF0000"/>
      <name val="Arial"/>
      <family val="2"/>
    </font>
    <font>
      <sz val="12"/>
      <color rgb="FF000000"/>
      <name val="Arial"/>
      <family val="2"/>
    </font>
    <font>
      <b/>
      <sz val="12"/>
      <color theme="1"/>
      <name val="Arial"/>
      <family val="2"/>
    </font>
    <font>
      <sz val="12"/>
      <color rgb="FF000000"/>
      <name val="Arial"/>
      <family val="2"/>
      <charset val="1"/>
    </font>
    <font>
      <b/>
      <sz val="14"/>
      <name val="Bembo"/>
      <family val="1"/>
    </font>
    <font>
      <sz val="12"/>
      <name val="Bembo"/>
      <family val="1"/>
    </font>
    <font>
      <b/>
      <sz val="12"/>
      <name val="Bembo"/>
      <family val="1"/>
    </font>
    <font>
      <b/>
      <sz val="12"/>
      <color indexed="8"/>
      <name val="Bembo"/>
      <family val="1"/>
    </font>
    <font>
      <sz val="10"/>
      <name val="Arial"/>
      <family val="2"/>
      <charset val="1"/>
    </font>
    <font>
      <i/>
      <sz val="11"/>
      <color indexed="23"/>
      <name val="Calibri"/>
      <family val="2"/>
    </font>
    <font>
      <sz val="14"/>
      <name val="Bembo"/>
      <family val="1"/>
    </font>
    <font>
      <b/>
      <sz val="12"/>
      <color indexed="81"/>
      <name val="Tahoma"/>
      <family val="2"/>
    </font>
    <font>
      <sz val="10"/>
      <color indexed="8"/>
      <name val="Arial"/>
      <family val="2"/>
    </font>
    <font>
      <sz val="11"/>
      <name val="Arial"/>
      <family val="2"/>
    </font>
    <font>
      <b/>
      <sz val="11"/>
      <name val="Arial"/>
      <family val="2"/>
    </font>
    <font>
      <b/>
      <sz val="12"/>
      <color rgb="FFFF0000"/>
      <name val="Arial"/>
      <family val="2"/>
    </font>
    <font>
      <sz val="12"/>
      <color indexed="10"/>
      <name val="Arial"/>
      <family val="2"/>
    </font>
    <font>
      <sz val="11"/>
      <color indexed="10"/>
      <name val="Arial"/>
      <family val="2"/>
    </font>
    <font>
      <sz val="12"/>
      <color rgb="FF7030A0"/>
      <name val="Arial"/>
      <family val="2"/>
    </font>
    <font>
      <sz val="12"/>
      <color theme="1"/>
      <name val="Calibri"/>
      <family val="2"/>
      <scheme val="minor"/>
    </font>
    <font>
      <sz val="11"/>
      <color indexed="8"/>
      <name val="Calibri"/>
      <family val="2"/>
    </font>
    <font>
      <sz val="12"/>
      <name val="Calibri"/>
      <family val="2"/>
    </font>
    <font>
      <sz val="14"/>
      <color indexed="8"/>
      <name val="Arial"/>
      <family val="2"/>
    </font>
    <font>
      <sz val="12"/>
      <color rgb="FFFFFF00"/>
      <name val="Arial"/>
      <family val="2"/>
    </font>
    <font>
      <sz val="11"/>
      <color rgb="FF000000"/>
      <name val="Calibri"/>
      <family val="2"/>
    </font>
    <font>
      <sz val="12"/>
      <color rgb="FF00FF00"/>
      <name val="Arial"/>
      <family val="2"/>
    </font>
    <font>
      <b/>
      <sz val="13"/>
      <color indexed="8"/>
      <name val="Arial"/>
      <family val="2"/>
    </font>
    <font>
      <b/>
      <sz val="11.5"/>
      <name val="Arial"/>
      <family val="2"/>
    </font>
    <font>
      <b/>
      <sz val="9"/>
      <name val="Calibri"/>
      <family val="2"/>
    </font>
    <font>
      <sz val="12"/>
      <color indexed="8"/>
      <name val="Arial"/>
      <family val="2"/>
    </font>
    <font>
      <sz val="12"/>
      <color rgb="FFC00000"/>
      <name val="Arial"/>
      <family val="2"/>
    </font>
    <font>
      <b/>
      <sz val="14"/>
      <color indexed="8"/>
      <name val="Century Gothic"/>
      <family val="2"/>
    </font>
    <font>
      <sz val="14"/>
      <name val="Century Gothic"/>
      <family val="2"/>
    </font>
    <font>
      <b/>
      <sz val="14"/>
      <name val="Century Gothic"/>
      <family val="2"/>
    </font>
    <font>
      <b/>
      <sz val="14"/>
      <color rgb="FF000000"/>
      <name val="Arial"/>
      <family val="2"/>
      <charset val="1"/>
    </font>
    <font>
      <sz val="14"/>
      <color rgb="FF000000"/>
      <name val="Arial"/>
      <family val="2"/>
      <charset val="1"/>
    </font>
    <font>
      <b/>
      <sz val="12"/>
      <name val="Arial"/>
      <family val="2"/>
      <charset val="1"/>
    </font>
    <font>
      <b/>
      <sz val="12"/>
      <color rgb="FF000000"/>
      <name val="Arial"/>
      <family val="2"/>
      <charset val="1"/>
    </font>
    <font>
      <b/>
      <sz val="11.2"/>
      <name val="Arial"/>
      <family val="2"/>
      <charset val="1"/>
    </font>
    <font>
      <b/>
      <u/>
      <sz val="11.2"/>
      <name val="Arial"/>
      <family val="2"/>
      <charset val="1"/>
    </font>
    <font>
      <sz val="12"/>
      <color rgb="FFFF0000"/>
      <name val="Arial"/>
      <family val="2"/>
      <charset val="1"/>
    </font>
    <font>
      <b/>
      <sz val="14"/>
      <color rgb="FF004DE6"/>
      <name val="Arial"/>
      <family val="2"/>
    </font>
    <font>
      <sz val="12"/>
      <color rgb="FF002060"/>
      <name val="Arial"/>
      <family val="2"/>
    </font>
    <font>
      <sz val="11"/>
      <name val="Calibri"/>
      <family val="2"/>
      <scheme val="minor"/>
    </font>
    <font>
      <b/>
      <sz val="10"/>
      <name val="Arial"/>
      <family val="2"/>
    </font>
  </fonts>
  <fills count="29">
    <fill>
      <patternFill patternType="none"/>
    </fill>
    <fill>
      <patternFill patternType="gray125"/>
    </fill>
    <fill>
      <patternFill patternType="solid">
        <fgColor rgb="FFCCFFFF"/>
        <bgColor indexed="64"/>
      </patternFill>
    </fill>
    <fill>
      <patternFill patternType="solid">
        <fgColor indexed="27"/>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CCFFFF"/>
        <bgColor rgb="FFFFF200"/>
      </patternFill>
    </fill>
    <fill>
      <patternFill patternType="solid">
        <fgColor rgb="FFFFC000"/>
        <bgColor rgb="FFFFF200"/>
      </patternFill>
    </fill>
    <fill>
      <patternFill patternType="solid">
        <fgColor theme="4" tint="0.59999389629810485"/>
        <bgColor indexed="64"/>
      </patternFill>
    </fill>
    <fill>
      <patternFill patternType="solid">
        <fgColor rgb="FFBDD7EE"/>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4" tint="0.59999389629810485"/>
        <bgColor rgb="FFFFF200"/>
      </patternFill>
    </fill>
    <fill>
      <patternFill patternType="solid">
        <fgColor rgb="FF92D050"/>
        <bgColor rgb="FFBDD7EE"/>
      </patternFill>
    </fill>
    <fill>
      <patternFill patternType="solid">
        <fgColor rgb="FF92D050"/>
        <bgColor rgb="FF92D050"/>
      </patternFill>
    </fill>
    <fill>
      <patternFill patternType="solid">
        <fgColor rgb="FFFFFF00"/>
        <bgColor rgb="FFFFFF00"/>
      </patternFill>
    </fill>
    <fill>
      <patternFill patternType="solid">
        <fgColor rgb="FFFFC000"/>
        <bgColor rgb="FFFFC000"/>
      </patternFill>
    </fill>
    <fill>
      <patternFill patternType="solid">
        <fgColor rgb="FFFFFFFF"/>
        <bgColor rgb="FFFFFFFF"/>
      </patternFill>
    </fill>
    <fill>
      <patternFill patternType="solid">
        <fgColor theme="0"/>
        <bgColor theme="0"/>
      </patternFill>
    </fill>
    <fill>
      <patternFill patternType="solid">
        <fgColor rgb="FFCCFFFF"/>
        <bgColor rgb="FFBDD7EE"/>
      </patternFill>
    </fill>
    <fill>
      <patternFill patternType="solid">
        <fgColor rgb="FFCCFFFF"/>
        <bgColor rgb="FFCCFFFF"/>
      </patternFill>
    </fill>
    <fill>
      <patternFill patternType="solid">
        <fgColor theme="5" tint="0.59999389629810485"/>
        <bgColor indexed="64"/>
      </patternFill>
    </fill>
    <fill>
      <patternFill patternType="solid">
        <fgColor rgb="FFFFFFFF"/>
        <bgColor rgb="FFFFFFCC"/>
      </patternFill>
    </fill>
    <fill>
      <patternFill patternType="solid">
        <fgColor rgb="FF92D050"/>
        <bgColor rgb="FFFFFF00"/>
      </patternFill>
    </fill>
    <fill>
      <patternFill patternType="solid">
        <fgColor rgb="FFCCFFFF"/>
        <bgColor rgb="FF99CCFF"/>
      </patternFill>
    </fill>
    <fill>
      <patternFill patternType="solid">
        <fgColor rgb="FFFFC000"/>
        <bgColor rgb="FFFF9900"/>
      </patternFill>
    </fill>
    <fill>
      <patternFill patternType="solid">
        <fgColor rgb="FFBBE33D"/>
        <bgColor rgb="FFFFFF00"/>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top/>
      <bottom style="thin">
        <color rgb="FF000000"/>
      </bottom>
      <diagonal/>
    </border>
    <border>
      <left style="thin">
        <color indexed="64"/>
      </left>
      <right style="thin">
        <color indexed="64"/>
      </right>
      <top style="hair">
        <color indexed="64"/>
      </top>
      <bottom/>
      <diagonal/>
    </border>
    <border>
      <left/>
      <right style="thin">
        <color auto="1"/>
      </right>
      <top style="thin">
        <color auto="1"/>
      </top>
      <bottom/>
      <diagonal/>
    </border>
  </borders>
  <cellStyleXfs count="6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11"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168" fontId="5" fillId="0" borderId="0" applyFont="0" applyFill="0" applyBorder="0" applyAlignment="0" applyProtection="0"/>
    <xf numFmtId="0" fontId="23" fillId="0" borderId="0"/>
    <xf numFmtId="0" fontId="1" fillId="0" borderId="0"/>
    <xf numFmtId="0" fontId="5" fillId="0" borderId="0"/>
    <xf numFmtId="43" fontId="23" fillId="0" borderId="0" applyFont="0" applyFill="0" applyBorder="0" applyAlignment="0" applyProtection="0"/>
    <xf numFmtId="0" fontId="1" fillId="0" borderId="0"/>
    <xf numFmtId="0" fontId="37" fillId="0" borderId="0"/>
    <xf numFmtId="0" fontId="5" fillId="0" borderId="0"/>
    <xf numFmtId="0" fontId="38" fillId="0" borderId="0" applyNumberFormat="0" applyFill="0" applyBorder="0" applyAlignment="0" applyProtection="0"/>
    <xf numFmtId="0" fontId="1" fillId="0" borderId="0"/>
    <xf numFmtId="0" fontId="5" fillId="0" borderId="0"/>
    <xf numFmtId="0" fontId="1" fillId="0" borderId="0"/>
    <xf numFmtId="0" fontId="1" fillId="0" borderId="0"/>
    <xf numFmtId="0" fontId="1"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41" fillId="0" borderId="0"/>
    <xf numFmtId="0" fontId="5" fillId="0" borderId="0"/>
    <xf numFmtId="9" fontId="5" fillId="0" borderId="0" applyFont="0" applyFill="0" applyBorder="0" applyAlignment="0" applyProtection="0"/>
    <xf numFmtId="0" fontId="1" fillId="0" borderId="0"/>
    <xf numFmtId="0" fontId="5" fillId="0" borderId="0"/>
    <xf numFmtId="0" fontId="5" fillId="0" borderId="0"/>
    <xf numFmtId="0" fontId="1" fillId="0" borderId="0"/>
    <xf numFmtId="171" fontId="5" fillId="0" borderId="0" applyFont="0" applyFill="0" applyBorder="0" applyAlignment="0" applyProtection="0"/>
    <xf numFmtId="0" fontId="1" fillId="0" borderId="0"/>
    <xf numFmtId="0" fontId="41" fillId="0" borderId="0"/>
    <xf numFmtId="0" fontId="1" fillId="0" borderId="0"/>
    <xf numFmtId="0" fontId="1" fillId="0" borderId="0"/>
    <xf numFmtId="0" fontId="1" fillId="0" borderId="0"/>
    <xf numFmtId="0" fontId="1" fillId="0" borderId="0"/>
    <xf numFmtId="0" fontId="5" fillId="0" borderId="0"/>
    <xf numFmtId="0" fontId="41" fillId="0" borderId="0"/>
    <xf numFmtId="0" fontId="5" fillId="0" borderId="0"/>
    <xf numFmtId="0" fontId="41" fillId="0" borderId="0"/>
    <xf numFmtId="0" fontId="5" fillId="0" borderId="0"/>
    <xf numFmtId="0" fontId="5" fillId="0" borderId="0"/>
    <xf numFmtId="168" fontId="49" fillId="0" borderId="0" applyFont="0" applyFill="0" applyBorder="0" applyAlignment="0" applyProtection="0"/>
    <xf numFmtId="0" fontId="1" fillId="0" borderId="0"/>
    <xf numFmtId="0" fontId="1" fillId="0" borderId="0"/>
    <xf numFmtId="0" fontId="1" fillId="0" borderId="0"/>
    <xf numFmtId="172" fontId="53" fillId="0" borderId="0" applyBorder="0" applyProtection="0"/>
    <xf numFmtId="0" fontId="41" fillId="0" borderId="0"/>
    <xf numFmtId="0" fontId="1" fillId="0" borderId="0"/>
    <xf numFmtId="0" fontId="1" fillId="0" borderId="0"/>
    <xf numFmtId="0" fontId="1" fillId="0" borderId="0"/>
    <xf numFmtId="0" fontId="5" fillId="0" borderId="0"/>
    <xf numFmtId="0" fontId="11" fillId="0" borderId="0"/>
    <xf numFmtId="0" fontId="5" fillId="0" borderId="0"/>
    <xf numFmtId="180" fontId="37" fillId="0" borderId="0" applyBorder="0" applyProtection="0"/>
  </cellStyleXfs>
  <cellXfs count="2234">
    <xf numFmtId="0" fontId="0" fillId="0" borderId="0" xfId="0"/>
    <xf numFmtId="0" fontId="4" fillId="0" borderId="0" xfId="0" applyFont="1" applyFill="1" applyBorder="1"/>
    <xf numFmtId="0" fontId="6" fillId="0" borderId="0" xfId="5" applyFont="1" applyFill="1" applyBorder="1" applyAlignment="1">
      <alignment vertical="center"/>
    </xf>
    <xf numFmtId="0" fontId="6" fillId="0" borderId="0" xfId="0" applyFont="1" applyFill="1" applyBorder="1" applyAlignment="1">
      <alignment vertical="center"/>
    </xf>
    <xf numFmtId="0" fontId="3" fillId="0" borderId="0" xfId="0" applyFont="1" applyFill="1" applyBorder="1" applyAlignment="1"/>
    <xf numFmtId="0" fontId="7" fillId="3" borderId="2" xfId="0" applyFont="1" applyFill="1" applyBorder="1" applyAlignment="1">
      <alignment horizontal="center" vertical="center" wrapText="1"/>
    </xf>
    <xf numFmtId="49" fontId="8" fillId="4" borderId="2" xfId="0" applyNumberFormat="1" applyFont="1" applyFill="1" applyBorder="1" applyAlignment="1">
      <alignment horizontal="justify" vertical="center" wrapText="1"/>
    </xf>
    <xf numFmtId="3" fontId="8" fillId="4" borderId="2" xfId="0" applyNumberFormat="1" applyFont="1" applyFill="1" applyBorder="1" applyAlignment="1">
      <alignment horizontal="right" vertical="center" wrapText="1"/>
    </xf>
    <xf numFmtId="4" fontId="8" fillId="4" borderId="2" xfId="0" applyNumberFormat="1" applyFont="1" applyFill="1" applyBorder="1" applyAlignment="1">
      <alignment horizontal="center" vertical="center" wrapText="1"/>
    </xf>
    <xf numFmtId="4" fontId="8" fillId="4" borderId="2" xfId="0" applyNumberFormat="1" applyFont="1" applyFill="1" applyBorder="1" applyAlignment="1">
      <alignment horizontal="right" vertical="center" wrapText="1"/>
    </xf>
    <xf numFmtId="49" fontId="8" fillId="5" borderId="2" xfId="0" applyNumberFormat="1" applyFont="1" applyFill="1" applyBorder="1" applyAlignment="1">
      <alignment horizontal="justify" vertical="center" wrapText="1"/>
    </xf>
    <xf numFmtId="3" fontId="8" fillId="5" borderId="2" xfId="0" applyNumberFormat="1" applyFont="1" applyFill="1" applyBorder="1" applyAlignment="1">
      <alignment horizontal="right" vertical="center" wrapText="1"/>
    </xf>
    <xf numFmtId="4" fontId="8" fillId="5" borderId="2" xfId="0" applyNumberFormat="1" applyFont="1" applyFill="1" applyBorder="1" applyAlignment="1">
      <alignment horizontal="center" vertical="center" wrapText="1"/>
    </xf>
    <xf numFmtId="4" fontId="8" fillId="5" borderId="2" xfId="0" applyNumberFormat="1" applyFont="1" applyFill="1" applyBorder="1" applyAlignment="1">
      <alignment horizontal="right" vertical="center" wrapText="1"/>
    </xf>
    <xf numFmtId="49" fontId="8" fillId="2" borderId="2" xfId="0" applyNumberFormat="1" applyFont="1" applyFill="1" applyBorder="1" applyAlignment="1">
      <alignment horizontal="justify" vertical="center" wrapText="1"/>
    </xf>
    <xf numFmtId="3" fontId="8" fillId="2" borderId="2" xfId="0" applyNumberFormat="1" applyFont="1" applyFill="1" applyBorder="1" applyAlignment="1">
      <alignment horizontal="right" vertical="center" wrapText="1"/>
    </xf>
    <xf numFmtId="4" fontId="8" fillId="2" borderId="2" xfId="0" applyNumberFormat="1" applyFont="1" applyFill="1" applyBorder="1" applyAlignment="1">
      <alignment horizontal="center" vertical="center" wrapText="1"/>
    </xf>
    <xf numFmtId="4" fontId="8" fillId="2" borderId="2" xfId="0" applyNumberFormat="1" applyFont="1" applyFill="1" applyBorder="1" applyAlignment="1">
      <alignment horizontal="right" vertical="center" wrapText="1"/>
    </xf>
    <xf numFmtId="49" fontId="8" fillId="6" borderId="2" xfId="0" applyNumberFormat="1" applyFont="1" applyFill="1" applyBorder="1" applyAlignment="1">
      <alignment horizontal="justify" vertical="center" wrapText="1"/>
    </xf>
    <xf numFmtId="3" fontId="8" fillId="6" borderId="2" xfId="0" applyNumberFormat="1" applyFont="1" applyFill="1" applyBorder="1" applyAlignment="1">
      <alignment horizontal="right" vertical="center" wrapText="1"/>
    </xf>
    <xf numFmtId="4" fontId="8" fillId="6" borderId="2" xfId="0" applyNumberFormat="1" applyFont="1" applyFill="1" applyBorder="1" applyAlignment="1">
      <alignment horizontal="center" vertical="center" wrapText="1"/>
    </xf>
    <xf numFmtId="4" fontId="8" fillId="6" borderId="2" xfId="0" applyNumberFormat="1" applyFont="1" applyFill="1" applyBorder="1" applyAlignment="1">
      <alignment horizontal="right" vertical="center" wrapText="1"/>
    </xf>
    <xf numFmtId="49" fontId="8" fillId="0" borderId="2" xfId="0" applyNumberFormat="1" applyFont="1" applyFill="1" applyBorder="1" applyAlignment="1">
      <alignment horizontal="justify" vertical="center" wrapText="1"/>
    </xf>
    <xf numFmtId="3" fontId="8" fillId="0" borderId="2" xfId="0" applyNumberFormat="1" applyFont="1" applyFill="1" applyBorder="1" applyAlignment="1">
      <alignment horizontal="right" vertical="center" wrapText="1"/>
    </xf>
    <xf numFmtId="4" fontId="8" fillId="0" borderId="2" xfId="0" applyNumberFormat="1" applyFont="1" applyFill="1" applyBorder="1" applyAlignment="1">
      <alignment horizontal="center" vertical="center" wrapText="1"/>
    </xf>
    <xf numFmtId="4" fontId="8" fillId="0" borderId="2" xfId="5" applyNumberFormat="1" applyFont="1" applyFill="1" applyBorder="1" applyAlignment="1">
      <alignment horizontal="right" vertical="center" wrapText="1"/>
    </xf>
    <xf numFmtId="4" fontId="8" fillId="0" borderId="2" xfId="0" applyNumberFormat="1" applyFont="1" applyFill="1" applyBorder="1" applyAlignment="1">
      <alignment horizontal="right" vertical="center" wrapText="1"/>
    </xf>
    <xf numFmtId="0" fontId="8" fillId="0" borderId="2" xfId="0" applyFont="1" applyBorder="1" applyAlignment="1">
      <alignment horizontal="center" vertical="center"/>
    </xf>
    <xf numFmtId="0" fontId="8" fillId="0" borderId="2" xfId="0" applyFont="1" applyBorder="1" applyAlignment="1">
      <alignment horizontal="right" vertical="center"/>
    </xf>
    <xf numFmtId="0" fontId="8" fillId="0" borderId="2" xfId="0" applyFont="1" applyBorder="1" applyAlignment="1">
      <alignment vertical="center"/>
    </xf>
    <xf numFmtId="4" fontId="8" fillId="0" borderId="2" xfId="0" applyNumberFormat="1" applyFont="1" applyFill="1" applyBorder="1" applyAlignment="1">
      <alignment vertical="center" wrapText="1"/>
    </xf>
    <xf numFmtId="4" fontId="8" fillId="0" borderId="2" xfId="8" applyNumberFormat="1" applyFont="1" applyFill="1" applyBorder="1" applyAlignment="1">
      <alignment horizontal="left" vertical="center" wrapText="1"/>
    </xf>
    <xf numFmtId="49" fontId="8" fillId="0" borderId="1" xfId="0" applyNumberFormat="1" applyFont="1" applyFill="1" applyBorder="1" applyAlignment="1">
      <alignment vertical="center" wrapText="1"/>
    </xf>
    <xf numFmtId="3" fontId="8" fillId="0" borderId="2" xfId="0" applyNumberFormat="1" applyFont="1" applyFill="1" applyBorder="1" applyAlignment="1">
      <alignment vertical="center" wrapText="1"/>
    </xf>
    <xf numFmtId="3" fontId="8" fillId="0" borderId="2" xfId="0" applyNumberFormat="1" applyFont="1" applyBorder="1" applyAlignment="1">
      <alignment vertical="center"/>
    </xf>
    <xf numFmtId="0" fontId="8" fillId="0" borderId="2" xfId="7" applyFont="1" applyFill="1" applyBorder="1" applyAlignment="1">
      <alignment horizontal="justify" vertical="center" wrapText="1"/>
    </xf>
    <xf numFmtId="0" fontId="8" fillId="0" borderId="7" xfId="7" applyFont="1" applyFill="1" applyBorder="1" applyAlignment="1">
      <alignment horizontal="justify" vertical="center" wrapText="1"/>
    </xf>
    <xf numFmtId="0" fontId="8" fillId="0" borderId="7" xfId="7" applyFont="1" applyFill="1" applyBorder="1" applyAlignment="1">
      <alignment horizontal="left" vertical="center" wrapText="1"/>
    </xf>
    <xf numFmtId="164" fontId="8" fillId="0" borderId="2" xfId="0" applyNumberFormat="1" applyFont="1" applyBorder="1" applyAlignment="1">
      <alignment horizontal="center" vertical="center"/>
    </xf>
    <xf numFmtId="165" fontId="8" fillId="0" borderId="2" xfId="0" applyNumberFormat="1" applyFont="1" applyBorder="1" applyAlignment="1">
      <alignment horizontal="center" vertical="center"/>
    </xf>
    <xf numFmtId="2" fontId="8" fillId="0" borderId="2" xfId="0" applyNumberFormat="1" applyFont="1" applyBorder="1" applyAlignment="1">
      <alignment horizontal="center" vertical="center"/>
    </xf>
    <xf numFmtId="4" fontId="8" fillId="0" borderId="2" xfId="0" applyNumberFormat="1" applyFont="1" applyBorder="1" applyAlignment="1">
      <alignment horizontal="center" vertical="center"/>
    </xf>
    <xf numFmtId="0" fontId="8" fillId="0" borderId="2" xfId="7" applyFont="1" applyFill="1" applyBorder="1" applyAlignment="1">
      <alignment vertical="center" wrapText="1"/>
    </xf>
    <xf numFmtId="0" fontId="8" fillId="0" borderId="2" xfId="0" applyFont="1" applyBorder="1" applyAlignment="1">
      <alignment horizontal="center" vertical="center" wrapText="1"/>
    </xf>
    <xf numFmtId="3" fontId="8" fillId="0" borderId="2" xfId="0" applyNumberFormat="1" applyFont="1" applyBorder="1" applyAlignment="1">
      <alignment horizontal="center" vertical="center"/>
    </xf>
    <xf numFmtId="0" fontId="8" fillId="0" borderId="2" xfId="7" applyFont="1" applyBorder="1" applyAlignment="1">
      <alignment horizontal="justify" vertical="center" wrapText="1"/>
    </xf>
    <xf numFmtId="3" fontId="8" fillId="7" borderId="2" xfId="7" applyNumberFormat="1" applyFont="1" applyFill="1" applyBorder="1" applyAlignment="1">
      <alignment horizontal="justify" vertical="center" wrapText="1"/>
    </xf>
    <xf numFmtId="49" fontId="10" fillId="4" borderId="2" xfId="0" applyNumberFormat="1" applyFont="1" applyFill="1" applyBorder="1" applyAlignment="1">
      <alignment horizontal="justify" vertical="center" wrapText="1"/>
    </xf>
    <xf numFmtId="4" fontId="5" fillId="5" borderId="2" xfId="0" applyNumberFormat="1" applyFont="1" applyFill="1" applyBorder="1" applyAlignment="1">
      <alignment horizontal="center" vertical="center" wrapText="1"/>
    </xf>
    <xf numFmtId="0" fontId="8" fillId="4" borderId="2" xfId="9" applyFont="1" applyFill="1" applyBorder="1" applyAlignment="1">
      <alignment horizontal="justify" vertical="center" wrapText="1"/>
    </xf>
    <xf numFmtId="49" fontId="8" fillId="4" borderId="2" xfId="5" applyNumberFormat="1" applyFont="1" applyFill="1" applyBorder="1" applyAlignment="1">
      <alignment horizontal="justify" vertical="center" wrapText="1"/>
    </xf>
    <xf numFmtId="3" fontId="8" fillId="4" borderId="2" xfId="5" applyNumberFormat="1" applyFont="1" applyFill="1" applyBorder="1" applyAlignment="1">
      <alignment horizontal="left" vertical="center" wrapText="1"/>
    </xf>
    <xf numFmtId="4" fontId="8" fillId="4" borderId="2" xfId="5" applyNumberFormat="1" applyFont="1" applyFill="1" applyBorder="1" applyAlignment="1">
      <alignment horizontal="center" vertical="center" wrapText="1"/>
    </xf>
    <xf numFmtId="3" fontId="8" fillId="4" borderId="2" xfId="5" applyNumberFormat="1" applyFont="1" applyFill="1" applyBorder="1" applyAlignment="1">
      <alignment horizontal="right" vertical="center" wrapText="1"/>
    </xf>
    <xf numFmtId="4" fontId="8" fillId="4" borderId="2" xfId="5" applyNumberFormat="1" applyFont="1" applyFill="1" applyBorder="1" applyAlignment="1">
      <alignment horizontal="right" vertical="center" wrapText="1"/>
    </xf>
    <xf numFmtId="0" fontId="8" fillId="5" borderId="2" xfId="9" applyFont="1" applyFill="1" applyBorder="1" applyAlignment="1">
      <alignment horizontal="justify" vertical="center" wrapText="1"/>
    </xf>
    <xf numFmtId="49" fontId="8" fillId="5" borderId="2" xfId="5" applyNumberFormat="1" applyFont="1" applyFill="1" applyBorder="1" applyAlignment="1">
      <alignment horizontal="justify" vertical="center" wrapText="1"/>
    </xf>
    <xf numFmtId="3" fontId="8" fillId="5" borderId="2" xfId="5" applyNumberFormat="1" applyFont="1" applyFill="1" applyBorder="1" applyAlignment="1">
      <alignment horizontal="left" vertical="center" wrapText="1"/>
    </xf>
    <xf numFmtId="4" fontId="8" fillId="5" borderId="2" xfId="5" applyNumberFormat="1" applyFont="1" applyFill="1" applyBorder="1" applyAlignment="1">
      <alignment horizontal="center" vertical="center" wrapText="1"/>
    </xf>
    <xf numFmtId="3" fontId="8" fillId="5" borderId="2" xfId="5" applyNumberFormat="1" applyFont="1" applyFill="1" applyBorder="1" applyAlignment="1">
      <alignment horizontal="right" vertical="center" wrapText="1"/>
    </xf>
    <xf numFmtId="4" fontId="8" fillId="5" borderId="2" xfId="5" applyNumberFormat="1" applyFont="1" applyFill="1" applyBorder="1" applyAlignment="1">
      <alignment horizontal="right" vertical="center" wrapText="1"/>
    </xf>
    <xf numFmtId="49" fontId="12" fillId="8" borderId="2" xfId="10" applyNumberFormat="1" applyFont="1" applyFill="1" applyBorder="1" applyAlignment="1">
      <alignment horizontal="justify" vertical="center" wrapText="1"/>
    </xf>
    <xf numFmtId="49" fontId="8" fillId="2" borderId="2" xfId="5" applyNumberFormat="1" applyFont="1" applyFill="1" applyBorder="1" applyAlignment="1">
      <alignment horizontal="justify" vertical="center" wrapText="1"/>
    </xf>
    <xf numFmtId="3" fontId="8" fillId="2" borderId="2" xfId="5" applyNumberFormat="1" applyFont="1" applyFill="1" applyBorder="1" applyAlignment="1">
      <alignment horizontal="left" vertical="center" wrapText="1"/>
    </xf>
    <xf numFmtId="4" fontId="8" fillId="2" borderId="2" xfId="5" applyNumberFormat="1" applyFont="1" applyFill="1" applyBorder="1" applyAlignment="1">
      <alignment horizontal="center" vertical="center" wrapText="1"/>
    </xf>
    <xf numFmtId="3" fontId="8" fillId="2" borderId="2" xfId="5" applyNumberFormat="1" applyFont="1" applyFill="1" applyBorder="1" applyAlignment="1">
      <alignment horizontal="right" vertical="center" wrapText="1"/>
    </xf>
    <xf numFmtId="4" fontId="8" fillId="2" borderId="2" xfId="5" applyNumberFormat="1" applyFont="1" applyFill="1" applyBorder="1" applyAlignment="1">
      <alignment horizontal="right" vertical="center" wrapText="1"/>
    </xf>
    <xf numFmtId="49" fontId="12" fillId="9" borderId="2" xfId="10" applyNumberFormat="1" applyFont="1" applyFill="1" applyBorder="1" applyAlignment="1">
      <alignment horizontal="justify" vertical="center" wrapText="1"/>
    </xf>
    <xf numFmtId="49" fontId="8" fillId="6" borderId="2" xfId="5" applyNumberFormat="1" applyFont="1" applyFill="1" applyBorder="1" applyAlignment="1">
      <alignment horizontal="justify" vertical="center" wrapText="1"/>
    </xf>
    <xf numFmtId="3" fontId="8" fillId="6" borderId="2" xfId="5" applyNumberFormat="1" applyFont="1" applyFill="1" applyBorder="1" applyAlignment="1">
      <alignment horizontal="left" vertical="center" wrapText="1"/>
    </xf>
    <xf numFmtId="4" fontId="8" fillId="6" borderId="2" xfId="5" applyNumberFormat="1" applyFont="1" applyFill="1" applyBorder="1" applyAlignment="1">
      <alignment horizontal="center" vertical="center" wrapText="1"/>
    </xf>
    <xf numFmtId="3" fontId="8" fillId="6" borderId="2" xfId="5" applyNumberFormat="1" applyFont="1" applyFill="1" applyBorder="1" applyAlignment="1">
      <alignment horizontal="right" vertical="center" wrapText="1"/>
    </xf>
    <xf numFmtId="4" fontId="8" fillId="6" borderId="2" xfId="5" applyNumberFormat="1" applyFont="1" applyFill="1" applyBorder="1" applyAlignment="1">
      <alignment horizontal="right" vertical="center" wrapText="1"/>
    </xf>
    <xf numFmtId="49" fontId="12" fillId="0" borderId="2" xfId="10" applyNumberFormat="1" applyFont="1" applyFill="1" applyBorder="1" applyAlignment="1">
      <alignment horizontal="justify" vertical="center" wrapText="1"/>
    </xf>
    <xf numFmtId="49" fontId="8" fillId="0" borderId="2" xfId="5" applyNumberFormat="1" applyFont="1" applyFill="1" applyBorder="1" applyAlignment="1">
      <alignment horizontal="justify" vertical="center" wrapText="1"/>
    </xf>
    <xf numFmtId="3" fontId="8" fillId="0" borderId="2" xfId="5" applyNumberFormat="1" applyFont="1" applyFill="1" applyBorder="1" applyAlignment="1">
      <alignment horizontal="center" vertical="center" wrapText="1"/>
    </xf>
    <xf numFmtId="4" fontId="8" fillId="0" borderId="2" xfId="5" applyNumberFormat="1" applyFont="1" applyFill="1" applyBorder="1" applyAlignment="1">
      <alignment horizontal="center" vertical="center" wrapText="1"/>
    </xf>
    <xf numFmtId="3" fontId="8" fillId="0" borderId="2" xfId="5" applyNumberFormat="1" applyFont="1" applyFill="1" applyBorder="1" applyAlignment="1">
      <alignment horizontal="right" vertical="center" wrapText="1"/>
    </xf>
    <xf numFmtId="4" fontId="8" fillId="0" borderId="2" xfId="8" applyNumberFormat="1" applyFont="1" applyFill="1" applyBorder="1" applyAlignment="1">
      <alignment horizontal="right" vertical="center" wrapText="1"/>
    </xf>
    <xf numFmtId="0" fontId="8" fillId="2" borderId="2" xfId="5" applyFont="1" applyFill="1" applyBorder="1" applyAlignment="1">
      <alignment horizontal="center" vertical="center" wrapText="1"/>
    </xf>
    <xf numFmtId="0" fontId="7" fillId="3" borderId="2" xfId="6" applyFont="1" applyFill="1" applyBorder="1" applyAlignment="1">
      <alignment horizontal="center" vertical="center" wrapText="1"/>
    </xf>
    <xf numFmtId="0" fontId="7" fillId="3" borderId="1" xfId="6" applyFont="1" applyFill="1" applyBorder="1" applyAlignment="1">
      <alignment horizontal="center" vertical="center" wrapText="1"/>
    </xf>
    <xf numFmtId="0" fontId="7" fillId="3" borderId="6" xfId="6" applyFont="1" applyFill="1" applyBorder="1" applyAlignment="1">
      <alignment horizontal="center" vertical="center" wrapText="1"/>
    </xf>
    <xf numFmtId="0" fontId="4" fillId="0" borderId="0" xfId="12" applyFont="1" applyFill="1" applyBorder="1"/>
    <xf numFmtId="0" fontId="13" fillId="0" borderId="0" xfId="12" applyFont="1" applyFill="1" applyBorder="1" applyAlignment="1">
      <alignment vertical="center"/>
    </xf>
    <xf numFmtId="0" fontId="13" fillId="0" borderId="0" xfId="12" applyFont="1" applyFill="1" applyBorder="1" applyAlignment="1">
      <alignment horizontal="center" vertical="center"/>
    </xf>
    <xf numFmtId="4" fontId="13" fillId="0" borderId="0" xfId="12" applyNumberFormat="1" applyFont="1" applyFill="1" applyBorder="1" applyAlignment="1">
      <alignment vertical="center"/>
    </xf>
    <xf numFmtId="0" fontId="3" fillId="0" borderId="0" xfId="12" applyFont="1" applyFill="1" applyBorder="1" applyAlignment="1">
      <alignment vertical="center"/>
    </xf>
    <xf numFmtId="0" fontId="14" fillId="0" borderId="0" xfId="12" applyFont="1" applyFill="1" applyBorder="1"/>
    <xf numFmtId="0" fontId="14" fillId="0" borderId="0" xfId="12" applyFont="1" applyFill="1" applyBorder="1" applyAlignment="1">
      <alignment horizontal="center"/>
    </xf>
    <xf numFmtId="0" fontId="13" fillId="0" borderId="0" xfId="12" applyFont="1" applyFill="1" applyBorder="1" applyAlignment="1"/>
    <xf numFmtId="4" fontId="13" fillId="0" borderId="0" xfId="12" applyNumberFormat="1" applyFont="1" applyFill="1" applyBorder="1" applyAlignment="1"/>
    <xf numFmtId="0" fontId="3" fillId="0" borderId="0" xfId="12" applyFont="1" applyFill="1" applyBorder="1" applyAlignment="1"/>
    <xf numFmtId="0" fontId="15" fillId="2" borderId="2" xfId="11" applyFont="1" applyFill="1" applyBorder="1" applyAlignment="1">
      <alignment horizontal="center" vertical="center" wrapText="1"/>
    </xf>
    <xf numFmtId="166" fontId="15" fillId="3" borderId="2" xfId="11" applyNumberFormat="1" applyFont="1" applyFill="1" applyBorder="1" applyAlignment="1">
      <alignment horizontal="center" vertical="center" wrapText="1"/>
    </xf>
    <xf numFmtId="166" fontId="15" fillId="2" borderId="2" xfId="11" applyNumberFormat="1" applyFont="1" applyFill="1" applyBorder="1" applyAlignment="1">
      <alignment horizontal="center" vertical="center" wrapText="1"/>
    </xf>
    <xf numFmtId="0" fontId="16" fillId="4" borderId="2" xfId="12" applyFont="1" applyFill="1" applyBorder="1" applyAlignment="1">
      <alignment horizontal="center" vertical="center" wrapText="1"/>
    </xf>
    <xf numFmtId="0" fontId="16" fillId="4" borderId="2" xfId="12" applyFont="1" applyFill="1" applyBorder="1" applyAlignment="1">
      <alignment horizontal="justify" vertical="top" wrapText="1"/>
    </xf>
    <xf numFmtId="3" fontId="16" fillId="4" borderId="2" xfId="12" applyNumberFormat="1" applyFont="1" applyFill="1" applyBorder="1" applyAlignment="1">
      <alignment horizontal="center" vertical="center" wrapText="1"/>
    </xf>
    <xf numFmtId="49" fontId="16" fillId="4" borderId="2" xfId="12" applyNumberFormat="1" applyFont="1" applyFill="1" applyBorder="1" applyAlignment="1">
      <alignment horizontal="justify" vertical="center" wrapText="1"/>
    </xf>
    <xf numFmtId="49" fontId="16" fillId="4" borderId="3" xfId="12" applyNumberFormat="1" applyFont="1" applyFill="1" applyBorder="1" applyAlignment="1">
      <alignment horizontal="justify" vertical="center" wrapText="1"/>
    </xf>
    <xf numFmtId="4" fontId="16" fillId="4" borderId="2" xfId="12" applyNumberFormat="1" applyFont="1" applyFill="1" applyBorder="1" applyAlignment="1">
      <alignment horizontal="center" vertical="center" wrapText="1"/>
    </xf>
    <xf numFmtId="4" fontId="16" fillId="4" borderId="5" xfId="12" applyNumberFormat="1" applyFont="1" applyFill="1" applyBorder="1" applyAlignment="1">
      <alignment horizontal="center" vertical="center" wrapText="1"/>
    </xf>
    <xf numFmtId="3" fontId="16" fillId="4" borderId="2" xfId="13" applyNumberFormat="1" applyFont="1" applyFill="1" applyBorder="1" applyAlignment="1">
      <alignment horizontal="right" vertical="center" wrapText="1"/>
    </xf>
    <xf numFmtId="4" fontId="16" fillId="4" borderId="2" xfId="12" applyNumberFormat="1" applyFont="1" applyFill="1" applyBorder="1" applyAlignment="1">
      <alignment horizontal="right" vertical="center" wrapText="1"/>
    </xf>
    <xf numFmtId="3" fontId="16" fillId="4" borderId="2" xfId="12" applyNumberFormat="1" applyFont="1" applyFill="1" applyBorder="1" applyAlignment="1">
      <alignment horizontal="right" vertical="center" wrapText="1"/>
    </xf>
    <xf numFmtId="0" fontId="15" fillId="4" borderId="2" xfId="12" applyFont="1" applyFill="1" applyBorder="1" applyAlignment="1">
      <alignment horizontal="justify" vertical="center" wrapText="1"/>
    </xf>
    <xf numFmtId="0" fontId="7" fillId="4" borderId="2" xfId="12" applyFont="1" applyFill="1" applyBorder="1" applyAlignment="1">
      <alignment horizontal="justify" vertical="center" wrapText="1"/>
    </xf>
    <xf numFmtId="0" fontId="16" fillId="5" borderId="2" xfId="12" applyFont="1" applyFill="1" applyBorder="1" applyAlignment="1">
      <alignment horizontal="center" vertical="center" wrapText="1"/>
    </xf>
    <xf numFmtId="0" fontId="16" fillId="5" borderId="2" xfId="12" applyFont="1" applyFill="1" applyBorder="1" applyAlignment="1">
      <alignment horizontal="justify" vertical="top" wrapText="1"/>
    </xf>
    <xf numFmtId="3" fontId="16" fillId="5" borderId="2" xfId="12" applyNumberFormat="1" applyFont="1" applyFill="1" applyBorder="1" applyAlignment="1">
      <alignment horizontal="center" vertical="center" wrapText="1"/>
    </xf>
    <xf numFmtId="49" fontId="16" fillId="5" borderId="2" xfId="12" applyNumberFormat="1" applyFont="1" applyFill="1" applyBorder="1" applyAlignment="1">
      <alignment horizontal="justify" vertical="center" wrapText="1"/>
    </xf>
    <xf numFmtId="49" fontId="16" fillId="5" borderId="3" xfId="12" applyNumberFormat="1" applyFont="1" applyFill="1" applyBorder="1" applyAlignment="1">
      <alignment horizontal="justify" vertical="center" wrapText="1"/>
    </xf>
    <xf numFmtId="4" fontId="16" fillId="5" borderId="2" xfId="12" applyNumberFormat="1" applyFont="1" applyFill="1" applyBorder="1" applyAlignment="1">
      <alignment horizontal="center" vertical="center" wrapText="1"/>
    </xf>
    <xf numFmtId="4" fontId="16" fillId="5" borderId="5" xfId="12" applyNumberFormat="1" applyFont="1" applyFill="1" applyBorder="1" applyAlignment="1">
      <alignment horizontal="center" vertical="center" wrapText="1"/>
    </xf>
    <xf numFmtId="3" fontId="16" fillId="5" borderId="2" xfId="12" applyNumberFormat="1" applyFont="1" applyFill="1" applyBorder="1" applyAlignment="1">
      <alignment horizontal="right" vertical="center" wrapText="1"/>
    </xf>
    <xf numFmtId="4" fontId="16" fillId="5" borderId="2" xfId="12" applyNumberFormat="1" applyFont="1" applyFill="1" applyBorder="1" applyAlignment="1">
      <alignment horizontal="right" vertical="center" wrapText="1"/>
    </xf>
    <xf numFmtId="0" fontId="15" fillId="5" borderId="2" xfId="12" applyFont="1" applyFill="1" applyBorder="1" applyAlignment="1">
      <alignment horizontal="justify" vertical="center" wrapText="1"/>
    </xf>
    <xf numFmtId="0" fontId="7" fillId="5" borderId="2" xfId="12" applyFont="1" applyFill="1" applyBorder="1" applyAlignment="1">
      <alignment horizontal="justify" vertical="center" wrapText="1"/>
    </xf>
    <xf numFmtId="0" fontId="16" fillId="10" borderId="2" xfId="12" applyFont="1" applyFill="1" applyBorder="1" applyAlignment="1">
      <alignment horizontal="center" vertical="center" wrapText="1"/>
    </xf>
    <xf numFmtId="0" fontId="16" fillId="10" borderId="2" xfId="12" applyFont="1" applyFill="1" applyBorder="1" applyAlignment="1">
      <alignment horizontal="justify" vertical="top" wrapText="1"/>
    </xf>
    <xf numFmtId="3" fontId="16" fillId="10" borderId="2" xfId="12" applyNumberFormat="1" applyFont="1" applyFill="1" applyBorder="1" applyAlignment="1">
      <alignment horizontal="center" vertical="center" wrapText="1"/>
    </xf>
    <xf numFmtId="49" fontId="16" fillId="10" borderId="2" xfId="12" applyNumberFormat="1" applyFont="1" applyFill="1" applyBorder="1" applyAlignment="1">
      <alignment horizontal="justify" vertical="center" wrapText="1"/>
    </xf>
    <xf numFmtId="49" fontId="16" fillId="10" borderId="3" xfId="12" applyNumberFormat="1" applyFont="1" applyFill="1" applyBorder="1" applyAlignment="1">
      <alignment horizontal="justify" vertical="center" wrapText="1"/>
    </xf>
    <xf numFmtId="4" fontId="16" fillId="10" borderId="2" xfId="12" applyNumberFormat="1" applyFont="1" applyFill="1" applyBorder="1" applyAlignment="1">
      <alignment horizontal="center" vertical="center" wrapText="1"/>
    </xf>
    <xf numFmtId="3" fontId="16" fillId="10" borderId="2" xfId="12" applyNumberFormat="1" applyFont="1" applyFill="1" applyBorder="1" applyAlignment="1">
      <alignment horizontal="right" vertical="center" wrapText="1"/>
    </xf>
    <xf numFmtId="4" fontId="16" fillId="10" borderId="2" xfId="12" applyNumberFormat="1" applyFont="1" applyFill="1" applyBorder="1" applyAlignment="1">
      <alignment horizontal="right" vertical="center" wrapText="1"/>
    </xf>
    <xf numFmtId="0" fontId="16" fillId="10" borderId="2" xfId="12" applyFont="1" applyFill="1" applyBorder="1" applyAlignment="1">
      <alignment horizontal="justify" vertical="center" wrapText="1"/>
    </xf>
    <xf numFmtId="0" fontId="8" fillId="10" borderId="2" xfId="12" applyFont="1" applyFill="1" applyBorder="1" applyAlignment="1">
      <alignment horizontal="justify" vertical="center" wrapText="1"/>
    </xf>
    <xf numFmtId="0" fontId="16" fillId="6" borderId="2" xfId="12" applyFont="1" applyFill="1" applyBorder="1" applyAlignment="1">
      <alignment horizontal="center" vertical="center" wrapText="1"/>
    </xf>
    <xf numFmtId="0" fontId="16" fillId="6" borderId="2" xfId="12" applyFont="1" applyFill="1" applyBorder="1" applyAlignment="1">
      <alignment horizontal="justify" vertical="top" wrapText="1"/>
    </xf>
    <xf numFmtId="3" fontId="17" fillId="6" borderId="2" xfId="12" applyNumberFormat="1" applyFont="1" applyFill="1" applyBorder="1" applyAlignment="1">
      <alignment horizontal="center" vertical="center" wrapText="1"/>
    </xf>
    <xf numFmtId="49" fontId="17" fillId="6" borderId="2" xfId="12" applyNumberFormat="1" applyFont="1" applyFill="1" applyBorder="1" applyAlignment="1">
      <alignment horizontal="justify" vertical="center" wrapText="1"/>
    </xf>
    <xf numFmtId="49" fontId="17" fillId="6" borderId="3" xfId="12" applyNumberFormat="1" applyFont="1" applyFill="1" applyBorder="1" applyAlignment="1">
      <alignment horizontal="justify" vertical="center" wrapText="1"/>
    </xf>
    <xf numFmtId="4" fontId="16" fillId="6" borderId="2" xfId="12" applyNumberFormat="1" applyFont="1" applyFill="1" applyBorder="1" applyAlignment="1">
      <alignment horizontal="center" vertical="center" wrapText="1"/>
    </xf>
    <xf numFmtId="4" fontId="16" fillId="6" borderId="2" xfId="13" applyNumberFormat="1" applyFont="1" applyFill="1" applyBorder="1" applyAlignment="1">
      <alignment horizontal="center" vertical="center" wrapText="1"/>
    </xf>
    <xf numFmtId="3" fontId="16" fillId="6" borderId="2" xfId="12" applyNumberFormat="1" applyFont="1" applyFill="1" applyBorder="1" applyAlignment="1">
      <alignment horizontal="right" vertical="center" wrapText="1"/>
    </xf>
    <xf numFmtId="4" fontId="16" fillId="6" borderId="2" xfId="12" applyNumberFormat="1" applyFont="1" applyFill="1" applyBorder="1" applyAlignment="1">
      <alignment horizontal="right" vertical="center" wrapText="1"/>
    </xf>
    <xf numFmtId="0" fontId="15" fillId="6" borderId="2" xfId="12" applyFont="1" applyFill="1" applyBorder="1" applyAlignment="1">
      <alignment horizontal="justify" vertical="center" wrapText="1"/>
    </xf>
    <xf numFmtId="0" fontId="7" fillId="6" borderId="2" xfId="12" applyFont="1" applyFill="1" applyBorder="1" applyAlignment="1">
      <alignment horizontal="justify" vertical="center" wrapText="1"/>
    </xf>
    <xf numFmtId="3" fontId="16" fillId="0" borderId="2" xfId="12" applyNumberFormat="1" applyFont="1" applyFill="1" applyBorder="1" applyAlignment="1">
      <alignment horizontal="center" vertical="center" wrapText="1"/>
    </xf>
    <xf numFmtId="49" fontId="16" fillId="0" borderId="2" xfId="12" applyNumberFormat="1" applyFont="1" applyFill="1" applyBorder="1" applyAlignment="1">
      <alignment horizontal="justify" vertical="center" wrapText="1"/>
    </xf>
    <xf numFmtId="3" fontId="16" fillId="0" borderId="2" xfId="12" applyNumberFormat="1" applyFont="1" applyFill="1" applyBorder="1" applyAlignment="1">
      <alignment horizontal="right" vertical="center" wrapText="1"/>
    </xf>
    <xf numFmtId="4" fontId="16" fillId="0" borderId="2" xfId="12" applyNumberFormat="1" applyFont="1" applyFill="1" applyBorder="1" applyAlignment="1">
      <alignment horizontal="right" vertical="center" wrapText="1"/>
    </xf>
    <xf numFmtId="4" fontId="16" fillId="0" borderId="2" xfId="8" applyNumberFormat="1" applyFont="1" applyFill="1" applyBorder="1" applyAlignment="1">
      <alignment horizontal="right" vertical="center" wrapText="1"/>
    </xf>
    <xf numFmtId="0" fontId="16" fillId="0" borderId="2" xfId="12" applyFont="1" applyFill="1" applyBorder="1" applyAlignment="1">
      <alignment horizontal="justify" vertical="center" wrapText="1"/>
    </xf>
    <xf numFmtId="0" fontId="16" fillId="0" borderId="2" xfId="12" applyFont="1" applyFill="1" applyBorder="1" applyAlignment="1">
      <alignment horizontal="justify" vertical="top" wrapText="1"/>
    </xf>
    <xf numFmtId="0" fontId="8" fillId="0" borderId="2" xfId="12" applyFont="1" applyFill="1" applyBorder="1" applyAlignment="1">
      <alignment horizontal="justify" vertical="top" wrapText="1"/>
    </xf>
    <xf numFmtId="0" fontId="17" fillId="6" borderId="2" xfId="12" applyFont="1" applyFill="1" applyBorder="1" applyAlignment="1">
      <alignment horizontal="justify" vertical="top" wrapText="1"/>
    </xf>
    <xf numFmtId="49" fontId="17" fillId="6" borderId="3" xfId="12" applyNumberFormat="1" applyFont="1" applyFill="1" applyBorder="1" applyAlignment="1">
      <alignment horizontal="justify" vertical="top" wrapText="1"/>
    </xf>
    <xf numFmtId="0" fontId="16" fillId="6" borderId="2" xfId="12" applyFont="1" applyFill="1" applyBorder="1" applyAlignment="1">
      <alignment horizontal="justify" vertical="center" wrapText="1"/>
    </xf>
    <xf numFmtId="0" fontId="8" fillId="6" borderId="2" xfId="12" applyFont="1" applyFill="1" applyBorder="1" applyAlignment="1">
      <alignment horizontal="justify" vertical="top" wrapText="1"/>
    </xf>
    <xf numFmtId="0" fontId="16" fillId="0" borderId="2" xfId="12" applyFont="1" applyBorder="1" applyAlignment="1">
      <alignment horizontal="center" vertical="center" wrapText="1"/>
    </xf>
    <xf numFmtId="0" fontId="16" fillId="0" borderId="2" xfId="12" applyFont="1" applyBorder="1" applyAlignment="1">
      <alignment horizontal="justify" vertical="top" wrapText="1"/>
    </xf>
    <xf numFmtId="3" fontId="16" fillId="0" borderId="2" xfId="12" applyNumberFormat="1" applyFont="1" applyBorder="1" applyAlignment="1">
      <alignment horizontal="center" vertical="center" wrapText="1"/>
    </xf>
    <xf numFmtId="49" fontId="16" fillId="0" borderId="2" xfId="12" applyNumberFormat="1" applyFont="1" applyBorder="1" applyAlignment="1">
      <alignment horizontal="justify" vertical="center" wrapText="1"/>
    </xf>
    <xf numFmtId="49" fontId="16" fillId="0" borderId="2" xfId="12" applyNumberFormat="1" applyFont="1" applyBorder="1" applyAlignment="1">
      <alignment horizontal="justify" vertical="top" wrapText="1"/>
    </xf>
    <xf numFmtId="49" fontId="16" fillId="0" borderId="3" xfId="12" applyNumberFormat="1" applyFont="1" applyBorder="1" applyAlignment="1">
      <alignment horizontal="justify" vertical="top" wrapText="1"/>
    </xf>
    <xf numFmtId="4" fontId="16" fillId="0" borderId="2" xfId="12" applyNumberFormat="1" applyFont="1" applyFill="1" applyBorder="1" applyAlignment="1">
      <alignment horizontal="center" vertical="center" wrapText="1"/>
    </xf>
    <xf numFmtId="3" fontId="16" fillId="0" borderId="2" xfId="14" applyNumberFormat="1" applyFont="1" applyFill="1" applyBorder="1" applyAlignment="1">
      <alignment horizontal="justify" vertical="center" wrapText="1"/>
    </xf>
    <xf numFmtId="49" fontId="16" fillId="0" borderId="2" xfId="12" applyNumberFormat="1" applyFont="1" applyFill="1" applyBorder="1" applyAlignment="1">
      <alignment horizontal="justify" vertical="top" wrapText="1"/>
    </xf>
    <xf numFmtId="3" fontId="17" fillId="6" borderId="2" xfId="14" applyNumberFormat="1" applyFont="1" applyFill="1" applyBorder="1" applyAlignment="1">
      <alignment horizontal="justify" vertical="center" wrapText="1"/>
    </xf>
    <xf numFmtId="3" fontId="17" fillId="6" borderId="2" xfId="14" applyNumberFormat="1" applyFont="1" applyFill="1" applyBorder="1" applyAlignment="1">
      <alignment horizontal="justify" vertical="top" wrapText="1"/>
    </xf>
    <xf numFmtId="4" fontId="16" fillId="6" borderId="2" xfId="8" applyNumberFormat="1" applyFont="1" applyFill="1" applyBorder="1" applyAlignment="1">
      <alignment horizontal="right" vertical="center" wrapText="1"/>
    </xf>
    <xf numFmtId="3" fontId="16" fillId="0" borderId="2" xfId="14" applyNumberFormat="1" applyFont="1" applyBorder="1" applyAlignment="1">
      <alignment horizontal="center" vertical="center" wrapText="1"/>
    </xf>
    <xf numFmtId="3" fontId="16" fillId="0" borderId="2" xfId="14" applyNumberFormat="1" applyFont="1" applyBorder="1" applyAlignment="1">
      <alignment horizontal="justify" vertical="center" wrapText="1"/>
    </xf>
    <xf numFmtId="3" fontId="16" fillId="0" borderId="2" xfId="14" applyNumberFormat="1" applyFont="1" applyBorder="1" applyAlignment="1">
      <alignment horizontal="justify" vertical="top" wrapText="1"/>
    </xf>
    <xf numFmtId="3" fontId="16" fillId="0" borderId="3" xfId="14" applyNumberFormat="1" applyFont="1" applyBorder="1" applyAlignment="1">
      <alignment horizontal="justify" vertical="top" wrapText="1"/>
    </xf>
    <xf numFmtId="3" fontId="16" fillId="0" borderId="2" xfId="15" applyNumberFormat="1" applyFont="1" applyFill="1" applyBorder="1" applyAlignment="1">
      <alignment horizontal="right" vertical="center" wrapText="1"/>
    </xf>
    <xf numFmtId="4" fontId="16" fillId="0" borderId="2" xfId="15" applyNumberFormat="1" applyFont="1" applyFill="1" applyBorder="1" applyAlignment="1">
      <alignment horizontal="right" vertical="center" wrapText="1"/>
    </xf>
    <xf numFmtId="49" fontId="16" fillId="10" borderId="2" xfId="12" applyNumberFormat="1" applyFont="1" applyFill="1" applyBorder="1" applyAlignment="1">
      <alignment horizontal="justify" vertical="top" wrapText="1"/>
    </xf>
    <xf numFmtId="49" fontId="16" fillId="10" borderId="3" xfId="12" applyNumberFormat="1" applyFont="1" applyFill="1" applyBorder="1" applyAlignment="1">
      <alignment horizontal="justify" vertical="top" wrapText="1"/>
    </xf>
    <xf numFmtId="4" fontId="16" fillId="0" borderId="2" xfId="16" applyNumberFormat="1" applyFont="1" applyFill="1" applyBorder="1" applyAlignment="1">
      <alignment horizontal="right" vertical="center" wrapText="1"/>
    </xf>
    <xf numFmtId="0" fontId="16" fillId="7" borderId="2" xfId="12" applyFont="1" applyFill="1" applyBorder="1" applyAlignment="1">
      <alignment horizontal="justify" vertical="top" wrapText="1"/>
    </xf>
    <xf numFmtId="49" fontId="17" fillId="6" borderId="2" xfId="12" applyNumberFormat="1" applyFont="1" applyFill="1" applyBorder="1" applyAlignment="1">
      <alignment horizontal="justify" vertical="top" wrapText="1"/>
    </xf>
    <xf numFmtId="0" fontId="16" fillId="0" borderId="2" xfId="12" applyFont="1" applyFill="1" applyBorder="1" applyAlignment="1">
      <alignment horizontal="center" vertical="center" wrapText="1"/>
    </xf>
    <xf numFmtId="49" fontId="16" fillId="0" borderId="3" xfId="12" applyNumberFormat="1" applyFont="1" applyFill="1" applyBorder="1" applyAlignment="1">
      <alignment horizontal="justify" vertical="top" wrapText="1"/>
    </xf>
    <xf numFmtId="0" fontId="16" fillId="0" borderId="2" xfId="12" applyFont="1" applyFill="1" applyBorder="1" applyAlignment="1" applyProtection="1">
      <alignment horizontal="justify" vertical="center" wrapText="1"/>
      <protection locked="0"/>
    </xf>
    <xf numFmtId="49" fontId="16" fillId="7" borderId="2" xfId="12" applyNumberFormat="1" applyFont="1" applyFill="1" applyBorder="1" applyAlignment="1">
      <alignment horizontal="justify" vertical="top" wrapText="1"/>
    </xf>
    <xf numFmtId="3" fontId="16" fillId="7" borderId="2" xfId="12" applyNumberFormat="1" applyFont="1" applyFill="1" applyBorder="1" applyAlignment="1">
      <alignment horizontal="center" vertical="center" wrapText="1"/>
    </xf>
    <xf numFmtId="49" fontId="16" fillId="7" borderId="2" xfId="12" applyNumberFormat="1" applyFont="1" applyFill="1" applyBorder="1" applyAlignment="1">
      <alignment horizontal="justify" vertical="center" wrapText="1"/>
    </xf>
    <xf numFmtId="49" fontId="16" fillId="7" borderId="3" xfId="12" applyNumberFormat="1" applyFont="1" applyFill="1" applyBorder="1" applyAlignment="1">
      <alignment horizontal="justify" vertical="top" wrapText="1"/>
    </xf>
    <xf numFmtId="0" fontId="16" fillId="11" borderId="2" xfId="0" applyFont="1" applyFill="1" applyBorder="1" applyAlignment="1">
      <alignment horizontal="justify" vertical="center" wrapText="1"/>
    </xf>
    <xf numFmtId="0" fontId="16" fillId="11" borderId="2" xfId="0" applyFont="1" applyFill="1" applyBorder="1" applyAlignment="1">
      <alignment vertical="top" wrapText="1"/>
    </xf>
    <xf numFmtId="0" fontId="15" fillId="11" borderId="2" xfId="0" applyFont="1" applyFill="1" applyBorder="1" applyAlignment="1">
      <alignment vertical="top" wrapText="1"/>
    </xf>
    <xf numFmtId="0" fontId="16" fillId="11" borderId="2" xfId="0" applyFont="1" applyFill="1" applyBorder="1" applyAlignment="1">
      <alignment horizontal="center" vertical="center" wrapText="1"/>
    </xf>
    <xf numFmtId="4" fontId="16" fillId="12" borderId="2" xfId="12" applyNumberFormat="1" applyFont="1" applyFill="1" applyBorder="1" applyAlignment="1">
      <alignment horizontal="center" vertical="center" wrapText="1"/>
    </xf>
    <xf numFmtId="3" fontId="16" fillId="12" borderId="2" xfId="12" applyNumberFormat="1" applyFont="1" applyFill="1" applyBorder="1" applyAlignment="1">
      <alignment horizontal="right" vertical="center" wrapText="1"/>
    </xf>
    <xf numFmtId="4" fontId="16" fillId="12" borderId="2" xfId="12" applyNumberFormat="1" applyFont="1" applyFill="1" applyBorder="1" applyAlignment="1">
      <alignment horizontal="right" vertical="center" wrapText="1"/>
    </xf>
    <xf numFmtId="0" fontId="16" fillId="12" borderId="2" xfId="12" applyFont="1" applyFill="1" applyBorder="1" applyAlignment="1">
      <alignment horizontal="justify" vertical="center" wrapText="1"/>
    </xf>
    <xf numFmtId="0" fontId="16" fillId="12" borderId="2" xfId="12" applyFont="1" applyFill="1" applyBorder="1" applyAlignment="1">
      <alignment horizontal="justify" vertical="top" wrapText="1"/>
    </xf>
    <xf numFmtId="0" fontId="16" fillId="6" borderId="2" xfId="0" applyFont="1" applyFill="1" applyBorder="1" applyAlignment="1">
      <alignment horizontal="justify" vertical="center" wrapText="1"/>
    </xf>
    <xf numFmtId="0" fontId="16" fillId="6" borderId="2" xfId="0" applyFont="1" applyFill="1" applyBorder="1" applyAlignment="1">
      <alignment horizontal="left" vertical="top" wrapText="1"/>
    </xf>
    <xf numFmtId="3" fontId="16" fillId="6" borderId="2" xfId="0" applyNumberFormat="1" applyFont="1" applyFill="1" applyBorder="1" applyAlignment="1">
      <alignment horizontal="center" vertical="center" wrapText="1"/>
    </xf>
    <xf numFmtId="49" fontId="16" fillId="6" borderId="2" xfId="0" applyNumberFormat="1" applyFont="1" applyFill="1" applyBorder="1" applyAlignment="1">
      <alignment horizontal="left" vertical="center" wrapText="1"/>
    </xf>
    <xf numFmtId="49" fontId="16" fillId="6" borderId="2" xfId="0" applyNumberFormat="1" applyFont="1" applyFill="1" applyBorder="1" applyAlignment="1">
      <alignment horizontal="left" vertical="top" wrapText="1"/>
    </xf>
    <xf numFmtId="0" fontId="16" fillId="0" borderId="2" xfId="0" applyFont="1" applyFill="1" applyBorder="1" applyAlignment="1">
      <alignment horizontal="justify" vertical="center" wrapText="1"/>
    </xf>
    <xf numFmtId="0" fontId="16" fillId="0" borderId="2" xfId="0" applyFont="1" applyFill="1" applyBorder="1" applyAlignment="1">
      <alignment horizontal="left" vertical="top" wrapText="1"/>
    </xf>
    <xf numFmtId="3" fontId="16"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top" wrapText="1"/>
    </xf>
    <xf numFmtId="49" fontId="16" fillId="7" borderId="2" xfId="0" applyNumberFormat="1" applyFont="1" applyFill="1" applyBorder="1" applyAlignment="1">
      <alignment horizontal="left" vertical="top" wrapText="1"/>
    </xf>
    <xf numFmtId="3" fontId="16" fillId="7" borderId="2" xfId="0" applyNumberFormat="1" applyFont="1" applyFill="1" applyBorder="1" applyAlignment="1">
      <alignment horizontal="center" vertical="center" wrapText="1"/>
    </xf>
    <xf numFmtId="0" fontId="16" fillId="0" borderId="2" xfId="12" applyFont="1" applyFill="1" applyBorder="1" applyAlignment="1">
      <alignment horizontal="center" vertical="top" wrapText="1"/>
    </xf>
    <xf numFmtId="49" fontId="16" fillId="6" borderId="2" xfId="0" applyNumberFormat="1" applyFont="1" applyFill="1" applyBorder="1" applyAlignment="1">
      <alignment horizontal="justify" vertical="center" wrapText="1"/>
    </xf>
    <xf numFmtId="3" fontId="16" fillId="6" borderId="2" xfId="0" applyNumberFormat="1" applyFont="1" applyFill="1" applyBorder="1" applyAlignment="1">
      <alignment horizontal="right" vertical="center" wrapText="1"/>
    </xf>
    <xf numFmtId="4" fontId="16" fillId="6" borderId="2" xfId="16" applyNumberFormat="1" applyFont="1" applyFill="1" applyBorder="1" applyAlignment="1">
      <alignment horizontal="right" vertical="center" wrapText="1"/>
    </xf>
    <xf numFmtId="49" fontId="16" fillId="0" borderId="2" xfId="0" applyNumberFormat="1" applyFont="1" applyFill="1" applyBorder="1" applyAlignment="1">
      <alignment horizontal="justify" vertical="center" wrapText="1"/>
    </xf>
    <xf numFmtId="49" fontId="16" fillId="0" borderId="2" xfId="0" applyNumberFormat="1" applyFont="1" applyBorder="1" applyAlignment="1">
      <alignment horizontal="justify" vertical="center" wrapText="1"/>
    </xf>
    <xf numFmtId="3" fontId="16" fillId="0" borderId="2" xfId="0" applyNumberFormat="1" applyFont="1" applyBorder="1" applyAlignment="1">
      <alignment horizontal="right" vertical="center" wrapText="1"/>
    </xf>
    <xf numFmtId="0" fontId="17" fillId="6" borderId="2" xfId="12" applyFont="1" applyFill="1" applyBorder="1" applyAlignment="1">
      <alignment horizontal="justify" vertical="center" wrapText="1"/>
    </xf>
    <xf numFmtId="0" fontId="16" fillId="0" borderId="1" xfId="12" applyFont="1" applyFill="1" applyBorder="1" applyAlignment="1">
      <alignment vertical="center" wrapText="1"/>
    </xf>
    <xf numFmtId="0" fontId="16" fillId="0" borderId="1" xfId="12" applyFont="1" applyBorder="1" applyAlignment="1">
      <alignment vertical="top" wrapText="1"/>
    </xf>
    <xf numFmtId="0" fontId="16" fillId="11" borderId="3" xfId="0" applyFont="1" applyFill="1" applyBorder="1" applyAlignment="1">
      <alignment vertical="top" wrapText="1"/>
    </xf>
    <xf numFmtId="0" fontId="15" fillId="11" borderId="2" xfId="0" applyFont="1" applyFill="1" applyBorder="1" applyAlignment="1">
      <alignment horizontal="center" vertical="center" wrapText="1"/>
    </xf>
    <xf numFmtId="3" fontId="16" fillId="11" borderId="2" xfId="0" applyNumberFormat="1" applyFont="1" applyFill="1" applyBorder="1" applyAlignment="1">
      <alignment horizontal="right" vertical="center" wrapText="1"/>
    </xf>
    <xf numFmtId="2" fontId="16" fillId="11" borderId="2" xfId="0" applyNumberFormat="1" applyFont="1" applyFill="1" applyBorder="1" applyAlignment="1">
      <alignment horizontal="left" vertical="center" wrapText="1"/>
    </xf>
    <xf numFmtId="4" fontId="16" fillId="12" borderId="2" xfId="16" applyNumberFormat="1" applyFont="1" applyFill="1" applyBorder="1" applyAlignment="1">
      <alignment horizontal="right" vertical="center" wrapText="1"/>
    </xf>
    <xf numFmtId="0" fontId="16" fillId="6" borderId="2" xfId="0" applyFont="1" applyFill="1" applyBorder="1" applyAlignment="1">
      <alignment horizontal="justify" vertical="top" wrapText="1"/>
    </xf>
    <xf numFmtId="0" fontId="16" fillId="0" borderId="2" xfId="0" applyFont="1" applyFill="1" applyBorder="1" applyAlignment="1">
      <alignment horizontal="justify" vertical="top" wrapText="1"/>
    </xf>
    <xf numFmtId="49" fontId="16" fillId="5" borderId="2" xfId="0" applyNumberFormat="1" applyFont="1" applyFill="1" applyBorder="1" applyAlignment="1">
      <alignment horizontal="justify" vertical="center" wrapText="1"/>
    </xf>
    <xf numFmtId="3" fontId="16" fillId="5" borderId="2" xfId="14" applyNumberFormat="1" applyFont="1" applyFill="1" applyBorder="1" applyAlignment="1">
      <alignment horizontal="center" vertical="center" wrapText="1"/>
    </xf>
    <xf numFmtId="3" fontId="16" fillId="5" borderId="2" xfId="14" applyNumberFormat="1" applyFont="1" applyFill="1" applyBorder="1" applyAlignment="1">
      <alignment horizontal="justify" vertical="center" wrapText="1"/>
    </xf>
    <xf numFmtId="3" fontId="16" fillId="5" borderId="2" xfId="14" applyNumberFormat="1" applyFont="1" applyFill="1" applyBorder="1" applyAlignment="1">
      <alignment horizontal="justify" vertical="top" wrapText="1"/>
    </xf>
    <xf numFmtId="3" fontId="16" fillId="5" borderId="3" xfId="14" applyNumberFormat="1" applyFont="1" applyFill="1" applyBorder="1" applyAlignment="1">
      <alignment horizontal="justify" vertical="top" wrapText="1"/>
    </xf>
    <xf numFmtId="3" fontId="16" fillId="5" borderId="2" xfId="15" applyNumberFormat="1" applyFont="1" applyFill="1" applyBorder="1" applyAlignment="1">
      <alignment horizontal="right" vertical="center" wrapText="1"/>
    </xf>
    <xf numFmtId="4" fontId="16" fillId="5" borderId="2" xfId="15" applyNumberFormat="1" applyFont="1" applyFill="1" applyBorder="1" applyAlignment="1">
      <alignment horizontal="right" vertical="center" wrapText="1"/>
    </xf>
    <xf numFmtId="0" fontId="16" fillId="5" borderId="2" xfId="12" applyFont="1" applyFill="1" applyBorder="1" applyAlignment="1">
      <alignment horizontal="justify" vertical="center" wrapText="1"/>
    </xf>
    <xf numFmtId="0" fontId="16" fillId="0" borderId="2" xfId="12" applyFont="1" applyBorder="1" applyAlignment="1" applyProtection="1">
      <alignment horizontal="justify" vertical="center" wrapText="1"/>
      <protection locked="0"/>
    </xf>
    <xf numFmtId="3" fontId="16" fillId="0" borderId="2" xfId="13" applyNumberFormat="1" applyFont="1" applyFill="1" applyBorder="1" applyAlignment="1">
      <alignment horizontal="center" vertical="center" wrapText="1"/>
    </xf>
    <xf numFmtId="0" fontId="16" fillId="6" borderId="2" xfId="3" applyNumberFormat="1" applyFont="1" applyFill="1" applyBorder="1" applyAlignment="1">
      <alignment horizontal="center" vertical="center" wrapText="1"/>
    </xf>
    <xf numFmtId="0" fontId="16" fillId="0" borderId="2" xfId="3" applyNumberFormat="1" applyFont="1" applyFill="1" applyBorder="1" applyAlignment="1">
      <alignment horizontal="center" vertical="center" wrapText="1"/>
    </xf>
    <xf numFmtId="0" fontId="16" fillId="5" borderId="2" xfId="0" applyFont="1" applyFill="1" applyBorder="1" applyAlignment="1">
      <alignment horizontal="justify" vertical="center" wrapText="1"/>
    </xf>
    <xf numFmtId="0" fontId="16" fillId="5" borderId="2" xfId="0" applyFont="1" applyFill="1" applyBorder="1" applyAlignment="1">
      <alignment horizontal="left" vertical="top" wrapText="1"/>
    </xf>
    <xf numFmtId="3" fontId="16" fillId="5" borderId="2" xfId="0" applyNumberFormat="1" applyFont="1" applyFill="1" applyBorder="1" applyAlignment="1">
      <alignment horizontal="center" vertical="center" wrapText="1"/>
    </xf>
    <xf numFmtId="49" fontId="16" fillId="5" borderId="2" xfId="0" applyNumberFormat="1" applyFont="1" applyFill="1" applyBorder="1" applyAlignment="1">
      <alignment horizontal="left" vertical="center" wrapText="1"/>
    </xf>
    <xf numFmtId="49" fontId="16" fillId="5" borderId="2" xfId="0" applyNumberFormat="1" applyFont="1" applyFill="1" applyBorder="1" applyAlignment="1">
      <alignment horizontal="left" vertical="top" wrapText="1"/>
    </xf>
    <xf numFmtId="0" fontId="16" fillId="5" borderId="2" xfId="12" applyFont="1" applyFill="1" applyBorder="1" applyAlignment="1">
      <alignment horizontal="center" vertical="top" wrapText="1"/>
    </xf>
    <xf numFmtId="3" fontId="16" fillId="11" borderId="2" xfId="0" applyNumberFormat="1" applyFont="1" applyFill="1" applyBorder="1" applyAlignment="1">
      <alignment horizontal="center" vertical="center" wrapText="1"/>
    </xf>
    <xf numFmtId="0" fontId="16" fillId="7" borderId="2" xfId="0" applyFont="1" applyFill="1" applyBorder="1" applyAlignment="1">
      <alignment horizontal="justify" vertical="center" wrapText="1"/>
    </xf>
    <xf numFmtId="0" fontId="16" fillId="7" borderId="2" xfId="0" applyFont="1" applyFill="1" applyBorder="1" applyAlignment="1">
      <alignment horizontal="left" vertical="top" wrapText="1"/>
    </xf>
    <xf numFmtId="49" fontId="16" fillId="7" borderId="2" xfId="0" applyNumberFormat="1" applyFont="1" applyFill="1" applyBorder="1" applyAlignment="1">
      <alignment horizontal="left" vertical="center" wrapText="1"/>
    </xf>
    <xf numFmtId="4" fontId="16" fillId="7" borderId="2" xfId="12" applyNumberFormat="1" applyFont="1" applyFill="1" applyBorder="1" applyAlignment="1">
      <alignment horizontal="center" vertical="center" wrapText="1"/>
    </xf>
    <xf numFmtId="3" fontId="16" fillId="7" borderId="2" xfId="12" applyNumberFormat="1" applyFont="1" applyFill="1" applyBorder="1" applyAlignment="1">
      <alignment horizontal="right" vertical="center" wrapText="1"/>
    </xf>
    <xf numFmtId="4" fontId="16" fillId="7" borderId="2" xfId="12" applyNumberFormat="1" applyFont="1" applyFill="1" applyBorder="1" applyAlignment="1">
      <alignment horizontal="right" vertical="center" wrapText="1"/>
    </xf>
    <xf numFmtId="4" fontId="16" fillId="7" borderId="2" xfId="16" applyNumberFormat="1" applyFont="1" applyFill="1" applyBorder="1" applyAlignment="1">
      <alignment horizontal="right" vertical="center" wrapText="1"/>
    </xf>
    <xf numFmtId="0" fontId="16" fillId="7" borderId="2" xfId="12" applyFont="1" applyFill="1" applyBorder="1" applyAlignment="1">
      <alignment horizontal="justify" vertical="center" wrapText="1"/>
    </xf>
    <xf numFmtId="0" fontId="16" fillId="7" borderId="2" xfId="12" applyFont="1" applyFill="1" applyBorder="1" applyAlignment="1">
      <alignment horizontal="center" vertical="top" wrapText="1"/>
    </xf>
    <xf numFmtId="49" fontId="16" fillId="4" borderId="2" xfId="12" applyNumberFormat="1" applyFont="1" applyFill="1" applyBorder="1" applyAlignment="1">
      <alignment horizontal="justify" vertical="top" wrapText="1"/>
    </xf>
    <xf numFmtId="49" fontId="16" fillId="4" borderId="3" xfId="12" applyNumberFormat="1" applyFont="1" applyFill="1" applyBorder="1" applyAlignment="1">
      <alignment horizontal="justify" vertical="top" wrapText="1"/>
    </xf>
    <xf numFmtId="4" fontId="15" fillId="4" borderId="2" xfId="12" applyNumberFormat="1" applyFont="1" applyFill="1" applyBorder="1" applyAlignment="1">
      <alignment horizontal="right" vertical="center" wrapText="1"/>
    </xf>
    <xf numFmtId="0" fontId="16" fillId="4" borderId="2" xfId="12" applyFont="1" applyFill="1" applyBorder="1" applyAlignment="1">
      <alignment horizontal="justify" vertical="center" wrapText="1"/>
    </xf>
    <xf numFmtId="49" fontId="16" fillId="5" borderId="2" xfId="12" applyNumberFormat="1" applyFont="1" applyFill="1" applyBorder="1" applyAlignment="1">
      <alignment horizontal="justify" vertical="top" wrapText="1"/>
    </xf>
    <xf numFmtId="49" fontId="16" fillId="5" borderId="3" xfId="12" applyNumberFormat="1" applyFont="1" applyFill="1" applyBorder="1" applyAlignment="1">
      <alignment horizontal="justify" vertical="top" wrapText="1"/>
    </xf>
    <xf numFmtId="4" fontId="15" fillId="5" borderId="2" xfId="12" applyNumberFormat="1" applyFont="1" applyFill="1" applyBorder="1" applyAlignment="1">
      <alignment horizontal="right" vertical="center" wrapText="1"/>
    </xf>
    <xf numFmtId="4" fontId="15" fillId="10" borderId="2" xfId="12" applyNumberFormat="1" applyFont="1" applyFill="1" applyBorder="1" applyAlignment="1">
      <alignment horizontal="right" vertical="center" wrapText="1"/>
    </xf>
    <xf numFmtId="4" fontId="15" fillId="6" borderId="2" xfId="12" applyNumberFormat="1" applyFont="1" applyFill="1" applyBorder="1" applyAlignment="1">
      <alignment horizontal="right" vertical="center" wrapText="1"/>
    </xf>
    <xf numFmtId="4" fontId="15" fillId="0" borderId="2" xfId="12" applyNumberFormat="1" applyFont="1" applyFill="1" applyBorder="1" applyAlignment="1">
      <alignment horizontal="right" vertical="center" wrapText="1"/>
    </xf>
    <xf numFmtId="0" fontId="16" fillId="0" borderId="2" xfId="12" applyFont="1" applyBorder="1" applyAlignment="1">
      <alignment horizontal="justify" vertical="center" wrapText="1"/>
    </xf>
    <xf numFmtId="0" fontId="16" fillId="6" borderId="1" xfId="12" applyFont="1" applyFill="1" applyBorder="1" applyAlignment="1">
      <alignment horizontal="center" vertical="center" wrapText="1"/>
    </xf>
    <xf numFmtId="49" fontId="16" fillId="6" borderId="2" xfId="12" applyNumberFormat="1" applyFont="1" applyFill="1" applyBorder="1" applyAlignment="1">
      <alignment horizontal="justify" vertical="top" wrapText="1"/>
    </xf>
    <xf numFmtId="3" fontId="17" fillId="6" borderId="3" xfId="12" applyNumberFormat="1" applyFont="1" applyFill="1" applyBorder="1" applyAlignment="1">
      <alignment horizontal="justify" vertical="top" wrapText="1"/>
    </xf>
    <xf numFmtId="0" fontId="16" fillId="0" borderId="1" xfId="12" applyFont="1" applyFill="1" applyBorder="1" applyAlignment="1">
      <alignment horizontal="center" vertical="center" wrapText="1"/>
    </xf>
    <xf numFmtId="0" fontId="16" fillId="0" borderId="1" xfId="12" applyFont="1" applyFill="1" applyBorder="1" applyAlignment="1">
      <alignment horizontal="justify" vertical="top" wrapText="1"/>
    </xf>
    <xf numFmtId="0" fontId="16" fillId="0" borderId="9" xfId="12" applyFont="1" applyFill="1" applyBorder="1" applyAlignment="1">
      <alignment horizontal="justify" vertical="top" wrapText="1"/>
    </xf>
    <xf numFmtId="0" fontId="16" fillId="6" borderId="1" xfId="12" applyFont="1" applyFill="1" applyBorder="1" applyAlignment="1">
      <alignment horizontal="justify" vertical="top" wrapText="1"/>
    </xf>
    <xf numFmtId="3" fontId="17" fillId="6" borderId="2" xfId="12" applyNumberFormat="1" applyFont="1" applyFill="1" applyBorder="1" applyAlignment="1">
      <alignment horizontal="justify" vertical="center" wrapText="1"/>
    </xf>
    <xf numFmtId="3" fontId="17" fillId="6" borderId="2" xfId="12" applyNumberFormat="1" applyFont="1" applyFill="1" applyBorder="1" applyAlignment="1">
      <alignment horizontal="justify" vertical="top" wrapText="1"/>
    </xf>
    <xf numFmtId="0" fontId="16" fillId="0" borderId="3" xfId="12" applyFont="1" applyFill="1" applyBorder="1" applyAlignment="1">
      <alignment horizontal="justify" vertical="top" wrapText="1"/>
    </xf>
    <xf numFmtId="49" fontId="17" fillId="6" borderId="1" xfId="12" applyNumberFormat="1" applyFont="1" applyFill="1" applyBorder="1" applyAlignment="1">
      <alignment horizontal="justify" vertical="center" wrapText="1"/>
    </xf>
    <xf numFmtId="0" fontId="16" fillId="6" borderId="2" xfId="12" applyFont="1" applyFill="1" applyBorder="1" applyAlignment="1" applyProtection="1">
      <alignment horizontal="justify" vertical="center" wrapText="1"/>
      <protection locked="0"/>
    </xf>
    <xf numFmtId="49" fontId="16" fillId="13" borderId="2" xfId="0" applyNumberFormat="1" applyFont="1" applyFill="1" applyBorder="1" applyAlignment="1">
      <alignment horizontal="justify" vertical="center" wrapText="1"/>
    </xf>
    <xf numFmtId="3" fontId="16" fillId="0" borderId="2" xfId="0" applyNumberFormat="1" applyFont="1" applyBorder="1" applyAlignment="1">
      <alignment horizontal="center" vertical="center" wrapText="1"/>
    </xf>
    <xf numFmtId="49" fontId="8" fillId="11" borderId="2" xfId="0" applyNumberFormat="1" applyFont="1" applyFill="1" applyBorder="1" applyAlignment="1">
      <alignment horizontal="justify" vertical="center" wrapText="1"/>
    </xf>
    <xf numFmtId="3" fontId="8" fillId="11" borderId="2" xfId="0" applyNumberFormat="1" applyFont="1" applyFill="1" applyBorder="1" applyAlignment="1">
      <alignment horizontal="right" vertical="center" wrapText="1"/>
    </xf>
    <xf numFmtId="4" fontId="15" fillId="12" borderId="2" xfId="12" applyNumberFormat="1" applyFont="1" applyFill="1" applyBorder="1" applyAlignment="1">
      <alignment horizontal="right" vertical="center" wrapText="1"/>
    </xf>
    <xf numFmtId="3" fontId="16" fillId="0" borderId="2" xfId="12" applyNumberFormat="1" applyFont="1" applyFill="1" applyBorder="1" applyAlignment="1">
      <alignment horizontal="justify" vertical="top" wrapText="1"/>
    </xf>
    <xf numFmtId="4" fontId="16" fillId="10" borderId="2" xfId="16" applyNumberFormat="1" applyFont="1" applyFill="1" applyBorder="1" applyAlignment="1">
      <alignment horizontal="right" vertical="center" wrapText="1"/>
    </xf>
    <xf numFmtId="0" fontId="16" fillId="4" borderId="2" xfId="9" applyFont="1" applyFill="1" applyBorder="1" applyAlignment="1">
      <alignment horizontal="left" vertical="center" wrapText="1"/>
    </xf>
    <xf numFmtId="0" fontId="16" fillId="5" borderId="2" xfId="9" applyFont="1" applyFill="1" applyBorder="1" applyAlignment="1">
      <alignment horizontal="left" vertical="center" wrapText="1"/>
    </xf>
    <xf numFmtId="49" fontId="16" fillId="14" borderId="2" xfId="10" applyNumberFormat="1" applyFont="1" applyFill="1" applyBorder="1" applyAlignment="1">
      <alignment horizontal="left" vertical="center" wrapText="1"/>
    </xf>
    <xf numFmtId="0" fontId="15" fillId="10" borderId="2" xfId="12" applyFont="1" applyFill="1" applyBorder="1" applyAlignment="1">
      <alignment horizontal="justify" vertical="center" wrapText="1"/>
    </xf>
    <xf numFmtId="49" fontId="16" fillId="9" borderId="2" xfId="10" applyNumberFormat="1" applyFont="1" applyFill="1" applyBorder="1" applyAlignment="1">
      <alignment horizontal="left" vertical="center" wrapText="1"/>
    </xf>
    <xf numFmtId="0" fontId="16" fillId="6" borderId="3" xfId="12" applyFont="1" applyFill="1" applyBorder="1" applyAlignment="1">
      <alignment horizontal="justify" vertical="top" wrapText="1"/>
    </xf>
    <xf numFmtId="49" fontId="16" fillId="0" borderId="2" xfId="10" applyNumberFormat="1" applyFont="1" applyFill="1" applyBorder="1" applyAlignment="1">
      <alignment horizontal="left" vertical="center" wrapText="1"/>
    </xf>
    <xf numFmtId="9" fontId="16" fillId="0" borderId="3" xfId="12" applyNumberFormat="1" applyFont="1" applyFill="1" applyBorder="1" applyAlignment="1">
      <alignment horizontal="justify" vertical="top" wrapText="1"/>
    </xf>
    <xf numFmtId="0" fontId="1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1" xfId="17" applyNumberFormat="1" applyFont="1" applyFill="1" applyBorder="1" applyAlignment="1">
      <alignment horizontal="center" vertical="center"/>
    </xf>
    <xf numFmtId="0" fontId="18" fillId="0" borderId="2" xfId="12" applyFont="1" applyFill="1" applyBorder="1" applyAlignment="1">
      <alignment horizontal="justify" vertical="top" wrapText="1"/>
    </xf>
    <xf numFmtId="0" fontId="16" fillId="0" borderId="2" xfId="14" applyFont="1" applyBorder="1" applyAlignment="1">
      <alignment horizontal="center" vertical="center" wrapText="1"/>
    </xf>
    <xf numFmtId="9" fontId="16" fillId="0" borderId="3" xfId="12" applyNumberFormat="1" applyFont="1" applyBorder="1" applyAlignment="1">
      <alignment horizontal="justify" vertical="top" wrapText="1"/>
    </xf>
    <xf numFmtId="3" fontId="16" fillId="0" borderId="2" xfId="14" applyNumberFormat="1" applyFont="1" applyFill="1" applyBorder="1" applyAlignment="1">
      <alignment horizontal="right" vertical="center" wrapText="1"/>
    </xf>
    <xf numFmtId="0" fontId="16" fillId="0" borderId="2" xfId="14" applyFont="1" applyBorder="1" applyAlignment="1">
      <alignment horizontal="justify" vertical="top" wrapText="1"/>
    </xf>
    <xf numFmtId="0" fontId="16" fillId="0" borderId="2" xfId="14" applyFont="1" applyBorder="1" applyAlignment="1">
      <alignment horizontal="justify" vertical="center" wrapText="1"/>
    </xf>
    <xf numFmtId="0" fontId="15" fillId="0" borderId="2" xfId="12" applyFont="1" applyFill="1" applyBorder="1" applyAlignment="1">
      <alignment horizontal="justify" vertical="top" wrapText="1"/>
    </xf>
    <xf numFmtId="3" fontId="16" fillId="10" borderId="2" xfId="14" applyNumberFormat="1" applyFont="1" applyFill="1" applyBorder="1" applyAlignment="1">
      <alignment horizontal="center" vertical="center" wrapText="1"/>
    </xf>
    <xf numFmtId="9" fontId="16" fillId="10" borderId="3" xfId="12" applyNumberFormat="1" applyFont="1" applyFill="1" applyBorder="1" applyAlignment="1">
      <alignment horizontal="justify" vertical="top" wrapText="1"/>
    </xf>
    <xf numFmtId="3" fontId="16" fillId="10" borderId="2" xfId="14" applyNumberFormat="1" applyFont="1" applyFill="1" applyBorder="1" applyAlignment="1">
      <alignment horizontal="right" vertical="center" wrapText="1"/>
    </xf>
    <xf numFmtId="3" fontId="16" fillId="12" borderId="2" xfId="14" applyNumberFormat="1" applyFont="1" applyFill="1" applyBorder="1" applyAlignment="1">
      <alignment horizontal="right" vertical="center" wrapText="1"/>
    </xf>
    <xf numFmtId="0" fontId="16" fillId="10" borderId="2" xfId="12" applyFont="1" applyFill="1" applyBorder="1" applyAlignment="1" applyProtection="1">
      <alignment horizontal="justify" vertical="center" wrapText="1"/>
      <protection locked="0"/>
    </xf>
    <xf numFmtId="3" fontId="16" fillId="6" borderId="2" xfId="14" applyNumberFormat="1" applyFont="1" applyFill="1" applyBorder="1" applyAlignment="1">
      <alignment horizontal="center" vertical="center" wrapText="1"/>
    </xf>
    <xf numFmtId="9" fontId="16" fillId="6" borderId="3" xfId="12" applyNumberFormat="1" applyFont="1" applyFill="1" applyBorder="1" applyAlignment="1">
      <alignment horizontal="justify" vertical="top" wrapText="1"/>
    </xf>
    <xf numFmtId="3" fontId="16" fillId="6" borderId="2" xfId="14" applyNumberFormat="1" applyFont="1" applyFill="1" applyBorder="1" applyAlignment="1">
      <alignment horizontal="right" vertical="center" wrapText="1"/>
    </xf>
    <xf numFmtId="0" fontId="16" fillId="10" borderId="1" xfId="12" applyFont="1" applyFill="1" applyBorder="1" applyAlignment="1" applyProtection="1">
      <alignment horizontal="justify" vertical="center" wrapText="1"/>
      <protection locked="0"/>
    </xf>
    <xf numFmtId="3" fontId="16" fillId="10" borderId="2" xfId="12" applyNumberFormat="1" applyFont="1" applyFill="1" applyBorder="1" applyAlignment="1">
      <alignment horizontal="justify" vertical="top" wrapText="1"/>
    </xf>
    <xf numFmtId="0" fontId="16" fillId="6" borderId="1" xfId="12" applyFont="1" applyFill="1" applyBorder="1" applyAlignment="1" applyProtection="1">
      <alignment horizontal="justify" vertical="center" wrapText="1"/>
      <protection locked="0"/>
    </xf>
    <xf numFmtId="3" fontId="16" fillId="6" borderId="2" xfId="12" applyNumberFormat="1" applyFont="1" applyFill="1" applyBorder="1" applyAlignment="1">
      <alignment horizontal="justify" vertical="top" wrapText="1"/>
    </xf>
    <xf numFmtId="169" fontId="16" fillId="0" borderId="2" xfId="12" applyNumberFormat="1" applyFont="1" applyBorder="1" applyAlignment="1">
      <alignment horizontal="justify" vertical="top" wrapText="1"/>
    </xf>
    <xf numFmtId="169" fontId="16" fillId="0" borderId="2" xfId="12" applyNumberFormat="1" applyFont="1" applyBorder="1" applyAlignment="1">
      <alignment horizontal="justify" vertical="center" wrapText="1"/>
    </xf>
    <xf numFmtId="0" fontId="16" fillId="0" borderId="1" xfId="12" applyFont="1" applyFill="1" applyBorder="1" applyAlignment="1" applyProtection="1">
      <alignment horizontal="justify" vertical="center" wrapText="1"/>
      <protection locked="0"/>
    </xf>
    <xf numFmtId="169" fontId="16" fillId="7" borderId="2" xfId="12" applyNumberFormat="1" applyFont="1" applyFill="1" applyBorder="1" applyAlignment="1">
      <alignment horizontal="justify" vertical="top" wrapText="1"/>
    </xf>
    <xf numFmtId="169" fontId="16" fillId="7" borderId="2" xfId="12" applyNumberFormat="1" applyFont="1" applyFill="1" applyBorder="1" applyAlignment="1">
      <alignment horizontal="justify" vertical="center" wrapText="1"/>
    </xf>
    <xf numFmtId="3" fontId="16" fillId="0" borderId="7" xfId="14" applyNumberFormat="1" applyFont="1" applyFill="1" applyBorder="1" applyAlignment="1">
      <alignment horizontal="right" vertical="center" wrapText="1"/>
    </xf>
    <xf numFmtId="0" fontId="16" fillId="2" borderId="2" xfId="12" applyFont="1" applyFill="1" applyBorder="1" applyAlignment="1">
      <alignment horizontal="justify" vertical="center" wrapText="1"/>
    </xf>
    <xf numFmtId="3" fontId="16" fillId="2" borderId="2" xfId="12" applyNumberFormat="1" applyFont="1" applyFill="1" applyBorder="1" applyAlignment="1">
      <alignment horizontal="center" vertical="center" wrapText="1"/>
    </xf>
    <xf numFmtId="49" fontId="16" fillId="2" borderId="2" xfId="12" applyNumberFormat="1" applyFont="1" applyFill="1" applyBorder="1" applyAlignment="1">
      <alignment horizontal="justify" vertical="center" wrapText="1"/>
    </xf>
    <xf numFmtId="4" fontId="16" fillId="2" borderId="2" xfId="12" applyNumberFormat="1" applyFont="1" applyFill="1" applyBorder="1" applyAlignment="1">
      <alignment horizontal="center" vertical="center" wrapText="1"/>
    </xf>
    <xf numFmtId="4" fontId="16" fillId="2" borderId="2" xfId="12" applyNumberFormat="1" applyFont="1" applyFill="1" applyBorder="1" applyAlignment="1">
      <alignment horizontal="center" vertical="center"/>
    </xf>
    <xf numFmtId="3" fontId="16" fillId="2" borderId="2" xfId="12" applyNumberFormat="1" applyFont="1" applyFill="1" applyBorder="1" applyAlignment="1">
      <alignment horizontal="center" vertical="center"/>
    </xf>
    <xf numFmtId="0" fontId="15" fillId="2" borderId="2" xfId="12" applyFont="1" applyFill="1" applyBorder="1" applyAlignment="1">
      <alignment horizontal="center" vertical="center" wrapText="1"/>
    </xf>
    <xf numFmtId="0" fontId="16" fillId="2" borderId="2" xfId="12" applyFont="1" applyFill="1" applyBorder="1" applyAlignment="1">
      <alignment horizontal="center" vertical="center" wrapText="1"/>
    </xf>
    <xf numFmtId="0" fontId="8" fillId="2" borderId="2" xfId="12" applyFont="1" applyFill="1" applyBorder="1" applyAlignment="1">
      <alignment horizontal="center" vertical="center" wrapText="1"/>
    </xf>
    <xf numFmtId="0" fontId="25" fillId="0" borderId="0" xfId="18" applyFont="1"/>
    <xf numFmtId="0" fontId="26" fillId="0" borderId="0" xfId="18" applyFont="1" applyAlignment="1">
      <alignment horizontal="left" vertical="center"/>
    </xf>
    <xf numFmtId="0" fontId="27" fillId="0" borderId="0" xfId="18" applyFont="1" applyAlignment="1">
      <alignment horizontal="center"/>
    </xf>
    <xf numFmtId="49" fontId="28" fillId="0" borderId="0" xfId="18" applyNumberFormat="1" applyFont="1" applyAlignment="1">
      <alignment horizontal="left" vertical="center"/>
    </xf>
    <xf numFmtId="0" fontId="28" fillId="0" borderId="0" xfId="18" applyFont="1" applyAlignment="1">
      <alignment vertical="center"/>
    </xf>
    <xf numFmtId="0" fontId="24" fillId="0" borderId="0" xfId="18" applyFont="1" applyAlignment="1">
      <alignment vertical="center"/>
    </xf>
    <xf numFmtId="4" fontId="24" fillId="0" borderId="0" xfId="18" applyNumberFormat="1" applyFont="1" applyAlignment="1">
      <alignment vertical="center"/>
    </xf>
    <xf numFmtId="9" fontId="25" fillId="0" borderId="0" xfId="18" applyNumberFormat="1" applyFont="1" applyAlignment="1">
      <alignment vertical="center"/>
    </xf>
    <xf numFmtId="2" fontId="24" fillId="0" borderId="0" xfId="18" applyNumberFormat="1" applyFont="1" applyAlignment="1">
      <alignment vertical="center"/>
    </xf>
    <xf numFmtId="2" fontId="24" fillId="0" borderId="0" xfId="18" applyNumberFormat="1" applyFont="1" applyFill="1" applyAlignment="1">
      <alignment vertical="center"/>
    </xf>
    <xf numFmtId="2" fontId="24" fillId="0" borderId="0" xfId="18" applyNumberFormat="1" applyFont="1" applyAlignment="1">
      <alignment horizontal="right" vertical="center"/>
    </xf>
    <xf numFmtId="4" fontId="24" fillId="0" borderId="0" xfId="18" applyNumberFormat="1" applyFont="1"/>
    <xf numFmtId="4" fontId="24" fillId="0" borderId="0" xfId="18" applyNumberFormat="1" applyFont="1" applyAlignment="1">
      <alignment horizontal="right"/>
    </xf>
    <xf numFmtId="0" fontId="23" fillId="0" borderId="0" xfId="18" applyFont="1" applyAlignment="1"/>
    <xf numFmtId="0" fontId="23" fillId="0" borderId="0" xfId="18" applyFont="1" applyAlignment="1">
      <alignment horizontal="right"/>
    </xf>
    <xf numFmtId="0" fontId="27" fillId="0" borderId="0" xfId="18" applyFont="1" applyAlignment="1">
      <alignment horizontal="right"/>
    </xf>
    <xf numFmtId="3" fontId="27" fillId="0" borderId="0" xfId="18" applyNumberFormat="1" applyFont="1" applyAlignment="1">
      <alignment horizontal="center"/>
    </xf>
    <xf numFmtId="0" fontId="26" fillId="0" borderId="0" xfId="18" applyFont="1" applyAlignment="1">
      <alignment vertical="center"/>
    </xf>
    <xf numFmtId="4" fontId="24" fillId="0" borderId="0" xfId="18" applyNumberFormat="1" applyFont="1" applyAlignment="1">
      <alignment horizontal="right" vertical="center"/>
    </xf>
    <xf numFmtId="49" fontId="28" fillId="0" borderId="11" xfId="18" applyNumberFormat="1" applyFont="1" applyBorder="1" applyAlignment="1">
      <alignment horizontal="left" vertical="center"/>
    </xf>
    <xf numFmtId="0" fontId="23" fillId="0" borderId="0" xfId="18" applyFont="1"/>
    <xf numFmtId="9" fontId="25" fillId="0" borderId="0" xfId="18" applyNumberFormat="1" applyFont="1"/>
    <xf numFmtId="2" fontId="24" fillId="0" borderId="0" xfId="18" applyNumberFormat="1" applyFont="1"/>
    <xf numFmtId="2" fontId="24" fillId="0" borderId="0" xfId="18" applyNumberFormat="1" applyFont="1" applyFill="1"/>
    <xf numFmtId="2" fontId="24" fillId="0" borderId="0" xfId="18" applyNumberFormat="1" applyFont="1" applyAlignment="1">
      <alignment horizontal="right"/>
    </xf>
    <xf numFmtId="0" fontId="7" fillId="3" borderId="1" xfId="19" applyFont="1" applyFill="1" applyBorder="1" applyAlignment="1">
      <alignment horizontal="center" vertical="center" wrapText="1"/>
    </xf>
    <xf numFmtId="3" fontId="10" fillId="4" borderId="2" xfId="0" applyNumberFormat="1" applyFont="1" applyFill="1" applyBorder="1" applyAlignment="1">
      <alignment horizontal="right" vertical="center" wrapText="1"/>
    </xf>
    <xf numFmtId="49" fontId="10" fillId="4" borderId="3" xfId="0" applyNumberFormat="1" applyFont="1" applyFill="1" applyBorder="1" applyAlignment="1">
      <alignment horizontal="justify" vertical="center" wrapText="1"/>
    </xf>
    <xf numFmtId="4" fontId="10" fillId="15" borderId="2" xfId="18" applyNumberFormat="1" applyFont="1" applyFill="1" applyBorder="1" applyAlignment="1">
      <alignment horizontal="center" vertical="center" wrapText="1"/>
    </xf>
    <xf numFmtId="3" fontId="10" fillId="15" borderId="2" xfId="18" applyNumberFormat="1" applyFont="1" applyFill="1" applyBorder="1" applyAlignment="1">
      <alignment horizontal="right" vertical="center" wrapText="1"/>
    </xf>
    <xf numFmtId="4" fontId="10" fillId="15" borderId="2" xfId="18" applyNumberFormat="1" applyFont="1" applyFill="1" applyBorder="1" applyAlignment="1">
      <alignment horizontal="right" vertical="center" wrapText="1"/>
    </xf>
    <xf numFmtId="49" fontId="10" fillId="15" borderId="2" xfId="18" applyNumberFormat="1" applyFont="1" applyFill="1" applyBorder="1" applyAlignment="1">
      <alignment horizontal="justify" vertical="center" wrapText="1"/>
    </xf>
    <xf numFmtId="49" fontId="10" fillId="5" borderId="2" xfId="0" applyNumberFormat="1" applyFont="1" applyFill="1" applyBorder="1" applyAlignment="1">
      <alignment horizontal="justify" vertical="center" wrapText="1"/>
    </xf>
    <xf numFmtId="3" fontId="10" fillId="5" borderId="2" xfId="0" applyNumberFormat="1" applyFont="1" applyFill="1" applyBorder="1" applyAlignment="1">
      <alignment horizontal="right" vertical="center" wrapText="1"/>
    </xf>
    <xf numFmtId="49" fontId="10" fillId="5" borderId="3" xfId="0" applyNumberFormat="1" applyFont="1" applyFill="1" applyBorder="1" applyAlignment="1">
      <alignment horizontal="justify" vertical="center" wrapText="1"/>
    </xf>
    <xf numFmtId="4" fontId="23" fillId="5" borderId="2" xfId="18" applyNumberFormat="1" applyFont="1" applyFill="1" applyBorder="1" applyAlignment="1">
      <alignment horizontal="center" vertical="center" wrapText="1"/>
    </xf>
    <xf numFmtId="4" fontId="27" fillId="5" borderId="2" xfId="18" applyNumberFormat="1" applyFont="1" applyFill="1" applyBorder="1" applyAlignment="1">
      <alignment horizontal="center" vertical="center" wrapText="1"/>
    </xf>
    <xf numFmtId="3" fontId="10" fillId="5" borderId="2" xfId="18" applyNumberFormat="1" applyFont="1" applyFill="1" applyBorder="1" applyAlignment="1">
      <alignment horizontal="right" vertical="center" wrapText="1"/>
    </xf>
    <xf numFmtId="4" fontId="10" fillId="5" borderId="2" xfId="18" applyNumberFormat="1" applyFont="1" applyFill="1" applyBorder="1" applyAlignment="1">
      <alignment horizontal="right" vertical="center" wrapText="1"/>
    </xf>
    <xf numFmtId="49" fontId="10" fillId="5" borderId="2" xfId="18" applyNumberFormat="1" applyFont="1" applyFill="1" applyBorder="1" applyAlignment="1">
      <alignment horizontal="justify" vertical="center" wrapText="1"/>
    </xf>
    <xf numFmtId="49" fontId="10" fillId="2" borderId="2" xfId="0" applyNumberFormat="1" applyFont="1" applyFill="1" applyBorder="1" applyAlignment="1">
      <alignment horizontal="justify" vertical="center" wrapText="1"/>
    </xf>
    <xf numFmtId="3" fontId="10" fillId="2" borderId="2" xfId="0" applyNumberFormat="1" applyFont="1" applyFill="1" applyBorder="1" applyAlignment="1">
      <alignment horizontal="right" vertical="center" wrapText="1"/>
    </xf>
    <xf numFmtId="49" fontId="10" fillId="2" borderId="3" xfId="0" applyNumberFormat="1" applyFont="1" applyFill="1" applyBorder="1" applyAlignment="1">
      <alignment horizontal="justify" vertical="center" wrapText="1"/>
    </xf>
    <xf numFmtId="4" fontId="23" fillId="2" borderId="2" xfId="18" applyNumberFormat="1" applyFont="1" applyFill="1" applyBorder="1" applyAlignment="1">
      <alignment horizontal="center" vertical="center" wrapText="1"/>
    </xf>
    <xf numFmtId="4" fontId="27" fillId="2" borderId="2" xfId="18" applyNumberFormat="1" applyFont="1" applyFill="1" applyBorder="1" applyAlignment="1">
      <alignment horizontal="center" vertical="center" wrapText="1"/>
    </xf>
    <xf numFmtId="3" fontId="10" fillId="2" borderId="2" xfId="18" applyNumberFormat="1" applyFont="1" applyFill="1" applyBorder="1" applyAlignment="1">
      <alignment horizontal="right" vertical="center" wrapText="1"/>
    </xf>
    <xf numFmtId="4" fontId="10" fillId="2" borderId="2" xfId="18" applyNumberFormat="1" applyFont="1" applyFill="1" applyBorder="1" applyAlignment="1">
      <alignment horizontal="right" vertical="center" wrapText="1"/>
    </xf>
    <xf numFmtId="49" fontId="10" fillId="2" borderId="2" xfId="18" applyNumberFormat="1" applyFont="1" applyFill="1" applyBorder="1" applyAlignment="1">
      <alignment horizontal="justify" vertical="center" wrapText="1"/>
    </xf>
    <xf numFmtId="49" fontId="10" fillId="6" borderId="2" xfId="0" applyNumberFormat="1" applyFont="1" applyFill="1" applyBorder="1" applyAlignment="1">
      <alignment horizontal="justify" vertical="center" wrapText="1"/>
    </xf>
    <xf numFmtId="3" fontId="10" fillId="6" borderId="2" xfId="0" applyNumberFormat="1" applyFont="1" applyFill="1" applyBorder="1" applyAlignment="1">
      <alignment horizontal="right" vertical="center" wrapText="1"/>
    </xf>
    <xf numFmtId="49" fontId="10" fillId="6" borderId="3" xfId="0" applyNumberFormat="1" applyFont="1" applyFill="1" applyBorder="1" applyAlignment="1">
      <alignment horizontal="justify" vertical="center" wrapText="1"/>
    </xf>
    <xf numFmtId="4" fontId="23" fillId="6" borderId="2" xfId="18" applyNumberFormat="1" applyFont="1" applyFill="1" applyBorder="1" applyAlignment="1">
      <alignment horizontal="center" vertical="center" wrapText="1"/>
    </xf>
    <xf numFmtId="4" fontId="27" fillId="6" borderId="2" xfId="18" applyNumberFormat="1" applyFont="1" applyFill="1" applyBorder="1" applyAlignment="1">
      <alignment horizontal="center" vertical="center" wrapText="1"/>
    </xf>
    <xf numFmtId="3" fontId="10" fillId="6" borderId="2" xfId="18" applyNumberFormat="1" applyFont="1" applyFill="1" applyBorder="1" applyAlignment="1">
      <alignment horizontal="right" vertical="center" wrapText="1"/>
    </xf>
    <xf numFmtId="4" fontId="10" fillId="6" borderId="2" xfId="18" applyNumberFormat="1" applyFont="1" applyFill="1" applyBorder="1" applyAlignment="1">
      <alignment horizontal="right" vertical="center" wrapText="1"/>
    </xf>
    <xf numFmtId="49" fontId="10" fillId="6" borderId="2" xfId="18" applyNumberFormat="1" applyFont="1" applyFill="1" applyBorder="1" applyAlignment="1">
      <alignment horizontal="justify" vertical="center" wrapText="1"/>
    </xf>
    <xf numFmtId="49" fontId="10" fillId="0" borderId="2" xfId="0" applyNumberFormat="1" applyFont="1" applyFill="1" applyBorder="1" applyAlignment="1">
      <alignment horizontal="justify" vertical="center" wrapText="1"/>
    </xf>
    <xf numFmtId="49" fontId="8" fillId="0" borderId="3" xfId="0" applyNumberFormat="1" applyFont="1" applyFill="1" applyBorder="1" applyAlignment="1">
      <alignment horizontal="justify" vertical="center" wrapText="1"/>
    </xf>
    <xf numFmtId="4" fontId="23" fillId="0" borderId="2" xfId="18" applyNumberFormat="1" applyFont="1" applyFill="1" applyBorder="1" applyAlignment="1">
      <alignment horizontal="center" vertical="center" wrapText="1"/>
    </xf>
    <xf numFmtId="4" fontId="10" fillId="0" borderId="14" xfId="18" applyNumberFormat="1" applyFont="1" applyBorder="1" applyAlignment="1">
      <alignment horizontal="center" vertical="center" wrapText="1"/>
    </xf>
    <xf numFmtId="3" fontId="10" fillId="0" borderId="14" xfId="18" applyNumberFormat="1" applyFont="1" applyBorder="1" applyAlignment="1">
      <alignment horizontal="right" vertical="center" wrapText="1"/>
    </xf>
    <xf numFmtId="4" fontId="10" fillId="0" borderId="14" xfId="18" applyNumberFormat="1" applyFont="1" applyBorder="1" applyAlignment="1">
      <alignment horizontal="right" vertical="center" wrapText="1"/>
    </xf>
    <xf numFmtId="49" fontId="10" fillId="0" borderId="14" xfId="18" applyNumberFormat="1" applyFont="1" applyBorder="1" applyAlignment="1">
      <alignment horizontal="left" vertical="center" wrapText="1"/>
    </xf>
    <xf numFmtId="3" fontId="29" fillId="0" borderId="2" xfId="0" applyNumberFormat="1" applyFont="1" applyFill="1" applyBorder="1" applyAlignment="1">
      <alignment horizontal="right" vertical="center" wrapText="1"/>
    </xf>
    <xf numFmtId="3" fontId="10" fillId="0" borderId="15" xfId="18" applyNumberFormat="1" applyFont="1" applyBorder="1" applyAlignment="1">
      <alignment horizontal="right" vertical="center" wrapText="1"/>
    </xf>
    <xf numFmtId="49" fontId="10" fillId="0" borderId="3" xfId="0" applyNumberFormat="1" applyFont="1" applyFill="1" applyBorder="1" applyAlignment="1">
      <alignment horizontal="justify" vertical="center" wrapText="1"/>
    </xf>
    <xf numFmtId="4" fontId="10" fillId="0" borderId="14" xfId="18" applyNumberFormat="1" applyFont="1" applyFill="1" applyBorder="1" applyAlignment="1">
      <alignment horizontal="center" vertical="center" wrapText="1"/>
    </xf>
    <xf numFmtId="3" fontId="10" fillId="0" borderId="16" xfId="18" applyNumberFormat="1" applyFont="1" applyBorder="1" applyAlignment="1">
      <alignment horizontal="right" vertical="center" wrapText="1"/>
    </xf>
    <xf numFmtId="3" fontId="10" fillId="0" borderId="17" xfId="18" applyNumberFormat="1" applyFont="1" applyBorder="1" applyAlignment="1">
      <alignment horizontal="right" vertical="center" wrapText="1"/>
    </xf>
    <xf numFmtId="3" fontId="10" fillId="0" borderId="14" xfId="18" applyNumberFormat="1" applyFont="1" applyFill="1" applyBorder="1" applyAlignment="1">
      <alignment horizontal="right" vertical="center" wrapText="1"/>
    </xf>
    <xf numFmtId="4" fontId="10" fillId="0" borderId="14" xfId="18" applyNumberFormat="1" applyFont="1" applyFill="1" applyBorder="1" applyAlignment="1">
      <alignment horizontal="right" vertical="center" wrapText="1"/>
    </xf>
    <xf numFmtId="4" fontId="27" fillId="0" borderId="2" xfId="18" applyNumberFormat="1" applyFont="1" applyFill="1" applyBorder="1" applyAlignment="1">
      <alignment horizontal="center" vertical="center" wrapText="1"/>
    </xf>
    <xf numFmtId="3" fontId="10" fillId="0" borderId="2" xfId="18" applyNumberFormat="1" applyFont="1" applyFill="1" applyBorder="1" applyAlignment="1">
      <alignment horizontal="right" vertical="center" wrapText="1"/>
    </xf>
    <xf numFmtId="4" fontId="10" fillId="0" borderId="2" xfId="18" applyNumberFormat="1" applyFont="1" applyFill="1" applyBorder="1" applyAlignment="1">
      <alignment horizontal="right" vertical="center" wrapText="1"/>
    </xf>
    <xf numFmtId="49" fontId="10" fillId="0" borderId="2" xfId="18" applyNumberFormat="1" applyFont="1" applyFill="1" applyBorder="1" applyAlignment="1">
      <alignment horizontal="justify" vertical="center" wrapText="1"/>
    </xf>
    <xf numFmtId="4" fontId="23" fillId="4" borderId="2" xfId="18" applyNumberFormat="1" applyFont="1" applyFill="1" applyBorder="1" applyAlignment="1">
      <alignment horizontal="center" vertical="center" wrapText="1"/>
    </xf>
    <xf numFmtId="4" fontId="27" fillId="4" borderId="2" xfId="18" applyNumberFormat="1" applyFont="1" applyFill="1" applyBorder="1" applyAlignment="1">
      <alignment horizontal="center" vertical="center" wrapText="1"/>
    </xf>
    <xf numFmtId="3" fontId="10" fillId="4" borderId="2" xfId="18" applyNumberFormat="1" applyFont="1" applyFill="1" applyBorder="1" applyAlignment="1">
      <alignment horizontal="right" vertical="center" wrapText="1"/>
    </xf>
    <xf numFmtId="4" fontId="10" fillId="4" borderId="2" xfId="18" applyNumberFormat="1" applyFont="1" applyFill="1" applyBorder="1" applyAlignment="1">
      <alignment horizontal="right" vertical="center" wrapText="1"/>
    </xf>
    <xf numFmtId="49" fontId="10" fillId="4" borderId="2" xfId="18" applyNumberFormat="1" applyFont="1" applyFill="1" applyBorder="1" applyAlignment="1">
      <alignment horizontal="justify" vertical="center" wrapText="1"/>
    </xf>
    <xf numFmtId="49" fontId="30" fillId="0" borderId="2" xfId="0" applyNumberFormat="1" applyFont="1" applyFill="1" applyBorder="1" applyAlignment="1">
      <alignment horizontal="justify" vertical="center" wrapText="1"/>
    </xf>
    <xf numFmtId="49" fontId="30" fillId="0" borderId="3" xfId="0" applyNumberFormat="1" applyFont="1" applyFill="1" applyBorder="1" applyAlignment="1">
      <alignment horizontal="justify" vertical="center" wrapText="1"/>
    </xf>
    <xf numFmtId="3" fontId="10" fillId="0" borderId="18" xfId="18" applyNumberFormat="1" applyFont="1" applyBorder="1" applyAlignment="1">
      <alignment horizontal="right" vertical="center" wrapText="1"/>
    </xf>
    <xf numFmtId="3" fontId="10" fillId="0" borderId="19" xfId="18" applyNumberFormat="1" applyFont="1" applyBorder="1" applyAlignment="1">
      <alignment horizontal="right" vertical="center" wrapText="1"/>
    </xf>
    <xf numFmtId="4" fontId="10" fillId="0" borderId="18" xfId="18" applyNumberFormat="1" applyFont="1" applyFill="1" applyBorder="1" applyAlignment="1">
      <alignment horizontal="right" vertical="center" wrapText="1"/>
    </xf>
    <xf numFmtId="4" fontId="10" fillId="0" borderId="18" xfId="18" applyNumberFormat="1" applyFont="1" applyBorder="1" applyAlignment="1">
      <alignment horizontal="right" vertical="center" wrapText="1"/>
    </xf>
    <xf numFmtId="49" fontId="10" fillId="0" borderId="18" xfId="18" applyNumberFormat="1" applyFont="1" applyBorder="1" applyAlignment="1">
      <alignment horizontal="left" vertical="center" wrapText="1"/>
    </xf>
    <xf numFmtId="3" fontId="30" fillId="6" borderId="2" xfId="0" applyNumberFormat="1" applyFont="1" applyFill="1" applyBorder="1" applyAlignment="1">
      <alignment horizontal="right" vertical="center" wrapText="1"/>
    </xf>
    <xf numFmtId="4" fontId="10" fillId="0" borderId="14" xfId="18" applyNumberFormat="1" applyFont="1" applyBorder="1" applyAlignment="1">
      <alignment horizontal="left" vertical="center" wrapText="1"/>
    </xf>
    <xf numFmtId="49" fontId="10" fillId="4" borderId="2" xfId="9" applyNumberFormat="1" applyFont="1" applyFill="1" applyBorder="1" applyAlignment="1">
      <alignment horizontal="justify" vertical="center" wrapText="1"/>
    </xf>
    <xf numFmtId="49" fontId="10" fillId="16" borderId="20" xfId="18" applyNumberFormat="1" applyFont="1" applyFill="1" applyBorder="1" applyAlignment="1">
      <alignment horizontal="justify" vertical="center" wrapText="1"/>
    </xf>
    <xf numFmtId="3" fontId="10" fillId="16" borderId="20" xfId="18" applyNumberFormat="1" applyFont="1" applyFill="1" applyBorder="1" applyAlignment="1">
      <alignment horizontal="right" vertical="center" wrapText="1"/>
    </xf>
    <xf numFmtId="0" fontId="10" fillId="16" borderId="20" xfId="18" applyFont="1" applyFill="1" applyBorder="1" applyAlignment="1">
      <alignment horizontal="left" vertical="center" wrapText="1"/>
    </xf>
    <xf numFmtId="4" fontId="10" fillId="16" borderId="2" xfId="18" applyNumberFormat="1" applyFont="1" applyFill="1" applyBorder="1" applyAlignment="1">
      <alignment horizontal="center" vertical="center" wrapText="1"/>
    </xf>
    <xf numFmtId="3" fontId="10" fillId="16" borderId="2" xfId="18" applyNumberFormat="1" applyFont="1" applyFill="1" applyBorder="1" applyAlignment="1">
      <alignment horizontal="right" vertical="center" wrapText="1"/>
    </xf>
    <xf numFmtId="4" fontId="10" fillId="16" borderId="2" xfId="18" applyNumberFormat="1" applyFont="1" applyFill="1" applyBorder="1" applyAlignment="1">
      <alignment horizontal="right" vertical="center" wrapText="1"/>
    </xf>
    <xf numFmtId="49" fontId="10" fillId="16" borderId="2" xfId="18" applyNumberFormat="1" applyFont="1" applyFill="1" applyBorder="1" applyAlignment="1">
      <alignment horizontal="justify" vertical="center" wrapText="1"/>
    </xf>
    <xf numFmtId="49" fontId="10" fillId="5" borderId="2" xfId="9" applyNumberFormat="1" applyFont="1" applyFill="1" applyBorder="1" applyAlignment="1">
      <alignment horizontal="justify" vertical="center" wrapText="1"/>
    </xf>
    <xf numFmtId="49" fontId="10" fillId="17" borderId="20" xfId="18" applyNumberFormat="1" applyFont="1" applyFill="1" applyBorder="1" applyAlignment="1">
      <alignment horizontal="justify" vertical="center" wrapText="1"/>
    </xf>
    <xf numFmtId="3" fontId="10" fillId="17" borderId="20" xfId="18" applyNumberFormat="1" applyFont="1" applyFill="1" applyBorder="1" applyAlignment="1">
      <alignment horizontal="right" vertical="center" wrapText="1"/>
    </xf>
    <xf numFmtId="0" fontId="10" fillId="17" borderId="20" xfId="18" applyFont="1" applyFill="1" applyBorder="1" applyAlignment="1">
      <alignment horizontal="left" vertical="center" wrapText="1"/>
    </xf>
    <xf numFmtId="4" fontId="10" fillId="17" borderId="2" xfId="18" applyNumberFormat="1" applyFont="1" applyFill="1" applyBorder="1" applyAlignment="1">
      <alignment horizontal="center" vertical="center" wrapText="1"/>
    </xf>
    <xf numFmtId="3" fontId="10" fillId="17" borderId="2" xfId="18" applyNumberFormat="1" applyFont="1" applyFill="1" applyBorder="1" applyAlignment="1">
      <alignment horizontal="right" vertical="center" wrapText="1"/>
    </xf>
    <xf numFmtId="4" fontId="10" fillId="17" borderId="2" xfId="18" applyNumberFormat="1" applyFont="1" applyFill="1" applyBorder="1" applyAlignment="1">
      <alignment horizontal="right" vertical="center" wrapText="1"/>
    </xf>
    <xf numFmtId="49" fontId="10" fillId="17" borderId="2" xfId="18" applyNumberFormat="1" applyFont="1" applyFill="1" applyBorder="1" applyAlignment="1">
      <alignment horizontal="justify" vertical="center" wrapText="1"/>
    </xf>
    <xf numFmtId="49" fontId="8" fillId="9" borderId="2" xfId="10" applyNumberFormat="1" applyFont="1" applyFill="1" applyBorder="1" applyAlignment="1">
      <alignment horizontal="justify" vertical="center" wrapText="1"/>
    </xf>
    <xf numFmtId="49" fontId="10" fillId="18" borderId="14" xfId="18" applyNumberFormat="1" applyFont="1" applyFill="1" applyBorder="1" applyAlignment="1">
      <alignment horizontal="justify" vertical="center" wrapText="1"/>
    </xf>
    <xf numFmtId="3" fontId="10" fillId="18" borderId="14" xfId="18" applyNumberFormat="1" applyFont="1" applyFill="1" applyBorder="1" applyAlignment="1">
      <alignment horizontal="right" vertical="center" wrapText="1"/>
    </xf>
    <xf numFmtId="0" fontId="10" fillId="18" borderId="14" xfId="18" applyFont="1" applyFill="1" applyBorder="1" applyAlignment="1">
      <alignment horizontal="left" vertical="center" wrapText="1"/>
    </xf>
    <xf numFmtId="49" fontId="10" fillId="18" borderId="20" xfId="18" applyNumberFormat="1" applyFont="1" applyFill="1" applyBorder="1" applyAlignment="1">
      <alignment horizontal="justify" vertical="center" wrapText="1"/>
    </xf>
    <xf numFmtId="4" fontId="10" fillId="18" borderId="2" xfId="18" applyNumberFormat="1" applyFont="1" applyFill="1" applyBorder="1" applyAlignment="1">
      <alignment horizontal="center" vertical="center" wrapText="1"/>
    </xf>
    <xf numFmtId="3" fontId="10" fillId="18" borderId="2" xfId="18" applyNumberFormat="1" applyFont="1" applyFill="1" applyBorder="1" applyAlignment="1">
      <alignment horizontal="right" vertical="center" wrapText="1"/>
    </xf>
    <xf numFmtId="4" fontId="10" fillId="18" borderId="2" xfId="18" applyNumberFormat="1" applyFont="1" applyFill="1" applyBorder="1" applyAlignment="1">
      <alignment horizontal="right" vertical="center" wrapText="1"/>
    </xf>
    <xf numFmtId="49" fontId="10" fillId="18" borderId="2" xfId="18" applyNumberFormat="1" applyFont="1" applyFill="1" applyBorder="1" applyAlignment="1">
      <alignment horizontal="justify" vertical="center" wrapText="1"/>
    </xf>
    <xf numFmtId="49" fontId="8" fillId="0" borderId="2" xfId="10" applyNumberFormat="1" applyFont="1" applyFill="1" applyBorder="1" applyAlignment="1">
      <alignment horizontal="justify" vertical="center" wrapText="1"/>
    </xf>
    <xf numFmtId="49" fontId="8" fillId="0" borderId="2" xfId="20" applyNumberFormat="1" applyFont="1" applyFill="1" applyBorder="1" applyAlignment="1" applyProtection="1">
      <alignment horizontal="justify" vertical="center" wrapText="1"/>
      <protection locked="0"/>
    </xf>
    <xf numFmtId="3" fontId="8" fillId="0" borderId="2" xfId="20" applyNumberFormat="1" applyFont="1" applyFill="1" applyBorder="1" applyAlignment="1" applyProtection="1">
      <alignment horizontal="justify" vertical="center" wrapText="1"/>
      <protection locked="0"/>
    </xf>
    <xf numFmtId="49" fontId="10" fillId="0" borderId="20" xfId="18" applyNumberFormat="1" applyFont="1" applyFill="1" applyBorder="1" applyAlignment="1">
      <alignment horizontal="justify" vertical="center" wrapText="1"/>
    </xf>
    <xf numFmtId="4" fontId="8" fillId="0" borderId="2" xfId="20" applyNumberFormat="1" applyFont="1" applyFill="1" applyBorder="1" applyAlignment="1" applyProtection="1">
      <alignment horizontal="center" vertical="center" wrapText="1"/>
      <protection locked="0"/>
    </xf>
    <xf numFmtId="3" fontId="8" fillId="0" borderId="2" xfId="20" applyNumberFormat="1" applyFont="1" applyFill="1" applyBorder="1" applyAlignment="1" applyProtection="1">
      <alignment horizontal="right" vertical="center" wrapText="1"/>
      <protection locked="0"/>
    </xf>
    <xf numFmtId="4" fontId="8" fillId="0" borderId="2" xfId="20" applyNumberFormat="1" applyFont="1" applyFill="1" applyBorder="1" applyAlignment="1" applyProtection="1">
      <alignment horizontal="right" vertical="center" wrapText="1"/>
      <protection locked="0"/>
    </xf>
    <xf numFmtId="4" fontId="8" fillId="0" borderId="2" xfId="8" applyNumberFormat="1" applyFont="1" applyFill="1" applyBorder="1" applyAlignment="1" applyProtection="1">
      <alignment horizontal="right" vertical="center" wrapText="1"/>
      <protection locked="0"/>
    </xf>
    <xf numFmtId="4" fontId="8" fillId="0" borderId="2" xfId="20" applyNumberFormat="1" applyFont="1" applyFill="1" applyBorder="1" applyAlignment="1" applyProtection="1">
      <alignment horizontal="justify" vertical="center" wrapText="1"/>
      <protection locked="0"/>
    </xf>
    <xf numFmtId="49" fontId="10" fillId="0" borderId="16" xfId="18" applyNumberFormat="1" applyFont="1" applyFill="1" applyBorder="1" applyAlignment="1">
      <alignment horizontal="justify" vertical="center" wrapText="1"/>
    </xf>
    <xf numFmtId="3" fontId="10" fillId="0" borderId="14" xfId="18" applyNumberFormat="1" applyFont="1" applyFill="1" applyBorder="1" applyAlignment="1">
      <alignment horizontal="left" vertical="center" wrapText="1"/>
    </xf>
    <xf numFmtId="4" fontId="10" fillId="0" borderId="2" xfId="18" applyNumberFormat="1" applyFont="1" applyFill="1" applyBorder="1" applyAlignment="1">
      <alignment horizontal="center" vertical="center" wrapText="1"/>
    </xf>
    <xf numFmtId="49" fontId="8" fillId="0" borderId="16" xfId="18" applyNumberFormat="1" applyFont="1" applyFill="1" applyBorder="1" applyAlignment="1">
      <alignment horizontal="justify" vertical="center" wrapText="1"/>
    </xf>
    <xf numFmtId="3" fontId="10" fillId="18" borderId="14" xfId="18" applyNumberFormat="1" applyFont="1" applyFill="1" applyBorder="1" applyAlignment="1">
      <alignment horizontal="left" vertical="center" wrapText="1"/>
    </xf>
    <xf numFmtId="4" fontId="10" fillId="18" borderId="14" xfId="18" applyNumberFormat="1" applyFont="1" applyFill="1" applyBorder="1" applyAlignment="1">
      <alignment horizontal="center" vertical="center" wrapText="1"/>
    </xf>
    <xf numFmtId="4" fontId="10" fillId="18" borderId="14" xfId="18" applyNumberFormat="1" applyFont="1" applyFill="1" applyBorder="1" applyAlignment="1">
      <alignment horizontal="right" vertical="center" wrapText="1"/>
    </xf>
    <xf numFmtId="4" fontId="10" fillId="18" borderId="14" xfId="18" applyNumberFormat="1" applyFont="1" applyFill="1" applyBorder="1" applyAlignment="1">
      <alignment horizontal="left" vertical="center" wrapText="1"/>
    </xf>
    <xf numFmtId="49" fontId="10" fillId="18" borderId="14" xfId="18" applyNumberFormat="1" applyFont="1" applyFill="1" applyBorder="1" applyAlignment="1">
      <alignment horizontal="left" vertical="center" wrapText="1"/>
    </xf>
    <xf numFmtId="49" fontId="10" fillId="0" borderId="14" xfId="18" applyNumberFormat="1" applyFont="1" applyFill="1" applyBorder="1" applyAlignment="1">
      <alignment horizontal="justify" vertical="center" wrapText="1"/>
    </xf>
    <xf numFmtId="3" fontId="31" fillId="0" borderId="14" xfId="18" applyNumberFormat="1" applyFont="1" applyFill="1" applyBorder="1" applyAlignment="1">
      <alignment horizontal="right" vertical="center" wrapText="1"/>
    </xf>
    <xf numFmtId="3" fontId="10" fillId="0" borderId="15" xfId="18" applyNumberFormat="1" applyFont="1" applyFill="1" applyBorder="1" applyAlignment="1">
      <alignment horizontal="right" vertical="center" wrapText="1"/>
    </xf>
    <xf numFmtId="4" fontId="10" fillId="0" borderId="14" xfId="18" applyNumberFormat="1" applyFont="1" applyFill="1" applyBorder="1" applyAlignment="1">
      <alignment horizontal="left" vertical="center" wrapText="1"/>
    </xf>
    <xf numFmtId="49" fontId="10" fillId="0" borderId="14" xfId="18" applyNumberFormat="1" applyFont="1" applyFill="1" applyBorder="1" applyAlignment="1">
      <alignment horizontal="left" vertical="center" wrapText="1"/>
    </xf>
    <xf numFmtId="4" fontId="10" fillId="0" borderId="16" xfId="18" applyNumberFormat="1" applyFont="1" applyFill="1" applyBorder="1" applyAlignment="1">
      <alignment horizontal="center" vertical="center" wrapText="1"/>
    </xf>
    <xf numFmtId="3" fontId="10" fillId="0" borderId="16" xfId="18" applyNumberFormat="1" applyFont="1" applyFill="1" applyBorder="1" applyAlignment="1">
      <alignment horizontal="right" vertical="center" wrapText="1"/>
    </xf>
    <xf numFmtId="3" fontId="10" fillId="0" borderId="17" xfId="18" applyNumberFormat="1" applyFont="1" applyFill="1" applyBorder="1" applyAlignment="1">
      <alignment horizontal="right" vertical="center" wrapText="1"/>
    </xf>
    <xf numFmtId="3" fontId="10" fillId="18" borderId="18" xfId="18" applyNumberFormat="1" applyFont="1" applyFill="1" applyBorder="1" applyAlignment="1">
      <alignment horizontal="right" vertical="center" wrapText="1"/>
    </xf>
    <xf numFmtId="49" fontId="10" fillId="18" borderId="21" xfId="18" applyNumberFormat="1" applyFont="1" applyFill="1" applyBorder="1" applyAlignment="1">
      <alignment horizontal="justify" vertical="center" wrapText="1"/>
    </xf>
    <xf numFmtId="3" fontId="8" fillId="0" borderId="2" xfId="20" applyNumberFormat="1" applyFont="1" applyFill="1" applyBorder="1" applyAlignment="1" applyProtection="1">
      <alignment horizontal="justify" vertical="center" wrapText="1"/>
    </xf>
    <xf numFmtId="49" fontId="8" fillId="0" borderId="3" xfId="20" applyNumberFormat="1" applyFont="1" applyFill="1" applyBorder="1" applyAlignment="1" applyProtection="1">
      <alignment horizontal="justify" vertical="center" wrapText="1"/>
    </xf>
    <xf numFmtId="3" fontId="10" fillId="0" borderId="19" xfId="18" applyNumberFormat="1" applyFont="1" applyFill="1" applyBorder="1" applyAlignment="1">
      <alignment horizontal="left" vertical="center" wrapText="1"/>
    </xf>
    <xf numFmtId="49" fontId="10" fillId="0" borderId="24" xfId="18" applyNumberFormat="1" applyFont="1" applyFill="1" applyBorder="1" applyAlignment="1">
      <alignment horizontal="justify" vertical="center" wrapText="1"/>
    </xf>
    <xf numFmtId="49" fontId="8" fillId="0" borderId="2" xfId="20" applyNumberFormat="1" applyFont="1" applyFill="1" applyBorder="1" applyAlignment="1" applyProtection="1">
      <alignment horizontal="justify" vertical="center" wrapText="1"/>
    </xf>
    <xf numFmtId="49" fontId="8" fillId="0" borderId="14" xfId="18" applyNumberFormat="1" applyFont="1" applyFill="1" applyBorder="1" applyAlignment="1">
      <alignment horizontal="justify" vertical="center" wrapText="1"/>
    </xf>
    <xf numFmtId="0" fontId="10" fillId="0" borderId="14" xfId="18" applyFont="1" applyFill="1" applyBorder="1" applyAlignment="1">
      <alignment horizontal="left" vertical="center" wrapText="1"/>
    </xf>
    <xf numFmtId="4" fontId="12" fillId="0" borderId="2" xfId="18" applyNumberFormat="1" applyFont="1" applyFill="1" applyBorder="1" applyAlignment="1" applyProtection="1">
      <alignment horizontal="center" vertical="center" wrapText="1"/>
    </xf>
    <xf numFmtId="4" fontId="8" fillId="0" borderId="2" xfId="20" applyNumberFormat="1" applyFont="1" applyFill="1" applyBorder="1" applyAlignment="1" applyProtection="1">
      <alignment horizontal="center" vertical="center" wrapText="1"/>
    </xf>
    <xf numFmtId="3" fontId="8" fillId="0" borderId="2" xfId="18" applyNumberFormat="1" applyFont="1" applyFill="1" applyBorder="1" applyAlignment="1" applyProtection="1">
      <alignment horizontal="right" vertical="center" wrapText="1"/>
    </xf>
    <xf numFmtId="4" fontId="8" fillId="0" borderId="2" xfId="8" applyNumberFormat="1" applyFont="1" applyFill="1" applyBorder="1" applyAlignment="1" applyProtection="1">
      <alignment horizontal="right" vertical="center" wrapText="1"/>
    </xf>
    <xf numFmtId="4" fontId="8" fillId="0" borderId="2" xfId="20" applyNumberFormat="1" applyFont="1" applyFill="1" applyBorder="1" applyAlignment="1" applyProtection="1">
      <alignment horizontal="justify" vertical="center" wrapText="1"/>
    </xf>
    <xf numFmtId="49" fontId="30" fillId="0" borderId="2" xfId="4" applyNumberFormat="1" applyFont="1" applyFill="1" applyBorder="1" applyAlignment="1" applyProtection="1">
      <alignment horizontal="justify" vertical="center" wrapText="1"/>
    </xf>
    <xf numFmtId="0" fontId="32" fillId="0" borderId="2" xfId="4" applyFont="1" applyFill="1" applyBorder="1" applyAlignment="1" applyProtection="1">
      <alignment horizontal="justify" vertical="center" wrapText="1"/>
    </xf>
    <xf numFmtId="49" fontId="32" fillId="0" borderId="3" xfId="4" applyNumberFormat="1" applyFont="1" applyFill="1" applyBorder="1" applyAlignment="1" applyProtection="1">
      <alignment horizontal="justify" vertical="center" wrapText="1"/>
    </xf>
    <xf numFmtId="49" fontId="8" fillId="0" borderId="2" xfId="4" applyNumberFormat="1" applyFont="1" applyFill="1" applyBorder="1" applyAlignment="1" applyProtection="1">
      <alignment horizontal="justify" vertical="center" wrapText="1"/>
    </xf>
    <xf numFmtId="49" fontId="30" fillId="0" borderId="3" xfId="4" applyNumberFormat="1" applyFont="1" applyFill="1" applyBorder="1" applyAlignment="1" applyProtection="1">
      <alignment horizontal="justify" vertical="center" wrapText="1"/>
    </xf>
    <xf numFmtId="3" fontId="8" fillId="0" borderId="2" xfId="20" applyNumberFormat="1" applyFont="1" applyFill="1" applyBorder="1" applyAlignment="1">
      <alignment horizontal="right" vertical="center" wrapText="1"/>
    </xf>
    <xf numFmtId="4" fontId="8" fillId="0" borderId="2" xfId="21" applyNumberFormat="1" applyFont="1" applyFill="1" applyBorder="1" applyAlignment="1" applyProtection="1">
      <alignment horizontal="center" vertical="center" wrapText="1"/>
    </xf>
    <xf numFmtId="3" fontId="8" fillId="0" borderId="2" xfId="20" applyNumberFormat="1" applyFont="1" applyFill="1" applyBorder="1" applyAlignment="1" applyProtection="1">
      <alignment horizontal="right" vertical="center" wrapText="1"/>
    </xf>
    <xf numFmtId="4" fontId="31" fillId="0" borderId="2" xfId="18" applyNumberFormat="1" applyFont="1" applyFill="1" applyBorder="1" applyAlignment="1">
      <alignment horizontal="center" vertical="center" wrapText="1"/>
    </xf>
    <xf numFmtId="3" fontId="10" fillId="19" borderId="14" xfId="18" applyNumberFormat="1" applyFont="1" applyFill="1" applyBorder="1" applyAlignment="1">
      <alignment horizontal="right" vertical="center" wrapText="1"/>
    </xf>
    <xf numFmtId="3" fontId="10" fillId="19" borderId="15" xfId="18" applyNumberFormat="1" applyFont="1" applyFill="1" applyBorder="1" applyAlignment="1">
      <alignment horizontal="right" vertical="center" wrapText="1"/>
    </xf>
    <xf numFmtId="49" fontId="8" fillId="0" borderId="20" xfId="18" applyNumberFormat="1" applyFont="1" applyFill="1" applyBorder="1" applyAlignment="1">
      <alignment horizontal="justify" vertical="center" wrapText="1"/>
    </xf>
    <xf numFmtId="4" fontId="10" fillId="20" borderId="14" xfId="18" applyNumberFormat="1" applyFont="1" applyFill="1" applyBorder="1" applyAlignment="1">
      <alignment horizontal="center" vertical="center" wrapText="1"/>
    </xf>
    <xf numFmtId="4" fontId="10" fillId="20" borderId="14" xfId="18" applyNumberFormat="1" applyFont="1" applyFill="1" applyBorder="1" applyAlignment="1">
      <alignment horizontal="right" vertical="center" wrapText="1"/>
    </xf>
    <xf numFmtId="49" fontId="30" fillId="0" borderId="14" xfId="18" applyNumberFormat="1" applyFont="1" applyFill="1" applyBorder="1" applyAlignment="1">
      <alignment horizontal="justify" vertical="center" wrapText="1"/>
    </xf>
    <xf numFmtId="0" fontId="30" fillId="0" borderId="14" xfId="18" applyFont="1" applyFill="1" applyBorder="1" applyAlignment="1">
      <alignment horizontal="left" vertical="center" wrapText="1"/>
    </xf>
    <xf numFmtId="49" fontId="30" fillId="0" borderId="20" xfId="18" applyNumberFormat="1" applyFont="1" applyFill="1" applyBorder="1" applyAlignment="1">
      <alignment horizontal="justify" vertical="center" wrapText="1"/>
    </xf>
    <xf numFmtId="3" fontId="8" fillId="0" borderId="14" xfId="18" applyNumberFormat="1" applyFont="1" applyBorder="1" applyAlignment="1">
      <alignment horizontal="right" vertical="center" wrapText="1"/>
    </xf>
    <xf numFmtId="49" fontId="10" fillId="21" borderId="14" xfId="18" applyNumberFormat="1" applyFont="1" applyFill="1" applyBorder="1" applyAlignment="1">
      <alignment horizontal="justify" vertical="center" wrapText="1"/>
    </xf>
    <xf numFmtId="49" fontId="10" fillId="21" borderId="20" xfId="18" applyNumberFormat="1" applyFont="1" applyFill="1" applyBorder="1" applyAlignment="1">
      <alignment horizontal="justify" vertical="center" wrapText="1"/>
    </xf>
    <xf numFmtId="3" fontId="10" fillId="21" borderId="14" xfId="18" applyNumberFormat="1" applyFont="1" applyFill="1" applyBorder="1" applyAlignment="1">
      <alignment horizontal="right" vertical="center" wrapText="1"/>
    </xf>
    <xf numFmtId="0" fontId="10" fillId="21" borderId="14" xfId="18" applyFont="1" applyFill="1" applyBorder="1" applyAlignment="1">
      <alignment horizontal="center" vertical="center" wrapText="1"/>
    </xf>
    <xf numFmtId="4" fontId="10" fillId="21" borderId="2" xfId="18" applyNumberFormat="1" applyFont="1" applyFill="1" applyBorder="1" applyAlignment="1">
      <alignment horizontal="center" vertical="center" wrapText="1"/>
    </xf>
    <xf numFmtId="3" fontId="10" fillId="21" borderId="2" xfId="18" applyNumberFormat="1" applyFont="1" applyFill="1" applyBorder="1" applyAlignment="1">
      <alignment horizontal="right" vertical="center" wrapText="1"/>
    </xf>
    <xf numFmtId="4" fontId="10" fillId="21" borderId="2" xfId="18" applyNumberFormat="1" applyFont="1" applyFill="1" applyBorder="1" applyAlignment="1">
      <alignment horizontal="right" vertical="center" wrapText="1"/>
    </xf>
    <xf numFmtId="49" fontId="10" fillId="21" borderId="2" xfId="18" applyNumberFormat="1" applyFont="1" applyFill="1" applyBorder="1" applyAlignment="1">
      <alignment horizontal="justify" vertical="center" wrapText="1"/>
    </xf>
    <xf numFmtId="0" fontId="34" fillId="0" borderId="0" xfId="12" applyFont="1" applyFill="1" applyBorder="1" applyAlignment="1">
      <alignment horizontal="left"/>
    </xf>
    <xf numFmtId="0" fontId="35" fillId="0" borderId="0" xfId="22" applyFont="1" applyFill="1" applyBorder="1" applyAlignment="1">
      <alignment horizontal="left" vertical="center"/>
    </xf>
    <xf numFmtId="0" fontId="36" fillId="0" borderId="0" xfId="12" applyFont="1" applyFill="1" applyBorder="1" applyAlignment="1">
      <alignment horizontal="center" vertical="center"/>
    </xf>
    <xf numFmtId="0" fontId="36" fillId="0" borderId="0" xfId="12" applyFont="1" applyFill="1" applyBorder="1" applyAlignment="1">
      <alignment horizontal="left" vertical="center"/>
    </xf>
    <xf numFmtId="0" fontId="36" fillId="0" borderId="0" xfId="12" applyFont="1" applyFill="1" applyBorder="1" applyAlignment="1">
      <alignment vertical="center"/>
    </xf>
    <xf numFmtId="2" fontId="36" fillId="0" borderId="0" xfId="12" applyNumberFormat="1" applyFont="1" applyFill="1" applyBorder="1" applyAlignment="1">
      <alignment horizontal="center" vertical="center"/>
    </xf>
    <xf numFmtId="0" fontId="34" fillId="0" borderId="0" xfId="12" applyFont="1" applyFill="1" applyBorder="1"/>
    <xf numFmtId="0" fontId="34" fillId="0" borderId="0" xfId="12" applyFont="1" applyFill="1" applyBorder="1" applyAlignment="1">
      <alignment horizontal="center"/>
    </xf>
    <xf numFmtId="2" fontId="34" fillId="0" borderId="0" xfId="12" applyNumberFormat="1" applyFont="1" applyFill="1" applyBorder="1" applyAlignment="1">
      <alignment horizontal="center" vertical="center"/>
    </xf>
    <xf numFmtId="0" fontId="35" fillId="0" borderId="0" xfId="12" applyFont="1" applyFill="1" applyBorder="1" applyAlignment="1">
      <alignment horizontal="center"/>
    </xf>
    <xf numFmtId="0" fontId="35" fillId="0" borderId="0" xfId="12" applyFont="1" applyFill="1" applyBorder="1" applyAlignment="1"/>
    <xf numFmtId="0" fontId="7" fillId="3" borderId="1" xfId="6" applyFont="1" applyFill="1" applyBorder="1" applyAlignment="1">
      <alignment horizontal="center" vertical="center"/>
    </xf>
    <xf numFmtId="49" fontId="10" fillId="4" borderId="2" xfId="0" applyNumberFormat="1" applyFont="1" applyFill="1" applyBorder="1" applyAlignment="1">
      <alignment horizontal="center" vertical="center" wrapText="1"/>
    </xf>
    <xf numFmtId="49" fontId="10" fillId="5" borderId="2" xfId="0" applyNumberFormat="1" applyFont="1" applyFill="1" applyBorder="1" applyAlignment="1">
      <alignment horizontal="center" vertical="center" wrapText="1"/>
    </xf>
    <xf numFmtId="49" fontId="10" fillId="11" borderId="2" xfId="0" applyNumberFormat="1" applyFont="1" applyFill="1" applyBorder="1" applyAlignment="1">
      <alignment horizontal="justify" vertical="center" wrapText="1"/>
    </xf>
    <xf numFmtId="3" fontId="10" fillId="11" borderId="2" xfId="0" applyNumberFormat="1" applyFont="1" applyFill="1" applyBorder="1" applyAlignment="1">
      <alignment horizontal="right" vertical="center" wrapText="1"/>
    </xf>
    <xf numFmtId="49" fontId="10" fillId="11" borderId="2" xfId="0" applyNumberFormat="1" applyFont="1" applyFill="1" applyBorder="1" applyAlignment="1">
      <alignment horizontal="center" vertical="center" wrapText="1"/>
    </xf>
    <xf numFmtId="4" fontId="10" fillId="11" borderId="2" xfId="6" applyNumberFormat="1" applyFont="1" applyFill="1" applyBorder="1" applyAlignment="1">
      <alignment horizontal="center" vertical="center" wrapText="1"/>
    </xf>
    <xf numFmtId="2" fontId="10" fillId="11" borderId="2" xfId="6" applyNumberFormat="1" applyFont="1" applyFill="1" applyBorder="1" applyAlignment="1">
      <alignment horizontal="center" vertical="center" wrapText="1"/>
    </xf>
    <xf numFmtId="4" fontId="10" fillId="11" borderId="2" xfId="24" applyNumberFormat="1" applyFont="1" applyFill="1" applyBorder="1" applyAlignment="1">
      <alignment horizontal="center" vertical="center" wrapText="1"/>
    </xf>
    <xf numFmtId="3" fontId="8" fillId="11" borderId="2" xfId="6" applyNumberFormat="1" applyFont="1" applyFill="1" applyBorder="1" applyAlignment="1">
      <alignment horizontal="right" vertical="center" wrapText="1"/>
    </xf>
    <xf numFmtId="4" fontId="8" fillId="11" borderId="2" xfId="6" applyNumberFormat="1" applyFont="1" applyFill="1" applyBorder="1" applyAlignment="1">
      <alignment horizontal="right" vertical="center" wrapText="1"/>
    </xf>
    <xf numFmtId="4" fontId="8" fillId="11" borderId="2" xfId="25" applyNumberFormat="1" applyFont="1" applyFill="1" applyBorder="1" applyAlignment="1">
      <alignment horizontal="right" vertical="center" wrapText="1"/>
    </xf>
    <xf numFmtId="49" fontId="10" fillId="11" borderId="2" xfId="25" applyNumberFormat="1" applyFont="1" applyFill="1" applyBorder="1" applyAlignment="1">
      <alignment horizontal="justify" vertical="center" wrapText="1"/>
    </xf>
    <xf numFmtId="0" fontId="10" fillId="11" borderId="2" xfId="25" applyFont="1" applyFill="1" applyBorder="1" applyAlignment="1">
      <alignment horizontal="center" vertical="center" wrapText="1"/>
    </xf>
    <xf numFmtId="49" fontId="10" fillId="6" borderId="2" xfId="26" applyNumberFormat="1" applyFont="1" applyFill="1" applyBorder="1" applyAlignment="1">
      <alignment horizontal="center" vertical="center" wrapText="1"/>
    </xf>
    <xf numFmtId="4" fontId="10" fillId="6" borderId="2" xfId="6" applyNumberFormat="1" applyFont="1" applyFill="1" applyBorder="1" applyAlignment="1">
      <alignment horizontal="center" vertical="center" wrapText="1"/>
    </xf>
    <xf numFmtId="2" fontId="10" fillId="6" borderId="2" xfId="6" applyNumberFormat="1" applyFont="1" applyFill="1" applyBorder="1" applyAlignment="1">
      <alignment horizontal="center" vertical="center" wrapText="1"/>
    </xf>
    <xf numFmtId="4" fontId="10" fillId="6" borderId="2" xfId="24" applyNumberFormat="1" applyFont="1" applyFill="1" applyBorder="1" applyAlignment="1">
      <alignment horizontal="center" vertical="center" wrapText="1"/>
    </xf>
    <xf numFmtId="3" fontId="8" fillId="6" borderId="2" xfId="6" applyNumberFormat="1" applyFont="1" applyFill="1" applyBorder="1" applyAlignment="1">
      <alignment horizontal="right" vertical="center" wrapText="1"/>
    </xf>
    <xf numFmtId="4" fontId="8" fillId="6" borderId="2" xfId="6" applyNumberFormat="1" applyFont="1" applyFill="1" applyBorder="1" applyAlignment="1">
      <alignment horizontal="right" vertical="center" wrapText="1"/>
    </xf>
    <xf numFmtId="4" fontId="8" fillId="6" borderId="2" xfId="25" applyNumberFormat="1" applyFont="1" applyFill="1" applyBorder="1" applyAlignment="1">
      <alignment horizontal="right" vertical="center" wrapText="1"/>
    </xf>
    <xf numFmtId="49" fontId="10" fillId="6" borderId="2" xfId="25" applyNumberFormat="1" applyFont="1" applyFill="1" applyBorder="1" applyAlignment="1">
      <alignment horizontal="justify" vertical="center" wrapText="1"/>
    </xf>
    <xf numFmtId="0" fontId="10" fillId="6" borderId="2" xfId="25" applyFont="1" applyFill="1" applyBorder="1" applyAlignment="1">
      <alignment horizontal="center" vertical="center" wrapText="1"/>
    </xf>
    <xf numFmtId="49" fontId="8" fillId="0" borderId="2" xfId="10" applyNumberFormat="1" applyFont="1" applyFill="1" applyBorder="1" applyAlignment="1">
      <alignment horizontal="left" vertical="center" wrapText="1"/>
    </xf>
    <xf numFmtId="49" fontId="10" fillId="0" borderId="2" xfId="26" applyNumberFormat="1" applyFont="1" applyFill="1" applyBorder="1" applyAlignment="1">
      <alignment horizontal="justify" vertical="center" wrapText="1"/>
    </xf>
    <xf numFmtId="3" fontId="10" fillId="0" borderId="2" xfId="6" applyNumberFormat="1" applyFont="1" applyFill="1" applyBorder="1" applyAlignment="1">
      <alignment horizontal="center" vertical="center" wrapText="1"/>
    </xf>
    <xf numFmtId="49" fontId="10" fillId="0" borderId="2" xfId="26" applyNumberFormat="1" applyFont="1" applyFill="1" applyBorder="1" applyAlignment="1">
      <alignment horizontal="center" vertical="center" wrapText="1"/>
    </xf>
    <xf numFmtId="4" fontId="10" fillId="0" borderId="2" xfId="14" applyNumberFormat="1" applyFont="1" applyFill="1" applyBorder="1" applyAlignment="1">
      <alignment horizontal="center" vertical="center" wrapText="1"/>
    </xf>
    <xf numFmtId="2" fontId="10" fillId="0" borderId="2" xfId="14" applyNumberFormat="1" applyFont="1" applyFill="1" applyBorder="1" applyAlignment="1">
      <alignment horizontal="center" vertical="center" wrapText="1"/>
    </xf>
    <xf numFmtId="3" fontId="8" fillId="0" borderId="2" xfId="27" applyNumberFormat="1" applyFont="1" applyBorder="1" applyAlignment="1">
      <alignment horizontal="right" vertical="center" wrapText="1"/>
    </xf>
    <xf numFmtId="4" fontId="8" fillId="0" borderId="2" xfId="27" applyNumberFormat="1" applyFont="1" applyBorder="1" applyAlignment="1">
      <alignment horizontal="right" vertical="center" wrapText="1"/>
    </xf>
    <xf numFmtId="4" fontId="8" fillId="0" borderId="2" xfId="26" applyNumberFormat="1" applyFont="1" applyFill="1" applyBorder="1" applyAlignment="1">
      <alignment horizontal="right" vertical="center" wrapText="1"/>
    </xf>
    <xf numFmtId="4" fontId="8" fillId="0" borderId="2" xfId="14" applyNumberFormat="1" applyFont="1" applyFill="1" applyBorder="1" applyAlignment="1">
      <alignment horizontal="right" vertical="center" wrapText="1"/>
    </xf>
    <xf numFmtId="0" fontId="10" fillId="0" borderId="2" xfId="25" applyFont="1" applyFill="1" applyBorder="1" applyAlignment="1">
      <alignment horizontal="center" vertical="center" wrapText="1"/>
    </xf>
    <xf numFmtId="3"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9" fontId="8" fillId="0" borderId="2" xfId="2" applyNumberFormat="1" applyFont="1" applyFill="1" applyBorder="1" applyAlignment="1">
      <alignment horizontal="justify" vertical="center" wrapText="1"/>
    </xf>
    <xf numFmtId="3" fontId="8" fillId="7" borderId="2" xfId="28" applyNumberFormat="1" applyFont="1" applyFill="1" applyBorder="1" applyAlignment="1">
      <alignment horizontal="right" vertical="center" wrapText="1"/>
    </xf>
    <xf numFmtId="4" fontId="10" fillId="0" borderId="2" xfId="29" applyNumberFormat="1" applyFont="1" applyFill="1" applyBorder="1" applyAlignment="1">
      <alignment horizontal="center" vertical="center" wrapText="1"/>
    </xf>
    <xf numFmtId="2" fontId="10" fillId="0" borderId="2" xfId="29" applyNumberFormat="1" applyFont="1" applyFill="1" applyBorder="1" applyAlignment="1">
      <alignment horizontal="center" vertical="center" wrapText="1"/>
    </xf>
    <xf numFmtId="49" fontId="8" fillId="6" borderId="2" xfId="0" applyNumberFormat="1" applyFont="1" applyFill="1" applyBorder="1" applyAlignment="1">
      <alignment horizontal="center" vertical="center" wrapText="1"/>
    </xf>
    <xf numFmtId="3" fontId="8" fillId="0" borderId="2" xfId="26" applyNumberFormat="1" applyFont="1" applyFill="1" applyBorder="1" applyAlignment="1">
      <alignment horizontal="right" vertical="center" wrapText="1"/>
    </xf>
    <xf numFmtId="3" fontId="10" fillId="6" borderId="2" xfId="30" applyNumberFormat="1" applyFont="1" applyFill="1" applyBorder="1" applyAlignment="1">
      <alignment horizontal="center" vertical="center" wrapText="1"/>
    </xf>
    <xf numFmtId="0" fontId="10" fillId="6" borderId="2" xfId="30" applyFont="1" applyFill="1" applyBorder="1" applyAlignment="1">
      <alignment horizontal="justify" vertical="center" wrapText="1"/>
    </xf>
    <xf numFmtId="4" fontId="8" fillId="6" borderId="2" xfId="27" applyNumberFormat="1" applyFont="1" applyFill="1" applyBorder="1" applyAlignment="1">
      <alignment horizontal="center" vertical="center" wrapText="1"/>
    </xf>
    <xf numFmtId="0" fontId="10" fillId="6" borderId="2" xfId="30" applyFont="1" applyFill="1" applyBorder="1"/>
    <xf numFmtId="3" fontId="8" fillId="6" borderId="2" xfId="30" applyNumberFormat="1" applyFont="1" applyFill="1" applyBorder="1" applyAlignment="1">
      <alignment horizontal="right" vertical="center" wrapText="1"/>
    </xf>
    <xf numFmtId="4" fontId="8" fillId="6" borderId="2" xfId="30" applyNumberFormat="1" applyFont="1" applyFill="1" applyBorder="1" applyAlignment="1">
      <alignment horizontal="right" vertical="center" wrapText="1"/>
    </xf>
    <xf numFmtId="4" fontId="8" fillId="6" borderId="2" xfId="27" applyNumberFormat="1" applyFont="1" applyFill="1" applyBorder="1" applyAlignment="1">
      <alignment horizontal="right" vertical="center" wrapText="1"/>
    </xf>
    <xf numFmtId="3" fontId="10" fillId="0" borderId="2" xfId="30" applyNumberFormat="1" applyFont="1" applyBorder="1" applyAlignment="1">
      <alignment horizontal="center" vertical="center" wrapText="1"/>
    </xf>
    <xf numFmtId="0" fontId="10" fillId="0" borderId="2" xfId="30" applyFont="1" applyBorder="1" applyAlignment="1">
      <alignment horizontal="center" vertical="center" wrapText="1"/>
    </xf>
    <xf numFmtId="4" fontId="8" fillId="0" borderId="2" xfId="27" applyNumberFormat="1" applyFont="1" applyBorder="1" applyAlignment="1">
      <alignment horizontal="center" vertical="center" wrapText="1"/>
    </xf>
    <xf numFmtId="0" fontId="10" fillId="0" borderId="2" xfId="30" applyFont="1" applyBorder="1"/>
    <xf numFmtId="3" fontId="8" fillId="0" borderId="2" xfId="30" applyNumberFormat="1" applyFont="1" applyBorder="1" applyAlignment="1">
      <alignment horizontal="right" vertical="center" wrapText="1"/>
    </xf>
    <xf numFmtId="4" fontId="8" fillId="0" borderId="2" xfId="30" applyNumberFormat="1" applyFont="1" applyBorder="1" applyAlignment="1">
      <alignment horizontal="right" vertical="center" wrapText="1"/>
    </xf>
    <xf numFmtId="4" fontId="8" fillId="0" borderId="2" xfId="30" applyNumberFormat="1" applyFont="1" applyFill="1" applyBorder="1" applyAlignment="1">
      <alignment horizontal="right" vertical="center" wrapText="1"/>
    </xf>
    <xf numFmtId="0" fontId="10" fillId="0" borderId="2" xfId="30" applyFont="1" applyBorder="1" applyAlignment="1">
      <alignment horizontal="justify" vertical="center" wrapText="1"/>
    </xf>
    <xf numFmtId="0" fontId="10" fillId="0" borderId="2" xfId="30" applyFont="1" applyBorder="1" applyAlignment="1">
      <alignment vertical="center"/>
    </xf>
    <xf numFmtId="4" fontId="10" fillId="0" borderId="2" xfId="30" applyNumberFormat="1" applyFont="1" applyBorder="1" applyAlignment="1">
      <alignment vertical="center"/>
    </xf>
    <xf numFmtId="4" fontId="8" fillId="0" borderId="2" xfId="30" applyNumberFormat="1" applyFont="1" applyBorder="1" applyAlignment="1">
      <alignment vertical="center"/>
    </xf>
    <xf numFmtId="49" fontId="8" fillId="0" borderId="2" xfId="26" applyNumberFormat="1" applyFont="1" applyFill="1" applyBorder="1" applyAlignment="1">
      <alignment horizontal="justify" vertical="center" wrapText="1"/>
    </xf>
    <xf numFmtId="49" fontId="10" fillId="4" borderId="2" xfId="26" applyNumberFormat="1" applyFont="1" applyFill="1" applyBorder="1" applyAlignment="1">
      <alignment horizontal="center" vertical="center" wrapText="1"/>
    </xf>
    <xf numFmtId="49" fontId="10" fillId="4" borderId="2" xfId="26" applyNumberFormat="1" applyFont="1" applyFill="1" applyBorder="1" applyAlignment="1">
      <alignment horizontal="justify" vertical="center" wrapText="1"/>
    </xf>
    <xf numFmtId="49" fontId="8" fillId="4" borderId="2" xfId="26" applyNumberFormat="1" applyFont="1" applyFill="1" applyBorder="1" applyAlignment="1">
      <alignment horizontal="justify" vertical="center" wrapText="1"/>
    </xf>
    <xf numFmtId="4" fontId="10" fillId="4" borderId="2" xfId="14" applyNumberFormat="1" applyFont="1" applyFill="1" applyBorder="1" applyAlignment="1">
      <alignment horizontal="center" vertical="center" wrapText="1"/>
    </xf>
    <xf numFmtId="2" fontId="10" fillId="4" borderId="2" xfId="14" applyNumberFormat="1" applyFont="1" applyFill="1" applyBorder="1" applyAlignment="1">
      <alignment horizontal="center" vertical="center" wrapText="1"/>
    </xf>
    <xf numFmtId="3" fontId="8" fillId="4" borderId="2" xfId="26" applyNumberFormat="1" applyFont="1" applyFill="1" applyBorder="1" applyAlignment="1">
      <alignment horizontal="right" vertical="center" wrapText="1"/>
    </xf>
    <xf numFmtId="4" fontId="8" fillId="4" borderId="2" xfId="26" applyNumberFormat="1" applyFont="1" applyFill="1" applyBorder="1" applyAlignment="1">
      <alignment horizontal="right" vertical="center" wrapText="1"/>
    </xf>
    <xf numFmtId="4" fontId="8" fillId="4" borderId="2" xfId="14" applyNumberFormat="1" applyFont="1" applyFill="1" applyBorder="1" applyAlignment="1">
      <alignment horizontal="right" vertical="center" wrapText="1"/>
    </xf>
    <xf numFmtId="0" fontId="10" fillId="4" borderId="2" xfId="25" applyFont="1" applyFill="1" applyBorder="1" applyAlignment="1">
      <alignment horizontal="center" vertical="center" wrapText="1"/>
    </xf>
    <xf numFmtId="3" fontId="10" fillId="5" borderId="2" xfId="6" applyNumberFormat="1" applyFont="1" applyFill="1" applyBorder="1" applyAlignment="1">
      <alignment horizontal="center" vertical="center" wrapText="1"/>
    </xf>
    <xf numFmtId="49" fontId="10" fillId="5" borderId="2" xfId="26" applyNumberFormat="1" applyFont="1" applyFill="1" applyBorder="1" applyAlignment="1">
      <alignment horizontal="center" vertical="center" wrapText="1"/>
    </xf>
    <xf numFmtId="49" fontId="10" fillId="5" borderId="2" xfId="26" applyNumberFormat="1" applyFont="1" applyFill="1" applyBorder="1" applyAlignment="1">
      <alignment horizontal="justify" vertical="center" wrapText="1"/>
    </xf>
    <xf numFmtId="49" fontId="8" fillId="5" borderId="2" xfId="26" applyNumberFormat="1" applyFont="1" applyFill="1" applyBorder="1" applyAlignment="1">
      <alignment horizontal="justify" vertical="center" wrapText="1"/>
    </xf>
    <xf numFmtId="4" fontId="10" fillId="5" borderId="2" xfId="14" applyNumberFormat="1" applyFont="1" applyFill="1" applyBorder="1" applyAlignment="1">
      <alignment horizontal="center" vertical="center" wrapText="1"/>
    </xf>
    <xf numFmtId="2" fontId="10" fillId="5" borderId="2" xfId="14" applyNumberFormat="1" applyFont="1" applyFill="1" applyBorder="1" applyAlignment="1">
      <alignment horizontal="center" vertical="center" wrapText="1"/>
    </xf>
    <xf numFmtId="3" fontId="8" fillId="5" borderId="2" xfId="26" applyNumberFormat="1" applyFont="1" applyFill="1" applyBorder="1" applyAlignment="1">
      <alignment horizontal="right" vertical="center" wrapText="1"/>
    </xf>
    <xf numFmtId="4" fontId="8" fillId="5" borderId="2" xfId="26" applyNumberFormat="1" applyFont="1" applyFill="1" applyBorder="1" applyAlignment="1">
      <alignment horizontal="right" vertical="center" wrapText="1"/>
    </xf>
    <xf numFmtId="4" fontId="8" fillId="5" borderId="2" xfId="14" applyNumberFormat="1" applyFont="1" applyFill="1" applyBorder="1" applyAlignment="1">
      <alignment horizontal="right" vertical="center" wrapText="1"/>
    </xf>
    <xf numFmtId="0" fontId="10" fillId="5" borderId="2" xfId="25" applyFont="1" applyFill="1" applyBorder="1" applyAlignment="1">
      <alignment horizontal="center" vertical="center" wrapText="1"/>
    </xf>
    <xf numFmtId="3" fontId="8" fillId="0" borderId="2" xfId="6" applyNumberFormat="1" applyFont="1" applyFill="1" applyBorder="1" applyAlignment="1">
      <alignment horizontal="center" vertical="center" wrapText="1"/>
    </xf>
    <xf numFmtId="0" fontId="8" fillId="4" borderId="2" xfId="31" applyFont="1" applyFill="1" applyBorder="1" applyAlignment="1">
      <alignment horizontal="left" vertical="center" wrapText="1"/>
    </xf>
    <xf numFmtId="49" fontId="8" fillId="4" borderId="2" xfId="0" applyNumberFormat="1" applyFont="1" applyFill="1" applyBorder="1" applyAlignment="1">
      <alignment horizontal="center" vertical="center" wrapText="1"/>
    </xf>
    <xf numFmtId="0" fontId="8" fillId="5" borderId="2" xfId="31" applyFont="1" applyFill="1" applyBorder="1" applyAlignment="1">
      <alignment horizontal="left" vertical="center" wrapText="1"/>
    </xf>
    <xf numFmtId="49" fontId="10" fillId="5" borderId="2" xfId="27" applyNumberFormat="1" applyFont="1" applyFill="1" applyBorder="1" applyAlignment="1">
      <alignment horizontal="justify" vertical="center" wrapText="1"/>
    </xf>
    <xf numFmtId="49" fontId="10" fillId="5" borderId="2" xfId="27" applyNumberFormat="1" applyFont="1" applyFill="1" applyBorder="1" applyAlignment="1">
      <alignment horizontal="center" vertical="center" wrapText="1"/>
    </xf>
    <xf numFmtId="49" fontId="8" fillId="5" borderId="2" xfId="27" applyNumberFormat="1" applyFont="1" applyFill="1" applyBorder="1" applyAlignment="1">
      <alignment horizontal="justify" vertical="center" wrapText="1"/>
    </xf>
    <xf numFmtId="3" fontId="8" fillId="5" borderId="2" xfId="27" applyNumberFormat="1" applyFont="1" applyFill="1" applyBorder="1" applyAlignment="1">
      <alignment horizontal="right" vertical="center" wrapText="1"/>
    </xf>
    <xf numFmtId="4" fontId="8" fillId="5" borderId="2" xfId="27" applyNumberFormat="1" applyFont="1" applyFill="1" applyBorder="1" applyAlignment="1">
      <alignment horizontal="right" vertical="center" wrapText="1"/>
    </xf>
    <xf numFmtId="49" fontId="8" fillId="8" borderId="2" xfId="10" applyNumberFormat="1" applyFont="1" applyFill="1" applyBorder="1" applyAlignment="1">
      <alignment horizontal="left" vertical="center" wrapText="1"/>
    </xf>
    <xf numFmtId="49" fontId="10" fillId="2" borderId="2" xfId="27" applyNumberFormat="1" applyFont="1" applyFill="1" applyBorder="1" applyAlignment="1">
      <alignment horizontal="justify" vertical="center" wrapText="1"/>
    </xf>
    <xf numFmtId="49" fontId="10" fillId="2" borderId="2" xfId="27" applyNumberFormat="1" applyFont="1" applyFill="1" applyBorder="1" applyAlignment="1">
      <alignment horizontal="center" vertical="center" wrapText="1"/>
    </xf>
    <xf numFmtId="49" fontId="8" fillId="2" borderId="2" xfId="27" applyNumberFormat="1" applyFont="1" applyFill="1" applyBorder="1" applyAlignment="1">
      <alignment horizontal="justify" vertical="center" wrapText="1"/>
    </xf>
    <xf numFmtId="3" fontId="8" fillId="2" borderId="2" xfId="27" applyNumberFormat="1" applyFont="1" applyFill="1" applyBorder="1" applyAlignment="1">
      <alignment horizontal="right" vertical="center" wrapText="1"/>
    </xf>
    <xf numFmtId="4" fontId="8" fillId="2" borderId="2" xfId="27" applyNumberFormat="1" applyFont="1" applyFill="1" applyBorder="1" applyAlignment="1">
      <alignment horizontal="right" vertical="center" wrapText="1"/>
    </xf>
    <xf numFmtId="49" fontId="8" fillId="9" borderId="2" xfId="10" applyNumberFormat="1" applyFont="1" applyFill="1" applyBorder="1" applyAlignment="1">
      <alignment horizontal="left" vertical="center" wrapText="1"/>
    </xf>
    <xf numFmtId="49" fontId="10" fillId="6" borderId="2" xfId="27" applyNumberFormat="1" applyFont="1" applyFill="1" applyBorder="1" applyAlignment="1">
      <alignment horizontal="justify" vertical="center" wrapText="1"/>
    </xf>
    <xf numFmtId="49" fontId="10" fillId="6" borderId="2" xfId="27" applyNumberFormat="1" applyFont="1" applyFill="1" applyBorder="1" applyAlignment="1">
      <alignment horizontal="center" vertical="center" wrapText="1"/>
    </xf>
    <xf numFmtId="49" fontId="8" fillId="6" borderId="2" xfId="27" applyNumberFormat="1" applyFont="1" applyFill="1" applyBorder="1" applyAlignment="1">
      <alignment horizontal="justify" vertical="center" wrapText="1"/>
    </xf>
    <xf numFmtId="3" fontId="8" fillId="6" borderId="2" xfId="27" applyNumberFormat="1" applyFont="1" applyFill="1" applyBorder="1" applyAlignment="1">
      <alignment horizontal="right" vertical="center" wrapText="1"/>
    </xf>
    <xf numFmtId="0" fontId="10" fillId="7" borderId="2" xfId="27" applyFont="1" applyFill="1" applyBorder="1" applyAlignment="1">
      <alignment horizontal="left" vertical="center" wrapText="1"/>
    </xf>
    <xf numFmtId="49" fontId="10" fillId="0" borderId="2" xfId="27" applyNumberFormat="1" applyFont="1" applyFill="1" applyBorder="1" applyAlignment="1">
      <alignment horizontal="justify" vertical="center" wrapText="1"/>
    </xf>
    <xf numFmtId="49" fontId="8" fillId="0" borderId="2" xfId="27" applyNumberFormat="1" applyFont="1" applyFill="1" applyBorder="1" applyAlignment="1">
      <alignment horizontal="center" vertical="center" wrapText="1"/>
    </xf>
    <xf numFmtId="0" fontId="8" fillId="0" borderId="2" xfId="27" applyFont="1" applyFill="1" applyBorder="1" applyAlignment="1">
      <alignment horizontal="justify" vertical="center" wrapText="1"/>
    </xf>
    <xf numFmtId="3" fontId="8" fillId="0" borderId="2" xfId="27" applyNumberFormat="1" applyFont="1" applyFill="1" applyBorder="1" applyAlignment="1">
      <alignment horizontal="justify" vertical="center" wrapText="1"/>
    </xf>
    <xf numFmtId="4" fontId="8" fillId="0" borderId="2" xfId="27" applyNumberFormat="1" applyFont="1" applyFill="1" applyBorder="1" applyAlignment="1">
      <alignment horizontal="center" vertical="center" wrapText="1"/>
    </xf>
    <xf numFmtId="4" fontId="8" fillId="0" borderId="2" xfId="12" applyNumberFormat="1" applyFont="1" applyBorder="1" applyAlignment="1">
      <alignment horizontal="right" vertical="center" wrapText="1"/>
    </xf>
    <xf numFmtId="0" fontId="39" fillId="0" borderId="2" xfId="12" applyFont="1" applyBorder="1"/>
    <xf numFmtId="49" fontId="10" fillId="0" borderId="2" xfId="27" applyNumberFormat="1" applyFont="1" applyBorder="1" applyAlignment="1">
      <alignment horizontal="justify" vertical="center" wrapText="1"/>
    </xf>
    <xf numFmtId="3" fontId="8" fillId="0" borderId="2" xfId="27" applyNumberFormat="1" applyFont="1" applyBorder="1" applyAlignment="1">
      <alignment horizontal="center" vertical="center" wrapText="1"/>
    </xf>
    <xf numFmtId="49" fontId="8" fillId="0" borderId="2" xfId="27" applyNumberFormat="1" applyFont="1" applyBorder="1" applyAlignment="1">
      <alignment horizontal="center" vertical="center" wrapText="1"/>
    </xf>
    <xf numFmtId="0" fontId="8" fillId="0" borderId="2" xfId="27" applyFont="1" applyBorder="1" applyAlignment="1">
      <alignment horizontal="justify" vertical="center" wrapText="1"/>
    </xf>
    <xf numFmtId="3" fontId="8" fillId="0" borderId="2" xfId="27" applyNumberFormat="1" applyFont="1" applyBorder="1" applyAlignment="1">
      <alignment horizontal="justify" vertical="center" wrapText="1"/>
    </xf>
    <xf numFmtId="0" fontId="8" fillId="0" borderId="2" xfId="11" applyFont="1" applyFill="1" applyBorder="1" applyAlignment="1">
      <alignment horizontal="justify" vertical="center" wrapText="1"/>
    </xf>
    <xf numFmtId="49" fontId="8" fillId="0" borderId="2" xfId="27" applyNumberFormat="1" applyFont="1" applyFill="1" applyBorder="1" applyAlignment="1">
      <alignment horizontal="justify" vertical="center" wrapText="1"/>
    </xf>
    <xf numFmtId="49" fontId="8" fillId="0" borderId="2" xfId="10" applyNumberFormat="1" applyFont="1" applyBorder="1" applyAlignment="1">
      <alignment horizontal="left" vertical="center" wrapText="1"/>
    </xf>
    <xf numFmtId="49" fontId="10" fillId="0" borderId="2" xfId="27" applyNumberFormat="1" applyFont="1" applyBorder="1" applyAlignment="1">
      <alignment horizontal="center" vertical="center" wrapText="1"/>
    </xf>
    <xf numFmtId="49" fontId="8" fillId="0" borderId="2" xfId="27" applyNumberFormat="1" applyFont="1" applyBorder="1" applyAlignment="1">
      <alignment horizontal="justify" vertical="center" wrapText="1"/>
    </xf>
    <xf numFmtId="0" fontId="10" fillId="0" borderId="2" xfId="27" applyFont="1" applyBorder="1" applyAlignment="1">
      <alignment horizontal="justify" vertical="center" wrapText="1"/>
    </xf>
    <xf numFmtId="49" fontId="8" fillId="0" borderId="7" xfId="27" applyNumberFormat="1" applyFont="1" applyFill="1" applyBorder="1" applyAlignment="1">
      <alignment horizontal="justify" vertical="center" wrapText="1"/>
    </xf>
    <xf numFmtId="0" fontId="8" fillId="0" borderId="7" xfId="27" applyFont="1" applyBorder="1" applyAlignment="1">
      <alignment horizontal="justify" vertical="center" wrapText="1"/>
    </xf>
    <xf numFmtId="4" fontId="10" fillId="0" borderId="2" xfId="27" applyNumberFormat="1" applyFont="1" applyBorder="1" applyAlignment="1">
      <alignment horizontal="center" vertical="center" wrapText="1"/>
    </xf>
    <xf numFmtId="49" fontId="8" fillId="0" borderId="7" xfId="27" applyNumberFormat="1" applyFont="1" applyBorder="1" applyAlignment="1">
      <alignment horizontal="justify" vertical="center" wrapText="1"/>
    </xf>
    <xf numFmtId="49" fontId="12" fillId="8" borderId="2" xfId="10" applyNumberFormat="1" applyFont="1" applyFill="1" applyBorder="1" applyAlignment="1">
      <alignment horizontal="left" vertical="center" wrapText="1"/>
    </xf>
    <xf numFmtId="3" fontId="8" fillId="2" borderId="2" xfId="0" applyNumberFormat="1" applyFont="1" applyFill="1" applyBorder="1" applyAlignment="1">
      <alignment horizontal="center" vertical="center" wrapText="1"/>
    </xf>
    <xf numFmtId="3" fontId="8" fillId="2" borderId="2" xfId="0" applyNumberFormat="1" applyFont="1" applyFill="1" applyBorder="1" applyAlignment="1">
      <alignment horizontal="justify" vertical="center" wrapText="1"/>
    </xf>
    <xf numFmtId="4" fontId="8" fillId="2" borderId="2" xfId="27" applyNumberFormat="1" applyFont="1" applyFill="1" applyBorder="1" applyAlignment="1">
      <alignment horizontal="center" vertical="center" wrapText="1"/>
    </xf>
    <xf numFmtId="49" fontId="12" fillId="9" borderId="2" xfId="10" applyNumberFormat="1" applyFont="1" applyFill="1" applyBorder="1" applyAlignment="1">
      <alignment horizontal="left" vertical="center" wrapText="1"/>
    </xf>
    <xf numFmtId="3" fontId="8" fillId="6" borderId="2" xfId="0" applyNumberFormat="1" applyFont="1" applyFill="1" applyBorder="1" applyAlignment="1">
      <alignment horizontal="center" vertical="center" wrapText="1"/>
    </xf>
    <xf numFmtId="3" fontId="8" fillId="6" borderId="2" xfId="0" applyNumberFormat="1" applyFont="1" applyFill="1" applyBorder="1" applyAlignment="1">
      <alignment horizontal="justify" vertical="center" wrapText="1"/>
    </xf>
    <xf numFmtId="49" fontId="12" fillId="0" borderId="2" xfId="10" applyNumberFormat="1" applyFont="1" applyFill="1" applyBorder="1" applyAlignment="1">
      <alignment horizontal="left" vertical="center" wrapText="1"/>
    </xf>
    <xf numFmtId="0" fontId="10" fillId="0" borderId="2" xfId="30" applyFont="1" applyFill="1" applyBorder="1" applyAlignment="1">
      <alignment horizontal="justify" vertical="center" wrapText="1"/>
    </xf>
    <xf numFmtId="0" fontId="8" fillId="0" borderId="25" xfId="11" applyFont="1" applyFill="1" applyBorder="1" applyAlignment="1">
      <alignment horizontal="justify" vertical="center" wrapText="1"/>
    </xf>
    <xf numFmtId="3" fontId="8" fillId="7" borderId="2" xfId="0" applyNumberFormat="1" applyFont="1" applyFill="1" applyBorder="1" applyAlignment="1">
      <alignment horizontal="right" vertical="center" wrapText="1"/>
    </xf>
    <xf numFmtId="4" fontId="8" fillId="7" borderId="2" xfId="0" applyNumberFormat="1" applyFont="1" applyFill="1" applyBorder="1" applyAlignment="1">
      <alignment horizontal="right" vertical="center" wrapText="1"/>
    </xf>
    <xf numFmtId="4" fontId="8" fillId="7" borderId="2" xfId="27" applyNumberFormat="1" applyFont="1" applyFill="1" applyBorder="1" applyAlignment="1">
      <alignment horizontal="right" vertical="center" wrapText="1"/>
    </xf>
    <xf numFmtId="49" fontId="8" fillId="7" borderId="2" xfId="32" applyNumberFormat="1" applyFont="1" applyFill="1" applyBorder="1" applyAlignment="1">
      <alignment horizontal="justify" vertical="center" wrapText="1"/>
    </xf>
    <xf numFmtId="49" fontId="8" fillId="2" borderId="7" xfId="0" applyNumberFormat="1" applyFont="1" applyFill="1" applyBorder="1" applyAlignment="1">
      <alignment horizontal="justify" vertical="center" wrapText="1"/>
    </xf>
    <xf numFmtId="3" fontId="8" fillId="2" borderId="7" xfId="0" applyNumberFormat="1" applyFont="1" applyFill="1" applyBorder="1" applyAlignment="1">
      <alignment horizontal="center" vertical="center" wrapText="1"/>
    </xf>
    <xf numFmtId="0" fontId="8" fillId="0" borderId="2" xfId="30" applyFont="1" applyFill="1" applyBorder="1" applyAlignment="1">
      <alignment horizontal="justify" vertical="center" wrapText="1"/>
    </xf>
    <xf numFmtId="49" fontId="8" fillId="0" borderId="2" xfId="33" applyNumberFormat="1" applyFont="1" applyFill="1" applyBorder="1" applyAlignment="1">
      <alignment horizontal="justify" vertical="center" wrapText="1"/>
    </xf>
    <xf numFmtId="49" fontId="8" fillId="0" borderId="2" xfId="33" applyNumberFormat="1" applyFont="1" applyFill="1" applyBorder="1" applyAlignment="1">
      <alignment horizontal="center" vertical="center" wrapText="1"/>
    </xf>
    <xf numFmtId="0" fontId="8" fillId="6" borderId="2" xfId="11" applyFont="1" applyFill="1" applyBorder="1" applyAlignment="1">
      <alignment horizontal="justify" vertical="center" wrapText="1"/>
    </xf>
    <xf numFmtId="49" fontId="8" fillId="6" borderId="2" xfId="33" applyNumberFormat="1" applyFont="1" applyFill="1" applyBorder="1" applyAlignment="1">
      <alignment horizontal="justify" vertical="center" wrapText="1"/>
    </xf>
    <xf numFmtId="49" fontId="8" fillId="6" borderId="2" xfId="33" applyNumberFormat="1" applyFont="1" applyFill="1" applyBorder="1" applyAlignment="1">
      <alignment horizontal="center" vertical="center" wrapText="1"/>
    </xf>
    <xf numFmtId="0" fontId="8" fillId="2" borderId="2" xfId="12" applyFont="1" applyFill="1" applyBorder="1" applyAlignment="1">
      <alignment horizontal="justify" vertical="center" wrapText="1"/>
    </xf>
    <xf numFmtId="3" fontId="8" fillId="2" borderId="2" xfId="12" applyNumberFormat="1" applyFont="1" applyFill="1" applyBorder="1" applyAlignment="1">
      <alignment horizontal="center" vertical="center" wrapText="1"/>
    </xf>
    <xf numFmtId="49" fontId="8" fillId="2" borderId="2" xfId="12" applyNumberFormat="1" applyFont="1" applyFill="1" applyBorder="1" applyAlignment="1">
      <alignment horizontal="justify" vertical="center" wrapText="1"/>
    </xf>
    <xf numFmtId="3" fontId="8" fillId="2" borderId="2" xfId="12" applyNumberFormat="1" applyFont="1" applyFill="1" applyBorder="1" applyAlignment="1">
      <alignment horizontal="justify" vertical="center" wrapText="1"/>
    </xf>
    <xf numFmtId="3" fontId="8" fillId="2" borderId="2" xfId="12" applyNumberFormat="1" applyFont="1" applyFill="1" applyBorder="1" applyAlignment="1">
      <alignment horizontal="right" vertical="center" wrapText="1"/>
    </xf>
    <xf numFmtId="4" fontId="8" fillId="2" borderId="2" xfId="12" applyNumberFormat="1" applyFont="1" applyFill="1" applyBorder="1" applyAlignment="1">
      <alignment horizontal="right" vertical="center" wrapText="1"/>
    </xf>
    <xf numFmtId="0" fontId="8" fillId="6" borderId="2" xfId="12" applyFont="1" applyFill="1" applyBorder="1" applyAlignment="1">
      <alignment horizontal="justify" vertical="center" wrapText="1"/>
    </xf>
    <xf numFmtId="3" fontId="8" fillId="6" borderId="2" xfId="12" applyNumberFormat="1" applyFont="1" applyFill="1" applyBorder="1" applyAlignment="1">
      <alignment horizontal="center" vertical="center" wrapText="1"/>
    </xf>
    <xf numFmtId="49" fontId="8" fillId="6" borderId="2" xfId="12" applyNumberFormat="1" applyFont="1" applyFill="1" applyBorder="1" applyAlignment="1">
      <alignment horizontal="justify" vertical="center" wrapText="1"/>
    </xf>
    <xf numFmtId="3" fontId="8" fillId="6" borderId="2" xfId="12" applyNumberFormat="1" applyFont="1" applyFill="1" applyBorder="1" applyAlignment="1">
      <alignment horizontal="justify" vertical="center" wrapText="1"/>
    </xf>
    <xf numFmtId="3" fontId="8" fillId="6" borderId="2" xfId="12" applyNumberFormat="1" applyFont="1" applyFill="1" applyBorder="1" applyAlignment="1">
      <alignment horizontal="right" vertical="center" wrapText="1"/>
    </xf>
    <xf numFmtId="4" fontId="8" fillId="6" borderId="2" xfId="12" applyNumberFormat="1" applyFont="1" applyFill="1" applyBorder="1" applyAlignment="1">
      <alignment horizontal="right" vertical="center" wrapText="1"/>
    </xf>
    <xf numFmtId="0" fontId="8" fillId="0" borderId="2" xfId="12" applyFont="1" applyFill="1" applyBorder="1" applyAlignment="1">
      <alignment horizontal="justify" vertical="center" wrapText="1"/>
    </xf>
    <xf numFmtId="3" fontId="8" fillId="0" borderId="2" xfId="12" applyNumberFormat="1" applyFont="1" applyFill="1" applyBorder="1" applyAlignment="1">
      <alignment horizontal="center" vertical="center" wrapText="1"/>
    </xf>
    <xf numFmtId="49" fontId="8" fillId="0" borderId="2" xfId="12" applyNumberFormat="1" applyFont="1" applyFill="1" applyBorder="1" applyAlignment="1">
      <alignment horizontal="justify" vertical="center" wrapText="1"/>
    </xf>
    <xf numFmtId="0" fontId="8" fillId="0" borderId="25" xfId="11" applyFont="1" applyFill="1" applyBorder="1" applyAlignment="1">
      <alignment horizontal="left" vertical="center" wrapText="1"/>
    </xf>
    <xf numFmtId="3" fontId="8" fillId="7" borderId="2" xfId="30" applyNumberFormat="1" applyFont="1" applyFill="1" applyBorder="1" applyAlignment="1">
      <alignment horizontal="right" vertical="center" wrapText="1"/>
    </xf>
    <xf numFmtId="4" fontId="8" fillId="7" borderId="2" xfId="30" applyNumberFormat="1" applyFont="1" applyFill="1" applyBorder="1" applyAlignment="1">
      <alignment horizontal="right" vertical="center" wrapText="1"/>
    </xf>
    <xf numFmtId="4" fontId="8" fillId="7" borderId="2" xfId="12" applyNumberFormat="1" applyFont="1" applyFill="1" applyBorder="1" applyAlignment="1">
      <alignment horizontal="right" vertical="center" wrapText="1"/>
    </xf>
    <xf numFmtId="3" fontId="8" fillId="7" borderId="2" xfId="12" applyNumberFormat="1" applyFont="1" applyFill="1" applyBorder="1" applyAlignment="1">
      <alignment horizontal="right" vertical="center" wrapText="1"/>
    </xf>
    <xf numFmtId="49" fontId="8" fillId="0" borderId="2" xfId="32" applyNumberFormat="1" applyFont="1" applyFill="1" applyBorder="1" applyAlignment="1">
      <alignment horizontal="justify" vertical="center" wrapText="1"/>
    </xf>
    <xf numFmtId="4" fontId="7" fillId="2" borderId="2" xfId="11" applyNumberFormat="1" applyFont="1" applyFill="1" applyBorder="1" applyAlignment="1">
      <alignment horizontal="left" vertical="center" wrapText="1"/>
    </xf>
    <xf numFmtId="4" fontId="7" fillId="2" borderId="2" xfId="11" applyNumberFormat="1" applyFont="1" applyFill="1" applyBorder="1" applyAlignment="1">
      <alignment horizontal="justify" vertical="center" wrapText="1"/>
    </xf>
    <xf numFmtId="3" fontId="7" fillId="2" borderId="2" xfId="11" applyNumberFormat="1" applyFont="1" applyFill="1" applyBorder="1" applyAlignment="1">
      <alignment horizontal="center" vertical="center" wrapText="1"/>
    </xf>
    <xf numFmtId="4" fontId="8" fillId="2" borderId="2" xfId="11" applyNumberFormat="1" applyFont="1" applyFill="1" applyBorder="1" applyAlignment="1">
      <alignment horizontal="center" vertical="center" wrapText="1"/>
    </xf>
    <xf numFmtId="3" fontId="8" fillId="2" borderId="2" xfId="11" applyNumberFormat="1" applyFont="1" applyFill="1" applyBorder="1" applyAlignment="1">
      <alignment horizontal="right" vertical="center" wrapText="1"/>
    </xf>
    <xf numFmtId="4" fontId="8" fillId="2" borderId="2" xfId="11" applyNumberFormat="1" applyFont="1" applyFill="1" applyBorder="1" applyAlignment="1">
      <alignment horizontal="right" vertical="center" wrapText="1"/>
    </xf>
    <xf numFmtId="49" fontId="7" fillId="2" borderId="2" xfId="11" applyNumberFormat="1" applyFont="1" applyFill="1" applyBorder="1" applyAlignment="1">
      <alignment horizontal="justify" vertical="center" wrapText="1"/>
    </xf>
    <xf numFmtId="49" fontId="7" fillId="2" borderId="2" xfId="27" applyNumberFormat="1" applyFont="1" applyFill="1" applyBorder="1" applyAlignment="1">
      <alignment horizontal="justify" vertical="center" wrapText="1"/>
    </xf>
    <xf numFmtId="0" fontId="7" fillId="3" borderId="7" xfId="6" applyFont="1" applyFill="1" applyBorder="1" applyAlignment="1">
      <alignment horizontal="center" vertical="center" wrapText="1"/>
    </xf>
    <xf numFmtId="0" fontId="4" fillId="0" borderId="0" xfId="14" applyFont="1" applyFill="1" applyBorder="1"/>
    <xf numFmtId="0" fontId="6" fillId="0" borderId="0" xfId="14" applyFont="1" applyFill="1" applyBorder="1" applyAlignment="1">
      <alignment vertical="center"/>
    </xf>
    <xf numFmtId="0" fontId="6" fillId="0" borderId="0" xfId="14" applyFont="1" applyFill="1" applyBorder="1" applyAlignment="1">
      <alignment horizontal="center" vertical="center"/>
    </xf>
    <xf numFmtId="0" fontId="4" fillId="0" borderId="0" xfId="14" applyFont="1" applyFill="1" applyBorder="1" applyAlignment="1">
      <alignment horizontal="center"/>
    </xf>
    <xf numFmtId="0" fontId="4" fillId="0" borderId="0" xfId="14" applyFont="1" applyBorder="1" applyAlignment="1">
      <alignment horizontal="justify" vertical="center"/>
    </xf>
    <xf numFmtId="170" fontId="6" fillId="0" borderId="0" xfId="14" applyNumberFormat="1" applyFont="1" applyFill="1" applyBorder="1" applyAlignment="1">
      <alignment horizontal="center" vertical="center"/>
    </xf>
    <xf numFmtId="0" fontId="6" fillId="7" borderId="0" xfId="14" applyFont="1" applyFill="1" applyBorder="1" applyAlignment="1">
      <alignment horizontal="center" vertical="center"/>
    </xf>
    <xf numFmtId="1" fontId="6" fillId="0" borderId="0" xfId="14" applyNumberFormat="1" applyFont="1" applyFill="1" applyBorder="1" applyAlignment="1">
      <alignment horizontal="center" vertical="center"/>
    </xf>
    <xf numFmtId="1" fontId="6" fillId="0" borderId="0" xfId="14" applyNumberFormat="1" applyFont="1" applyFill="1" applyBorder="1" applyAlignment="1">
      <alignment vertical="center"/>
    </xf>
    <xf numFmtId="0" fontId="3" fillId="0" borderId="0" xfId="14" applyFont="1" applyFill="1" applyBorder="1" applyAlignment="1">
      <alignment horizontal="left" vertical="center"/>
    </xf>
    <xf numFmtId="0" fontId="3" fillId="0" borderId="8" xfId="14" applyFont="1" applyFill="1" applyBorder="1" applyAlignment="1">
      <alignment vertical="center"/>
    </xf>
    <xf numFmtId="0" fontId="6" fillId="0" borderId="8" xfId="14" applyFont="1" applyFill="1" applyBorder="1" applyAlignment="1">
      <alignment horizontal="center" vertical="center"/>
    </xf>
    <xf numFmtId="0" fontId="4" fillId="0" borderId="8" xfId="14" applyFont="1" applyFill="1" applyBorder="1" applyAlignment="1">
      <alignment horizontal="center"/>
    </xf>
    <xf numFmtId="0" fontId="4" fillId="0" borderId="8" xfId="14" applyFont="1" applyBorder="1" applyAlignment="1">
      <alignment horizontal="justify" vertical="center"/>
    </xf>
    <xf numFmtId="0" fontId="6" fillId="0" borderId="8" xfId="14" applyFont="1" applyFill="1" applyBorder="1" applyAlignment="1">
      <alignment vertical="center"/>
    </xf>
    <xf numFmtId="170" fontId="6" fillId="0" borderId="8" xfId="14" applyNumberFormat="1" applyFont="1" applyFill="1" applyBorder="1" applyAlignment="1">
      <alignment horizontal="center" vertical="center"/>
    </xf>
    <xf numFmtId="0" fontId="4" fillId="0" borderId="8" xfId="14" applyFont="1" applyFill="1" applyBorder="1" applyAlignment="1">
      <alignment horizontal="center" vertical="center"/>
    </xf>
    <xf numFmtId="0" fontId="3" fillId="0" borderId="8" xfId="14" applyFont="1" applyFill="1" applyBorder="1" applyAlignment="1">
      <alignment horizontal="center" vertical="center"/>
    </xf>
    <xf numFmtId="0" fontId="3" fillId="7" borderId="8" xfId="14" applyFont="1" applyFill="1" applyBorder="1" applyAlignment="1">
      <alignment horizontal="center" vertical="center"/>
    </xf>
    <xf numFmtId="1" fontId="3" fillId="0" borderId="8" xfId="14" applyNumberFormat="1" applyFont="1" applyFill="1" applyBorder="1" applyAlignment="1">
      <alignment horizontal="center" vertical="center"/>
    </xf>
    <xf numFmtId="1" fontId="3" fillId="0" borderId="8" xfId="14" applyNumberFormat="1" applyFont="1" applyFill="1" applyBorder="1" applyAlignment="1"/>
    <xf numFmtId="0" fontId="3" fillId="0" borderId="8" xfId="14" applyFont="1" applyFill="1" applyBorder="1" applyAlignment="1"/>
    <xf numFmtId="0" fontId="7" fillId="2" borderId="2" xfId="11" applyFont="1" applyFill="1" applyBorder="1" applyAlignment="1">
      <alignment horizontal="center" vertical="center" wrapText="1"/>
    </xf>
    <xf numFmtId="166" fontId="7" fillId="3" borderId="2" xfId="11" applyNumberFormat="1" applyFont="1" applyFill="1" applyBorder="1" applyAlignment="1">
      <alignment horizontal="center" vertical="center" wrapText="1"/>
    </xf>
    <xf numFmtId="166" fontId="7" fillId="2" borderId="2" xfId="11" applyNumberFormat="1" applyFont="1" applyFill="1" applyBorder="1" applyAlignment="1">
      <alignment horizontal="center" vertical="center" wrapText="1"/>
    </xf>
    <xf numFmtId="3" fontId="10" fillId="4" borderId="2" xfId="0" applyNumberFormat="1" applyFont="1" applyFill="1" applyBorder="1" applyAlignment="1">
      <alignment horizontal="center" vertical="center" wrapText="1"/>
    </xf>
    <xf numFmtId="4" fontId="8" fillId="4" borderId="2" xfId="36" applyNumberFormat="1" applyFont="1" applyFill="1" applyBorder="1" applyAlignment="1">
      <alignment horizontal="center" vertical="center" wrapText="1"/>
    </xf>
    <xf numFmtId="4" fontId="8" fillId="4" borderId="2" xfId="35" applyNumberFormat="1" applyFont="1" applyFill="1" applyBorder="1" applyAlignment="1">
      <alignment horizontal="center" vertical="center" wrapText="1"/>
    </xf>
    <xf numFmtId="3" fontId="7" fillId="4" borderId="2" xfId="35" applyNumberFormat="1" applyFont="1" applyFill="1" applyBorder="1" applyAlignment="1">
      <alignment horizontal="right" vertical="center" wrapText="1"/>
    </xf>
    <xf numFmtId="4" fontId="8" fillId="4" borderId="2" xfId="35" applyNumberFormat="1" applyFont="1" applyFill="1" applyBorder="1" applyAlignment="1">
      <alignment horizontal="right" vertical="center" wrapText="1"/>
    </xf>
    <xf numFmtId="1" fontId="8" fillId="4" borderId="2" xfId="35" applyNumberFormat="1" applyFont="1" applyFill="1" applyBorder="1" applyAlignment="1">
      <alignment horizontal="right" vertical="center" wrapText="1"/>
    </xf>
    <xf numFmtId="1" fontId="7" fillId="4" borderId="2" xfId="35" applyNumberFormat="1" applyFont="1" applyFill="1" applyBorder="1" applyAlignment="1">
      <alignment horizontal="right" vertical="center" wrapText="1"/>
    </xf>
    <xf numFmtId="4" fontId="7" fillId="4" borderId="2" xfId="35" applyNumberFormat="1" applyFont="1" applyFill="1" applyBorder="1" applyAlignment="1">
      <alignment horizontal="right" vertical="center" wrapText="1"/>
    </xf>
    <xf numFmtId="1" fontId="8" fillId="4" borderId="2" xfId="35" applyNumberFormat="1" applyFont="1" applyFill="1" applyBorder="1" applyAlignment="1">
      <alignment horizontal="justify" vertical="center" wrapText="1"/>
    </xf>
    <xf numFmtId="3" fontId="10" fillId="5" borderId="2" xfId="0" applyNumberFormat="1" applyFont="1" applyFill="1" applyBorder="1" applyAlignment="1">
      <alignment horizontal="center" vertical="center" wrapText="1"/>
    </xf>
    <xf numFmtId="4" fontId="8" fillId="5" borderId="2" xfId="36" applyNumberFormat="1" applyFont="1" applyFill="1" applyBorder="1" applyAlignment="1">
      <alignment horizontal="center" vertical="center" wrapText="1"/>
    </xf>
    <xf numFmtId="4" fontId="10" fillId="5" borderId="2" xfId="36" applyNumberFormat="1" applyFont="1" applyFill="1" applyBorder="1" applyAlignment="1">
      <alignment horizontal="center" vertical="center" wrapText="1"/>
    </xf>
    <xf numFmtId="3" fontId="10" fillId="5" borderId="2" xfId="36" applyNumberFormat="1" applyFont="1" applyFill="1" applyBorder="1" applyAlignment="1">
      <alignment horizontal="right" vertical="center" wrapText="1"/>
    </xf>
    <xf numFmtId="4" fontId="10" fillId="5" borderId="2" xfId="36" applyNumberFormat="1" applyFont="1" applyFill="1" applyBorder="1" applyAlignment="1">
      <alignment horizontal="right" vertical="center" wrapText="1"/>
    </xf>
    <xf numFmtId="1" fontId="10" fillId="5" borderId="2" xfId="36" applyNumberFormat="1" applyFont="1" applyFill="1" applyBorder="1" applyAlignment="1">
      <alignment horizontal="right" vertical="center" wrapText="1"/>
    </xf>
    <xf numFmtId="1" fontId="8" fillId="5" borderId="2" xfId="36" applyNumberFormat="1" applyFont="1" applyFill="1" applyBorder="1" applyAlignment="1">
      <alignment horizontal="right" vertical="center" wrapText="1"/>
    </xf>
    <xf numFmtId="4" fontId="7" fillId="5" borderId="2" xfId="37" applyNumberFormat="1" applyFont="1" applyFill="1" applyBorder="1" applyAlignment="1">
      <alignment horizontal="right" vertical="center" wrapText="1"/>
    </xf>
    <xf numFmtId="1" fontId="8" fillId="5" borderId="2" xfId="37" applyNumberFormat="1" applyFont="1" applyFill="1" applyBorder="1" applyAlignment="1">
      <alignment horizontal="justify" vertical="center" wrapText="1"/>
    </xf>
    <xf numFmtId="3" fontId="10" fillId="2" borderId="2" xfId="0" applyNumberFormat="1" applyFont="1" applyFill="1" applyBorder="1" applyAlignment="1">
      <alignment horizontal="center" vertical="center" wrapText="1"/>
    </xf>
    <xf numFmtId="4" fontId="8" fillId="2" borderId="2" xfId="36" applyNumberFormat="1" applyFont="1" applyFill="1" applyBorder="1" applyAlignment="1">
      <alignment horizontal="center" vertical="center" wrapText="1"/>
    </xf>
    <xf numFmtId="4" fontId="10" fillId="2" borderId="2" xfId="36" applyNumberFormat="1" applyFont="1" applyFill="1" applyBorder="1" applyAlignment="1">
      <alignment horizontal="center" vertical="center" wrapText="1"/>
    </xf>
    <xf numFmtId="3" fontId="10" fillId="2" borderId="2" xfId="36" applyNumberFormat="1" applyFont="1" applyFill="1" applyBorder="1" applyAlignment="1">
      <alignment horizontal="right" vertical="center" wrapText="1"/>
    </xf>
    <xf numFmtId="4" fontId="10" fillId="2" borderId="2" xfId="36" applyNumberFormat="1" applyFont="1" applyFill="1" applyBorder="1" applyAlignment="1">
      <alignment horizontal="right" vertical="center" wrapText="1"/>
    </xf>
    <xf numFmtId="1" fontId="10" fillId="2" borderId="2" xfId="36" applyNumberFormat="1" applyFont="1" applyFill="1" applyBorder="1" applyAlignment="1">
      <alignment horizontal="right" vertical="center" wrapText="1"/>
    </xf>
    <xf numFmtId="1" fontId="8" fillId="2" borderId="2" xfId="36" applyNumberFormat="1" applyFont="1" applyFill="1" applyBorder="1" applyAlignment="1">
      <alignment horizontal="right" vertical="center" wrapText="1"/>
    </xf>
    <xf numFmtId="4" fontId="7" fillId="2" borderId="2" xfId="37" applyNumberFormat="1" applyFont="1" applyFill="1" applyBorder="1" applyAlignment="1">
      <alignment horizontal="right" vertical="center" wrapText="1"/>
    </xf>
    <xf numFmtId="1" fontId="8" fillId="2" borderId="2" xfId="37" applyNumberFormat="1" applyFont="1" applyFill="1" applyBorder="1" applyAlignment="1">
      <alignment horizontal="justify" vertical="center" wrapText="1"/>
    </xf>
    <xf numFmtId="3" fontId="10" fillId="6" borderId="2" xfId="0" applyNumberFormat="1" applyFont="1" applyFill="1" applyBorder="1" applyAlignment="1">
      <alignment horizontal="center" vertical="center" wrapText="1"/>
    </xf>
    <xf numFmtId="4" fontId="8" fillId="6" borderId="2" xfId="36" applyNumberFormat="1" applyFont="1" applyFill="1" applyBorder="1" applyAlignment="1">
      <alignment horizontal="center" vertical="center" wrapText="1"/>
    </xf>
    <xf numFmtId="4" fontId="10" fillId="6" borderId="2" xfId="36" applyNumberFormat="1" applyFont="1" applyFill="1" applyBorder="1" applyAlignment="1">
      <alignment horizontal="center" vertical="center" wrapText="1"/>
    </xf>
    <xf numFmtId="4" fontId="8" fillId="6" borderId="2" xfId="37" applyNumberFormat="1" applyFont="1" applyFill="1" applyBorder="1" applyAlignment="1">
      <alignment horizontal="center" vertical="center" wrapText="1"/>
    </xf>
    <xf numFmtId="3" fontId="8" fillId="6" borderId="2" xfId="37" applyNumberFormat="1" applyFont="1" applyFill="1" applyBorder="1" applyAlignment="1">
      <alignment horizontal="right" vertical="center" wrapText="1"/>
    </xf>
    <xf numFmtId="4" fontId="8" fillId="6" borderId="2" xfId="37" applyNumberFormat="1" applyFont="1" applyFill="1" applyBorder="1" applyAlignment="1">
      <alignment horizontal="right" vertical="center" wrapText="1"/>
    </xf>
    <xf numFmtId="4" fontId="8" fillId="6" borderId="2" xfId="36" applyNumberFormat="1" applyFont="1" applyFill="1" applyBorder="1" applyAlignment="1">
      <alignment horizontal="right" vertical="center" wrapText="1"/>
    </xf>
    <xf numFmtId="4" fontId="8" fillId="6" borderId="2" xfId="8" applyNumberFormat="1" applyFont="1" applyFill="1" applyBorder="1" applyAlignment="1">
      <alignment horizontal="right" vertical="center" wrapText="1"/>
    </xf>
    <xf numFmtId="1" fontId="8" fillId="6" borderId="2" xfId="37" applyNumberFormat="1" applyFont="1" applyFill="1" applyBorder="1" applyAlignment="1">
      <alignment horizontal="justify" vertical="center" wrapText="1"/>
    </xf>
    <xf numFmtId="3" fontId="10" fillId="0" borderId="2" xfId="0" applyNumberFormat="1" applyFont="1" applyFill="1" applyBorder="1" applyAlignment="1">
      <alignment horizontal="center" vertical="center" wrapText="1"/>
    </xf>
    <xf numFmtId="4" fontId="8" fillId="0" borderId="2" xfId="36" applyNumberFormat="1" applyFont="1" applyFill="1" applyBorder="1" applyAlignment="1">
      <alignment horizontal="center" vertical="center" wrapText="1"/>
    </xf>
    <xf numFmtId="4" fontId="10" fillId="0" borderId="2" xfId="36" applyNumberFormat="1" applyFont="1" applyFill="1" applyBorder="1" applyAlignment="1">
      <alignment horizontal="center" vertical="center" wrapText="1"/>
    </xf>
    <xf numFmtId="3" fontId="42" fillId="0" borderId="2" xfId="37" applyNumberFormat="1" applyFont="1" applyFill="1" applyBorder="1" applyAlignment="1">
      <alignment horizontal="center" vertical="center" wrapText="1"/>
    </xf>
    <xf numFmtId="3" fontId="10" fillId="0" borderId="2" xfId="37" applyNumberFormat="1" applyFont="1" applyFill="1" applyBorder="1" applyAlignment="1">
      <alignment horizontal="center" vertical="center" wrapText="1"/>
    </xf>
    <xf numFmtId="3" fontId="10" fillId="0" borderId="2" xfId="37" applyNumberFormat="1" applyFont="1" applyFill="1" applyBorder="1" applyAlignment="1">
      <alignment horizontal="right" vertical="center" wrapText="1"/>
    </xf>
    <xf numFmtId="3" fontId="8" fillId="0" borderId="2" xfId="37" applyNumberFormat="1" applyFont="1" applyFill="1" applyBorder="1" applyAlignment="1">
      <alignment horizontal="center" vertical="center" wrapText="1"/>
    </xf>
    <xf numFmtId="3" fontId="8" fillId="0" borderId="2" xfId="36" applyNumberFormat="1" applyFont="1" applyFill="1" applyBorder="1" applyAlignment="1">
      <alignment horizontal="center" vertical="center" wrapText="1"/>
    </xf>
    <xf numFmtId="3" fontId="8" fillId="0" borderId="2" xfId="8" applyNumberFormat="1" applyFont="1" applyFill="1" applyBorder="1" applyAlignment="1">
      <alignment horizontal="center" vertical="center" wrapText="1"/>
    </xf>
    <xf numFmtId="3" fontId="8" fillId="0" borderId="2" xfId="37" applyNumberFormat="1" applyFont="1" applyFill="1" applyBorder="1" applyAlignment="1">
      <alignment horizontal="justify" vertical="center" wrapText="1"/>
    </xf>
    <xf numFmtId="3" fontId="42" fillId="0" borderId="2" xfId="37" applyNumberFormat="1" applyFont="1" applyFill="1" applyBorder="1" applyAlignment="1">
      <alignment horizontal="justify" vertical="center" wrapText="1"/>
    </xf>
    <xf numFmtId="1" fontId="8" fillId="0" borderId="2" xfId="37" applyNumberFormat="1" applyFont="1" applyFill="1" applyBorder="1" applyAlignment="1">
      <alignment horizontal="justify" vertical="center" wrapText="1"/>
    </xf>
    <xf numFmtId="4" fontId="8" fillId="0" borderId="2" xfId="37" applyNumberFormat="1" applyFont="1" applyFill="1" applyBorder="1" applyAlignment="1">
      <alignment horizontal="center" vertical="center" wrapText="1"/>
    </xf>
    <xf numFmtId="4" fontId="8" fillId="0" borderId="2" xfId="38" applyNumberFormat="1" applyFont="1" applyFill="1" applyBorder="1" applyAlignment="1">
      <alignment horizontal="center" vertical="center" wrapText="1"/>
    </xf>
    <xf numFmtId="4" fontId="8" fillId="2" borderId="2" xfId="37" applyNumberFormat="1" applyFont="1" applyFill="1" applyBorder="1" applyAlignment="1">
      <alignment horizontal="center" vertical="center" wrapText="1"/>
    </xf>
    <xf numFmtId="4" fontId="8" fillId="2" borderId="2" xfId="38" applyNumberFormat="1" applyFont="1" applyFill="1" applyBorder="1" applyAlignment="1">
      <alignment horizontal="center" vertical="center" wrapText="1"/>
    </xf>
    <xf numFmtId="3" fontId="8" fillId="2" borderId="2" xfId="37" applyNumberFormat="1" applyFont="1" applyFill="1" applyBorder="1" applyAlignment="1">
      <alignment horizontal="right" vertical="center" wrapText="1"/>
    </xf>
    <xf numFmtId="3" fontId="10" fillId="2" borderId="2" xfId="37" applyNumberFormat="1" applyFont="1" applyFill="1" applyBorder="1" applyAlignment="1">
      <alignment horizontal="right" vertical="center" wrapText="1"/>
    </xf>
    <xf numFmtId="4" fontId="10" fillId="2" borderId="2" xfId="37" applyNumberFormat="1" applyFont="1" applyFill="1" applyBorder="1" applyAlignment="1">
      <alignment horizontal="right" vertical="center" wrapText="1"/>
    </xf>
    <xf numFmtId="4" fontId="8" fillId="2" borderId="2" xfId="37" applyNumberFormat="1" applyFont="1" applyFill="1" applyBorder="1" applyAlignment="1">
      <alignment horizontal="right" vertical="center" wrapText="1"/>
    </xf>
    <xf numFmtId="4" fontId="8" fillId="2" borderId="2" xfId="8" applyNumberFormat="1" applyFont="1" applyFill="1" applyBorder="1" applyAlignment="1">
      <alignment horizontal="right" vertical="center" wrapText="1"/>
    </xf>
    <xf numFmtId="4" fontId="8" fillId="6" borderId="2" xfId="38" applyNumberFormat="1" applyFont="1" applyFill="1" applyBorder="1" applyAlignment="1">
      <alignment horizontal="center" vertical="center" wrapText="1"/>
    </xf>
    <xf numFmtId="3" fontId="10" fillId="6" borderId="2" xfId="37" applyNumberFormat="1" applyFont="1" applyFill="1" applyBorder="1" applyAlignment="1">
      <alignment horizontal="right" vertical="center" wrapText="1"/>
    </xf>
    <xf numFmtId="4" fontId="10" fillId="6" borderId="2" xfId="37" applyNumberFormat="1" applyFont="1" applyFill="1" applyBorder="1" applyAlignment="1">
      <alignment horizontal="right" vertical="center" wrapText="1"/>
    </xf>
    <xf numFmtId="1" fontId="8" fillId="6" borderId="2" xfId="37" applyNumberFormat="1" applyFont="1" applyFill="1" applyBorder="1" applyAlignment="1">
      <alignment horizontal="center" vertical="center" wrapText="1"/>
    </xf>
    <xf numFmtId="1" fontId="42" fillId="0" borderId="2" xfId="39" applyNumberFormat="1" applyFont="1" applyFill="1" applyBorder="1" applyAlignment="1">
      <alignment horizontal="center" vertical="center" wrapText="1"/>
    </xf>
    <xf numFmtId="1" fontId="10" fillId="0" borderId="2" xfId="37" applyNumberFormat="1" applyFont="1" applyFill="1" applyBorder="1" applyAlignment="1">
      <alignment horizontal="center" vertical="center" wrapText="1"/>
    </xf>
    <xf numFmtId="3" fontId="7" fillId="0" borderId="2" xfId="36" applyNumberFormat="1" applyFont="1" applyFill="1" applyBorder="1" applyAlignment="1">
      <alignment horizontal="justify" vertical="center" wrapText="1"/>
    </xf>
    <xf numFmtId="3" fontId="43" fillId="0" borderId="2" xfId="36" applyNumberFormat="1" applyFont="1" applyFill="1" applyBorder="1" applyAlignment="1">
      <alignment horizontal="justify" vertical="center" wrapText="1"/>
    </xf>
    <xf numFmtId="3" fontId="10" fillId="6" borderId="2" xfId="36" applyNumberFormat="1" applyFont="1" applyFill="1" applyBorder="1" applyAlignment="1">
      <alignment horizontal="right" vertical="center" wrapText="1"/>
    </xf>
    <xf numFmtId="3" fontId="8" fillId="6" borderId="2" xfId="36" applyNumberFormat="1" applyFont="1" applyFill="1" applyBorder="1" applyAlignment="1">
      <alignment horizontal="right" vertical="center" wrapText="1"/>
    </xf>
    <xf numFmtId="4" fontId="7" fillId="6" borderId="2" xfId="37" applyNumberFormat="1" applyFont="1" applyFill="1" applyBorder="1" applyAlignment="1">
      <alignment horizontal="right" vertical="center" wrapText="1"/>
    </xf>
    <xf numFmtId="3" fontId="42" fillId="0" borderId="2" xfId="36" applyNumberFormat="1" applyFont="1" applyFill="1" applyBorder="1" applyAlignment="1">
      <alignment horizontal="center" vertical="center" wrapText="1"/>
    </xf>
    <xf numFmtId="3" fontId="8" fillId="0" borderId="2" xfId="35" applyNumberFormat="1" applyFont="1" applyFill="1" applyBorder="1" applyAlignment="1">
      <alignment horizontal="center" vertical="center" wrapText="1"/>
    </xf>
    <xf numFmtId="3" fontId="8" fillId="0" borderId="2" xfId="40" applyNumberFormat="1" applyFont="1" applyFill="1" applyBorder="1" applyAlignment="1">
      <alignment horizontal="center" vertical="center" wrapText="1"/>
    </xf>
    <xf numFmtId="3" fontId="42" fillId="0" borderId="2" xfId="41" applyNumberFormat="1" applyFont="1" applyFill="1" applyBorder="1" applyAlignment="1">
      <alignment horizontal="justify" vertical="center" wrapText="1"/>
    </xf>
    <xf numFmtId="1" fontId="42" fillId="0" borderId="2" xfId="41" applyNumberFormat="1" applyFont="1" applyFill="1" applyBorder="1" applyAlignment="1">
      <alignment horizontal="justify" vertical="center" wrapText="1"/>
    </xf>
    <xf numFmtId="4" fontId="8" fillId="6" borderId="2" xfId="41" applyNumberFormat="1" applyFont="1" applyFill="1" applyBorder="1" applyAlignment="1">
      <alignment horizontal="right" vertical="center" wrapText="1"/>
    </xf>
    <xf numFmtId="1" fontId="8" fillId="6" borderId="2" xfId="41" applyNumberFormat="1" applyFont="1" applyFill="1" applyBorder="1" applyAlignment="1">
      <alignment horizontal="justify" vertical="center" wrapText="1"/>
    </xf>
    <xf numFmtId="1" fontId="8" fillId="6" borderId="2" xfId="36" applyNumberFormat="1" applyFont="1" applyFill="1" applyBorder="1" applyAlignment="1">
      <alignment horizontal="justify" vertical="center" wrapText="1"/>
    </xf>
    <xf numFmtId="3" fontId="29" fillId="6" borderId="2" xfId="36" applyNumberFormat="1" applyFont="1" applyFill="1" applyBorder="1" applyAlignment="1">
      <alignment horizontal="right" vertical="center" wrapText="1"/>
    </xf>
    <xf numFmtId="4" fontId="29" fillId="6" borderId="2" xfId="36" applyNumberFormat="1" applyFont="1" applyFill="1" applyBorder="1" applyAlignment="1">
      <alignment horizontal="right" vertical="center" wrapText="1"/>
    </xf>
    <xf numFmtId="1" fontId="8" fillId="6" borderId="2" xfId="36" applyNumberFormat="1" applyFont="1" applyFill="1" applyBorder="1" applyAlignment="1">
      <alignment horizontal="center" vertical="center" wrapText="1"/>
    </xf>
    <xf numFmtId="1" fontId="8" fillId="6" borderId="2" xfId="36" applyNumberFormat="1" applyFont="1" applyFill="1" applyBorder="1" applyAlignment="1">
      <alignment horizontal="right" vertical="center" wrapText="1"/>
    </xf>
    <xf numFmtId="1" fontId="8" fillId="6" borderId="2" xfId="40" applyNumberFormat="1" applyFont="1" applyFill="1" applyBorder="1" applyAlignment="1">
      <alignment horizontal="right" vertical="center" wrapText="1"/>
    </xf>
    <xf numFmtId="4" fontId="44" fillId="6" borderId="2" xfId="36" applyNumberFormat="1" applyFont="1" applyFill="1" applyBorder="1" applyAlignment="1">
      <alignment horizontal="right" vertical="center" wrapText="1"/>
    </xf>
    <xf numFmtId="4" fontId="29" fillId="6" borderId="2" xfId="41" applyNumberFormat="1" applyFont="1" applyFill="1" applyBorder="1" applyAlignment="1">
      <alignment horizontal="right" vertical="center" wrapText="1"/>
    </xf>
    <xf numFmtId="0" fontId="8" fillId="6" borderId="2" xfId="41" applyFont="1" applyFill="1" applyBorder="1" applyAlignment="1">
      <alignment horizontal="justify" vertical="center" wrapText="1"/>
    </xf>
    <xf numFmtId="3" fontId="29" fillId="0" borderId="2" xfId="36" applyNumberFormat="1" applyFont="1" applyFill="1" applyBorder="1" applyAlignment="1">
      <alignment horizontal="right" vertical="center" wrapText="1"/>
    </xf>
    <xf numFmtId="1" fontId="8" fillId="0" borderId="2" xfId="36" applyNumberFormat="1" applyFont="1" applyFill="1" applyBorder="1" applyAlignment="1">
      <alignment horizontal="center" vertical="center" wrapText="1"/>
    </xf>
    <xf numFmtId="1" fontId="8" fillId="0" borderId="2" xfId="40" applyNumberFormat="1" applyFont="1" applyFill="1" applyBorder="1" applyAlignment="1">
      <alignment horizontal="center" vertical="center" wrapText="1"/>
    </xf>
    <xf numFmtId="3" fontId="44" fillId="0" borderId="2" xfId="36" applyNumberFormat="1" applyFont="1" applyFill="1" applyBorder="1" applyAlignment="1">
      <alignment horizontal="right" vertical="center" wrapText="1"/>
    </xf>
    <xf numFmtId="3" fontId="29" fillId="0" borderId="2" xfId="41" applyNumberFormat="1" applyFont="1" applyFill="1" applyBorder="1" applyAlignment="1">
      <alignment vertical="center" wrapText="1"/>
    </xf>
    <xf numFmtId="0" fontId="8" fillId="0" borderId="2" xfId="41" applyFont="1" applyFill="1" applyBorder="1" applyAlignment="1">
      <alignment horizontal="justify" vertical="center" wrapText="1"/>
    </xf>
    <xf numFmtId="4" fontId="8" fillId="6" borderId="2" xfId="11" applyNumberFormat="1" applyFont="1" applyFill="1" applyBorder="1" applyAlignment="1">
      <alignment horizontal="center" vertical="center" wrapText="1"/>
    </xf>
    <xf numFmtId="3" fontId="8" fillId="6" borderId="2" xfId="11" applyNumberFormat="1" applyFont="1" applyFill="1" applyBorder="1" applyAlignment="1">
      <alignment horizontal="right" vertical="center" wrapText="1"/>
    </xf>
    <xf numFmtId="4" fontId="8" fillId="6" borderId="2" xfId="11" applyNumberFormat="1" applyFont="1" applyFill="1" applyBorder="1" applyAlignment="1">
      <alignment horizontal="right" vertical="center" wrapText="1"/>
    </xf>
    <xf numFmtId="1" fontId="8" fillId="6" borderId="2" xfId="11" applyNumberFormat="1" applyFont="1" applyFill="1" applyBorder="1" applyAlignment="1">
      <alignment horizontal="right" vertical="center" wrapText="1"/>
    </xf>
    <xf numFmtId="1" fontId="8" fillId="6" borderId="2" xfId="11" applyNumberFormat="1" applyFont="1" applyFill="1" applyBorder="1" applyAlignment="1">
      <alignment horizontal="justify" vertical="center" wrapText="1"/>
    </xf>
    <xf numFmtId="3" fontId="42" fillId="0" borderId="2" xfId="11" applyNumberFormat="1" applyFont="1" applyFill="1" applyBorder="1" applyAlignment="1">
      <alignment horizontal="center" vertical="center" wrapText="1"/>
    </xf>
    <xf numFmtId="3" fontId="8" fillId="0" borderId="2" xfId="11" applyNumberFormat="1" applyFont="1" applyFill="1" applyBorder="1" applyAlignment="1">
      <alignment horizontal="center" vertical="center" wrapText="1"/>
    </xf>
    <xf numFmtId="3" fontId="8" fillId="0" borderId="2" xfId="11" applyNumberFormat="1" applyFont="1" applyFill="1" applyBorder="1" applyAlignment="1">
      <alignment horizontal="justify" vertical="center" wrapText="1"/>
    </xf>
    <xf numFmtId="3" fontId="42" fillId="0" borderId="2" xfId="11" applyNumberFormat="1" applyFont="1" applyFill="1" applyBorder="1" applyAlignment="1">
      <alignment horizontal="justify" vertical="center" wrapText="1"/>
    </xf>
    <xf numFmtId="4" fontId="8" fillId="2" borderId="2" xfId="36" applyNumberFormat="1" applyFont="1" applyFill="1" applyBorder="1" applyAlignment="1">
      <alignment horizontal="right" vertical="center" wrapText="1"/>
    </xf>
    <xf numFmtId="3" fontId="8" fillId="2" borderId="2" xfId="36" applyNumberFormat="1" applyFont="1" applyFill="1" applyBorder="1" applyAlignment="1">
      <alignment horizontal="right" vertical="center" wrapText="1"/>
    </xf>
    <xf numFmtId="4" fontId="7" fillId="2" borderId="2" xfId="36" applyNumberFormat="1" applyFont="1" applyFill="1" applyBorder="1" applyAlignment="1">
      <alignment horizontal="right" vertical="center" wrapText="1"/>
    </xf>
    <xf numFmtId="1" fontId="8" fillId="2" borderId="2" xfId="36" applyNumberFormat="1" applyFont="1" applyFill="1" applyBorder="1" applyAlignment="1">
      <alignment horizontal="justify" vertical="center" wrapText="1"/>
    </xf>
    <xf numFmtId="4" fontId="10" fillId="6" borderId="2" xfId="36" applyNumberFormat="1" applyFont="1" applyFill="1" applyBorder="1" applyAlignment="1">
      <alignment horizontal="right" vertical="center" wrapText="1"/>
    </xf>
    <xf numFmtId="4" fontId="7" fillId="6" borderId="2" xfId="36" applyNumberFormat="1" applyFont="1" applyFill="1" applyBorder="1" applyAlignment="1">
      <alignment horizontal="right" vertical="center" wrapText="1"/>
    </xf>
    <xf numFmtId="3" fontId="42" fillId="0" borderId="2" xfId="41" applyNumberFormat="1" applyFont="1" applyFill="1" applyBorder="1" applyAlignment="1">
      <alignment horizontal="center" vertical="center" wrapText="1"/>
    </xf>
    <xf numFmtId="3" fontId="7" fillId="0" borderId="2" xfId="41" applyNumberFormat="1" applyFont="1" applyFill="1" applyBorder="1" applyAlignment="1">
      <alignment horizontal="center" vertical="center" wrapText="1"/>
    </xf>
    <xf numFmtId="3" fontId="8" fillId="0" borderId="2" xfId="41" applyNumberFormat="1" applyFont="1" applyFill="1" applyBorder="1" applyAlignment="1">
      <alignment horizontal="center" vertical="center" wrapText="1"/>
    </xf>
    <xf numFmtId="3" fontId="45" fillId="6" borderId="2" xfId="11" applyNumberFormat="1" applyFont="1" applyFill="1" applyBorder="1" applyAlignment="1">
      <alignment horizontal="right" vertical="center" wrapText="1"/>
    </xf>
    <xf numFmtId="3" fontId="8" fillId="6" borderId="2" xfId="41" applyNumberFormat="1" applyFont="1" applyFill="1" applyBorder="1" applyAlignment="1">
      <alignment horizontal="right" vertical="center" wrapText="1"/>
    </xf>
    <xf numFmtId="4" fontId="8" fillId="0" borderId="2" xfId="11" applyNumberFormat="1" applyFont="1" applyFill="1" applyBorder="1" applyAlignment="1">
      <alignment horizontal="center" vertical="center" wrapText="1"/>
    </xf>
    <xf numFmtId="3" fontId="45" fillId="2" borderId="2" xfId="11" applyNumberFormat="1" applyFont="1" applyFill="1" applyBorder="1" applyAlignment="1">
      <alignment horizontal="right" vertical="center" wrapText="1"/>
    </xf>
    <xf numFmtId="3" fontId="8" fillId="2" borderId="2" xfId="41" applyNumberFormat="1" applyFont="1" applyFill="1" applyBorder="1" applyAlignment="1">
      <alignment horizontal="right" vertical="center" wrapText="1"/>
    </xf>
    <xf numFmtId="1" fontId="8" fillId="2" borderId="2" xfId="41" applyNumberFormat="1" applyFont="1" applyFill="1" applyBorder="1" applyAlignment="1">
      <alignment horizontal="right" vertical="center" wrapText="1"/>
    </xf>
    <xf numFmtId="1" fontId="8" fillId="2" borderId="2" xfId="11" applyNumberFormat="1" applyFont="1" applyFill="1" applyBorder="1" applyAlignment="1">
      <alignment horizontal="right" vertical="center" wrapText="1"/>
    </xf>
    <xf numFmtId="1" fontId="8" fillId="2" borderId="2" xfId="11" applyNumberFormat="1" applyFont="1" applyFill="1" applyBorder="1" applyAlignment="1">
      <alignment horizontal="justify" vertical="center" wrapText="1"/>
    </xf>
    <xf numFmtId="3" fontId="23" fillId="0" borderId="2" xfId="36" applyNumberFormat="1" applyFont="1" applyFill="1" applyBorder="1" applyAlignment="1">
      <alignment horizontal="center" vertical="center" wrapText="1"/>
    </xf>
    <xf numFmtId="1" fontId="10" fillId="0" borderId="2" xfId="36" applyNumberFormat="1" applyFont="1" applyFill="1" applyBorder="1" applyAlignment="1">
      <alignment horizontal="center" vertical="center" wrapText="1"/>
    </xf>
    <xf numFmtId="3" fontId="10" fillId="0" borderId="2" xfId="36" applyNumberFormat="1" applyFont="1" applyFill="1" applyBorder="1" applyAlignment="1">
      <alignment horizontal="justify" vertical="center" wrapText="1"/>
    </xf>
    <xf numFmtId="3" fontId="23" fillId="0" borderId="2" xfId="36" applyNumberFormat="1" applyFont="1" applyFill="1" applyBorder="1" applyAlignment="1">
      <alignment horizontal="justify" vertical="center" wrapText="1"/>
    </xf>
    <xf numFmtId="3" fontId="46" fillId="0" borderId="2" xfId="11" applyNumberFormat="1" applyFont="1" applyFill="1" applyBorder="1" applyAlignment="1">
      <alignment horizontal="center" vertical="center" wrapText="1"/>
    </xf>
    <xf numFmtId="1" fontId="10" fillId="6" borderId="2" xfId="36" applyNumberFormat="1" applyFont="1" applyFill="1" applyBorder="1" applyAlignment="1">
      <alignment horizontal="justify" vertical="center" wrapText="1"/>
    </xf>
    <xf numFmtId="4" fontId="8" fillId="2" borderId="2" xfId="40" applyNumberFormat="1" applyFont="1" applyFill="1" applyBorder="1" applyAlignment="1">
      <alignment horizontal="right" vertical="center" wrapText="1"/>
    </xf>
    <xf numFmtId="4" fontId="8" fillId="2" borderId="2" xfId="41" applyNumberFormat="1" applyFont="1" applyFill="1" applyBorder="1" applyAlignment="1">
      <alignment horizontal="right" vertical="center" wrapText="1"/>
    </xf>
    <xf numFmtId="1" fontId="8" fillId="2" borderId="2" xfId="41" applyNumberFormat="1" applyFont="1" applyFill="1" applyBorder="1" applyAlignment="1">
      <alignment horizontal="justify" vertical="center" wrapText="1"/>
    </xf>
    <xf numFmtId="1" fontId="10" fillId="2" borderId="2" xfId="36" applyNumberFormat="1" applyFont="1" applyFill="1" applyBorder="1" applyAlignment="1">
      <alignment horizontal="justify" vertical="center" wrapText="1"/>
    </xf>
    <xf numFmtId="3" fontId="7" fillId="6" borderId="2" xfId="36" applyNumberFormat="1" applyFont="1" applyFill="1" applyBorder="1" applyAlignment="1">
      <alignment horizontal="right" vertical="center" wrapText="1"/>
    </xf>
    <xf numFmtId="4" fontId="10" fillId="0" borderId="2" xfId="42" applyNumberFormat="1" applyFont="1" applyFill="1" applyBorder="1" applyAlignment="1">
      <alignment horizontal="center" vertical="center" wrapText="1"/>
    </xf>
    <xf numFmtId="3" fontId="10" fillId="0" borderId="2" xfId="36" applyNumberFormat="1" applyFont="1" applyFill="1" applyBorder="1" applyAlignment="1">
      <alignment horizontal="center" vertical="center" wrapText="1"/>
    </xf>
    <xf numFmtId="0" fontId="8" fillId="0" borderId="2" xfId="26" applyFont="1" applyFill="1" applyBorder="1" applyAlignment="1">
      <alignment horizontal="justify" vertical="center" wrapText="1"/>
    </xf>
    <xf numFmtId="4" fontId="10" fillId="6" borderId="2" xfId="42" applyNumberFormat="1" applyFont="1" applyFill="1" applyBorder="1" applyAlignment="1">
      <alignment horizontal="center" vertical="center" wrapText="1"/>
    </xf>
    <xf numFmtId="3" fontId="10" fillId="6" borderId="2" xfId="42" applyNumberFormat="1" applyFont="1" applyFill="1" applyBorder="1" applyAlignment="1">
      <alignment horizontal="right" vertical="center" wrapText="1"/>
    </xf>
    <xf numFmtId="4" fontId="10" fillId="6" borderId="2" xfId="42" applyNumberFormat="1" applyFont="1" applyFill="1" applyBorder="1" applyAlignment="1">
      <alignment horizontal="right" vertical="center" wrapText="1"/>
    </xf>
    <xf numFmtId="1" fontId="10" fillId="6" borderId="2" xfId="42" applyNumberFormat="1" applyFont="1" applyFill="1" applyBorder="1" applyAlignment="1">
      <alignment horizontal="center" vertical="center" wrapText="1"/>
    </xf>
    <xf numFmtId="1" fontId="8" fillId="6" borderId="2" xfId="26" applyNumberFormat="1" applyFont="1" applyFill="1" applyBorder="1" applyAlignment="1">
      <alignment horizontal="center" vertical="center" wrapText="1"/>
    </xf>
    <xf numFmtId="1" fontId="8" fillId="6" borderId="2" xfId="40" applyNumberFormat="1" applyFont="1" applyFill="1" applyBorder="1" applyAlignment="1">
      <alignment horizontal="center" vertical="center" wrapText="1"/>
    </xf>
    <xf numFmtId="0" fontId="8" fillId="6" borderId="2" xfId="26" applyFont="1" applyFill="1" applyBorder="1" applyAlignment="1">
      <alignment horizontal="justify" vertical="center" wrapText="1"/>
    </xf>
    <xf numFmtId="4" fontId="10" fillId="2" borderId="2" xfId="42" applyNumberFormat="1" applyFont="1" applyFill="1" applyBorder="1" applyAlignment="1">
      <alignment horizontal="center" vertical="center" wrapText="1"/>
    </xf>
    <xf numFmtId="3" fontId="10" fillId="2" borderId="2" xfId="42" applyNumberFormat="1" applyFont="1" applyFill="1" applyBorder="1" applyAlignment="1">
      <alignment horizontal="right" vertical="center" wrapText="1"/>
    </xf>
    <xf numFmtId="4" fontId="10" fillId="2" borderId="2" xfId="42" applyNumberFormat="1" applyFont="1" applyFill="1" applyBorder="1" applyAlignment="1">
      <alignment horizontal="right" vertical="center" wrapText="1"/>
    </xf>
    <xf numFmtId="3" fontId="8" fillId="2" borderId="2" xfId="26" applyNumberFormat="1" applyFont="1" applyFill="1" applyBorder="1" applyAlignment="1">
      <alignment horizontal="right" vertical="center" wrapText="1"/>
    </xf>
    <xf numFmtId="4" fontId="8" fillId="2" borderId="2" xfId="26" applyNumberFormat="1" applyFont="1" applyFill="1" applyBorder="1" applyAlignment="1">
      <alignment horizontal="right" vertical="center" wrapText="1"/>
    </xf>
    <xf numFmtId="1" fontId="8" fillId="2" borderId="2" xfId="26" applyNumberFormat="1" applyFont="1" applyFill="1" applyBorder="1" applyAlignment="1">
      <alignment horizontal="center" vertical="center" wrapText="1"/>
    </xf>
    <xf numFmtId="1" fontId="8" fillId="2" borderId="2" xfId="36" applyNumberFormat="1" applyFont="1" applyFill="1" applyBorder="1" applyAlignment="1">
      <alignment horizontal="center" vertical="center" wrapText="1"/>
    </xf>
    <xf numFmtId="1" fontId="10" fillId="2" borderId="2" xfId="42" applyNumberFormat="1" applyFont="1" applyFill="1" applyBorder="1" applyAlignment="1">
      <alignment horizontal="center" vertical="center" wrapText="1"/>
    </xf>
    <xf numFmtId="1" fontId="8" fillId="2" borderId="2" xfId="40" applyNumberFormat="1" applyFont="1" applyFill="1" applyBorder="1" applyAlignment="1">
      <alignment horizontal="center" vertical="center" wrapText="1"/>
    </xf>
    <xf numFmtId="0" fontId="8" fillId="2" borderId="2" xfId="26" applyFont="1" applyFill="1" applyBorder="1" applyAlignment="1">
      <alignment horizontal="justify" vertical="center" wrapText="1"/>
    </xf>
    <xf numFmtId="3" fontId="8" fillId="6" borderId="2" xfId="26" applyNumberFormat="1" applyFont="1" applyFill="1" applyBorder="1" applyAlignment="1">
      <alignment horizontal="right" vertical="center" wrapText="1"/>
    </xf>
    <xf numFmtId="4" fontId="8" fillId="6" borderId="2" xfId="26" applyNumberFormat="1" applyFont="1" applyFill="1" applyBorder="1" applyAlignment="1">
      <alignment horizontal="right" vertical="center" wrapText="1"/>
    </xf>
    <xf numFmtId="1" fontId="8" fillId="6" borderId="2" xfId="43" applyNumberFormat="1" applyFont="1" applyFill="1" applyBorder="1" applyAlignment="1">
      <alignment horizontal="center" vertical="center" wrapText="1"/>
    </xf>
    <xf numFmtId="4" fontId="47" fillId="0" borderId="2" xfId="44" applyNumberFormat="1" applyFont="1" applyFill="1" applyBorder="1" applyAlignment="1">
      <alignment horizontal="center" vertical="center" wrapText="1"/>
    </xf>
    <xf numFmtId="4" fontId="47" fillId="0" borderId="2" xfId="36" applyNumberFormat="1" applyFont="1" applyFill="1" applyBorder="1" applyAlignment="1">
      <alignment horizontal="center" vertical="center" wrapText="1"/>
    </xf>
    <xf numFmtId="1" fontId="47" fillId="0" borderId="2" xfId="14" applyNumberFormat="1" applyFont="1" applyFill="1" applyBorder="1" applyAlignment="1">
      <alignment horizontal="justify" vertical="center" wrapText="1"/>
    </xf>
    <xf numFmtId="4" fontId="47" fillId="2" borderId="2" xfId="36" applyNumberFormat="1" applyFont="1" applyFill="1" applyBorder="1" applyAlignment="1">
      <alignment horizontal="center" vertical="center" wrapText="1"/>
    </xf>
    <xf numFmtId="4" fontId="47" fillId="2" borderId="2" xfId="39" applyNumberFormat="1" applyFont="1" applyFill="1" applyBorder="1" applyAlignment="1">
      <alignment horizontal="center" vertical="center" wrapText="1"/>
    </xf>
    <xf numFmtId="4" fontId="47" fillId="2" borderId="2" xfId="38" applyNumberFormat="1" applyFont="1" applyFill="1" applyBorder="1" applyAlignment="1">
      <alignment horizontal="center" vertical="center" wrapText="1"/>
    </xf>
    <xf numFmtId="3" fontId="47" fillId="2" borderId="2" xfId="39" applyNumberFormat="1" applyFont="1" applyFill="1" applyBorder="1" applyAlignment="1">
      <alignment horizontal="right" vertical="center" wrapText="1"/>
    </xf>
    <xf numFmtId="4" fontId="47" fillId="2" borderId="2" xfId="39" applyNumberFormat="1" applyFont="1" applyFill="1" applyBorder="1" applyAlignment="1">
      <alignment horizontal="right" vertical="center" wrapText="1"/>
    </xf>
    <xf numFmtId="4" fontId="47" fillId="2" borderId="2" xfId="36" applyNumberFormat="1" applyFont="1" applyFill="1" applyBorder="1" applyAlignment="1">
      <alignment horizontal="right" vertical="center" wrapText="1"/>
    </xf>
    <xf numFmtId="4" fontId="47" fillId="2" borderId="2" xfId="40" applyNumberFormat="1" applyFont="1" applyFill="1" applyBorder="1" applyAlignment="1">
      <alignment horizontal="right" vertical="center" wrapText="1"/>
    </xf>
    <xf numFmtId="4" fontId="47" fillId="2" borderId="2" xfId="41" applyNumberFormat="1" applyFont="1" applyFill="1" applyBorder="1" applyAlignment="1">
      <alignment horizontal="right" vertical="center" wrapText="1"/>
    </xf>
    <xf numFmtId="1" fontId="47" fillId="2" borderId="2" xfId="41" applyNumberFormat="1" applyFont="1" applyFill="1" applyBorder="1" applyAlignment="1">
      <alignment horizontal="justify" vertical="center" wrapText="1"/>
    </xf>
    <xf numFmtId="1" fontId="47" fillId="2" borderId="2" xfId="39" applyNumberFormat="1" applyFont="1" applyFill="1" applyBorder="1" applyAlignment="1">
      <alignment horizontal="justify" vertical="center" wrapText="1"/>
    </xf>
    <xf numFmtId="3" fontId="7" fillId="0" borderId="2" xfId="36" applyNumberFormat="1" applyFont="1" applyFill="1" applyBorder="1" applyAlignment="1">
      <alignment horizontal="right" vertical="center" wrapText="1"/>
    </xf>
    <xf numFmtId="4" fontId="8" fillId="0" borderId="2" xfId="36" applyNumberFormat="1" applyFont="1" applyFill="1" applyBorder="1" applyAlignment="1">
      <alignment horizontal="right" vertical="center" wrapText="1"/>
    </xf>
    <xf numFmtId="4" fontId="7" fillId="0" borderId="2" xfId="36" applyNumberFormat="1" applyFont="1" applyFill="1" applyBorder="1" applyAlignment="1">
      <alignment horizontal="right" vertical="center" wrapText="1"/>
    </xf>
    <xf numFmtId="1" fontId="8" fillId="0" borderId="2" xfId="36" applyNumberFormat="1" applyFont="1" applyFill="1" applyBorder="1" applyAlignment="1">
      <alignment horizontal="justify" vertical="center" wrapText="1"/>
    </xf>
    <xf numFmtId="3" fontId="7" fillId="2" borderId="2" xfId="45" applyNumberFormat="1" applyFont="1" applyFill="1" applyBorder="1" applyAlignment="1">
      <alignment horizontal="right" vertical="center" wrapText="1"/>
    </xf>
    <xf numFmtId="3" fontId="8" fillId="2" borderId="2" xfId="45" applyNumberFormat="1" applyFont="1" applyFill="1" applyBorder="1" applyAlignment="1">
      <alignment horizontal="right" vertical="center" wrapText="1"/>
    </xf>
    <xf numFmtId="4" fontId="8" fillId="2" borderId="2" xfId="45" applyNumberFormat="1" applyFont="1" applyFill="1" applyBorder="1" applyAlignment="1">
      <alignment horizontal="right" vertical="center" wrapText="1"/>
    </xf>
    <xf numFmtId="1" fontId="8" fillId="2" borderId="2" xfId="45" applyNumberFormat="1" applyFont="1" applyFill="1" applyBorder="1" applyAlignment="1">
      <alignment horizontal="center" vertical="center" wrapText="1"/>
    </xf>
    <xf numFmtId="1" fontId="7" fillId="2" borderId="2" xfId="45" applyNumberFormat="1" applyFont="1" applyFill="1" applyBorder="1" applyAlignment="1">
      <alignment horizontal="center" vertical="center" wrapText="1"/>
    </xf>
    <xf numFmtId="4" fontId="8" fillId="2" borderId="2" xfId="14" applyNumberFormat="1" applyFont="1" applyFill="1" applyBorder="1" applyAlignment="1">
      <alignment horizontal="right" vertical="center" wrapText="1"/>
    </xf>
    <xf numFmtId="1" fontId="8" fillId="2" borderId="2" xfId="14" applyNumberFormat="1" applyFont="1" applyFill="1" applyBorder="1" applyAlignment="1">
      <alignment horizontal="justify" vertical="center" wrapText="1"/>
    </xf>
    <xf numFmtId="4" fontId="7" fillId="6" borderId="2" xfId="41" applyNumberFormat="1" applyFont="1" applyFill="1" applyBorder="1" applyAlignment="1">
      <alignment horizontal="right" vertical="center" wrapText="1"/>
    </xf>
    <xf numFmtId="1" fontId="8" fillId="6" borderId="2" xfId="41" applyNumberFormat="1" applyFont="1" applyFill="1" applyBorder="1" applyAlignment="1">
      <alignment horizontal="center" vertical="center" wrapText="1"/>
    </xf>
    <xf numFmtId="1" fontId="7" fillId="6" borderId="2" xfId="41" applyNumberFormat="1" applyFont="1" applyFill="1" applyBorder="1" applyAlignment="1">
      <alignment horizontal="center" vertical="center" wrapText="1"/>
    </xf>
    <xf numFmtId="1" fontId="8" fillId="6" borderId="2" xfId="11" applyNumberFormat="1" applyFont="1" applyFill="1" applyBorder="1" applyAlignment="1">
      <alignment horizontal="center" vertical="center" wrapText="1"/>
    </xf>
    <xf numFmtId="4" fontId="8" fillId="6" borderId="2" xfId="14" applyNumberFormat="1" applyFont="1" applyFill="1" applyBorder="1" applyAlignment="1">
      <alignment horizontal="right" vertical="center" wrapText="1"/>
    </xf>
    <xf numFmtId="1" fontId="8" fillId="6" borderId="2" xfId="14" applyNumberFormat="1" applyFont="1" applyFill="1" applyBorder="1" applyAlignment="1">
      <alignment horizontal="justify" vertical="center" wrapText="1"/>
    </xf>
    <xf numFmtId="4" fontId="10" fillId="0" borderId="2" xfId="46" applyNumberFormat="1" applyFont="1" applyFill="1" applyBorder="1" applyAlignment="1">
      <alignment horizontal="center" vertical="center" wrapText="1"/>
    </xf>
    <xf numFmtId="3" fontId="8" fillId="0" borderId="2" xfId="36" applyNumberFormat="1" applyFont="1" applyFill="1" applyBorder="1" applyAlignment="1">
      <alignment horizontal="justify" vertical="center" wrapText="1"/>
    </xf>
    <xf numFmtId="3" fontId="42" fillId="0" borderId="2" xfId="36" applyNumberFormat="1" applyFont="1" applyFill="1" applyBorder="1" applyAlignment="1">
      <alignment horizontal="justify" vertical="center" wrapText="1"/>
    </xf>
    <xf numFmtId="1" fontId="10" fillId="0" borderId="2" xfId="46" applyNumberFormat="1" applyFont="1" applyFill="1" applyBorder="1" applyAlignment="1">
      <alignment horizontal="justify" vertical="center" wrapText="1"/>
    </xf>
    <xf numFmtId="4" fontId="8" fillId="5" borderId="2" xfId="46" applyNumberFormat="1" applyFont="1" applyFill="1" applyBorder="1" applyAlignment="1">
      <alignment horizontal="center" vertical="center" wrapText="1"/>
    </xf>
    <xf numFmtId="4" fontId="10" fillId="5" borderId="2" xfId="46" applyNumberFormat="1" applyFont="1" applyFill="1" applyBorder="1" applyAlignment="1">
      <alignment horizontal="center" vertical="center" wrapText="1"/>
    </xf>
    <xf numFmtId="3" fontId="10" fillId="5" borderId="2" xfId="42" applyNumberFormat="1" applyFont="1" applyFill="1" applyBorder="1" applyAlignment="1">
      <alignment horizontal="right" vertical="center" wrapText="1"/>
    </xf>
    <xf numFmtId="3" fontId="10" fillId="5" borderId="2" xfId="46" applyNumberFormat="1" applyFont="1" applyFill="1" applyBorder="1" applyAlignment="1">
      <alignment horizontal="right" vertical="center" wrapText="1"/>
    </xf>
    <xf numFmtId="4" fontId="10" fillId="5" borderId="2" xfId="46" applyNumberFormat="1" applyFont="1" applyFill="1" applyBorder="1" applyAlignment="1">
      <alignment horizontal="right" vertical="center" wrapText="1"/>
    </xf>
    <xf numFmtId="1" fontId="10" fillId="5" borderId="2" xfId="46" applyNumberFormat="1" applyFont="1" applyFill="1" applyBorder="1" applyAlignment="1">
      <alignment horizontal="center" vertical="center" wrapText="1"/>
    </xf>
    <xf numFmtId="1" fontId="10" fillId="5" borderId="2" xfId="46" applyNumberFormat="1" applyFont="1" applyFill="1" applyBorder="1" applyAlignment="1">
      <alignment horizontal="justify" vertical="center" wrapText="1"/>
    </xf>
    <xf numFmtId="4" fontId="8" fillId="2" borderId="2" xfId="46" applyNumberFormat="1" applyFont="1" applyFill="1" applyBorder="1" applyAlignment="1">
      <alignment horizontal="center" vertical="center" wrapText="1"/>
    </xf>
    <xf numFmtId="4" fontId="10" fillId="2" borderId="2" xfId="46" applyNumberFormat="1" applyFont="1" applyFill="1" applyBorder="1" applyAlignment="1">
      <alignment horizontal="center" vertical="center" wrapText="1"/>
    </xf>
    <xf numFmtId="3" fontId="10" fillId="2" borderId="2" xfId="46" applyNumberFormat="1" applyFont="1" applyFill="1" applyBorder="1" applyAlignment="1">
      <alignment horizontal="right" vertical="center" wrapText="1"/>
    </xf>
    <xf numFmtId="4" fontId="10" fillId="2" borderId="2" xfId="46" applyNumberFormat="1" applyFont="1" applyFill="1" applyBorder="1" applyAlignment="1">
      <alignment horizontal="right" vertical="center" wrapText="1"/>
    </xf>
    <xf numFmtId="1" fontId="10" fillId="2" borderId="2" xfId="46" applyNumberFormat="1" applyFont="1" applyFill="1" applyBorder="1" applyAlignment="1">
      <alignment horizontal="justify" vertical="center" wrapText="1"/>
    </xf>
    <xf numFmtId="4" fontId="8" fillId="6" borderId="2" xfId="46" applyNumberFormat="1" applyFont="1" applyFill="1" applyBorder="1" applyAlignment="1">
      <alignment horizontal="center" vertical="center" wrapText="1"/>
    </xf>
    <xf numFmtId="3" fontId="8" fillId="6" borderId="2" xfId="46" applyNumberFormat="1" applyFont="1" applyFill="1" applyBorder="1" applyAlignment="1">
      <alignment horizontal="right" vertical="center" wrapText="1"/>
    </xf>
    <xf numFmtId="4" fontId="8" fillId="6" borderId="2" xfId="46" applyNumberFormat="1" applyFont="1" applyFill="1" applyBorder="1" applyAlignment="1">
      <alignment horizontal="right" vertical="center" wrapText="1"/>
    </xf>
    <xf numFmtId="1" fontId="8" fillId="6" borderId="2" xfId="46" applyNumberFormat="1" applyFont="1" applyFill="1" applyBorder="1" applyAlignment="1">
      <alignment horizontal="justify" vertical="center" wrapText="1"/>
    </xf>
    <xf numFmtId="4" fontId="8" fillId="0" borderId="2" xfId="40" applyNumberFormat="1" applyFont="1" applyFill="1" applyBorder="1" applyAlignment="1">
      <alignment horizontal="center" vertical="center" wrapText="1"/>
    </xf>
    <xf numFmtId="3" fontId="42" fillId="0" borderId="2" xfId="37" applyNumberFormat="1" applyFont="1" applyFill="1" applyBorder="1" applyAlignment="1">
      <alignment horizontal="justify" vertical="center"/>
    </xf>
    <xf numFmtId="1" fontId="42" fillId="0" borderId="2" xfId="37" applyNumberFormat="1" applyFont="1" applyFill="1" applyBorder="1" applyAlignment="1">
      <alignment horizontal="justify" vertical="center" wrapText="1"/>
    </xf>
    <xf numFmtId="1" fontId="8" fillId="0" borderId="2" xfId="14" applyNumberFormat="1" applyFont="1" applyFill="1" applyBorder="1" applyAlignment="1">
      <alignment horizontal="justify" vertical="center" wrapText="1"/>
    </xf>
    <xf numFmtId="4" fontId="8" fillId="5" borderId="2" xfId="47" applyNumberFormat="1" applyFont="1" applyFill="1" applyBorder="1" applyAlignment="1">
      <alignment horizontal="center" vertical="center" wrapText="1"/>
    </xf>
    <xf numFmtId="3" fontId="8" fillId="5" borderId="2" xfId="47" applyNumberFormat="1" applyFont="1" applyFill="1" applyBorder="1" applyAlignment="1">
      <alignment horizontal="right" vertical="center" wrapText="1"/>
    </xf>
    <xf numFmtId="4" fontId="8" fillId="5" borderId="2" xfId="46" applyNumberFormat="1" applyFont="1" applyFill="1" applyBorder="1" applyAlignment="1">
      <alignment horizontal="right" vertical="center" wrapText="1"/>
    </xf>
    <xf numFmtId="4" fontId="8" fillId="5" borderId="2" xfId="36" applyNumberFormat="1" applyFont="1" applyFill="1" applyBorder="1" applyAlignment="1">
      <alignment horizontal="right" vertical="center" wrapText="1"/>
    </xf>
    <xf numFmtId="4" fontId="8" fillId="5" borderId="2" xfId="47" applyNumberFormat="1" applyFont="1" applyFill="1" applyBorder="1" applyAlignment="1">
      <alignment horizontal="right" vertical="center" wrapText="1"/>
    </xf>
    <xf numFmtId="1" fontId="8" fillId="5" borderId="2" xfId="47" applyNumberFormat="1" applyFont="1" applyFill="1" applyBorder="1" applyAlignment="1">
      <alignment horizontal="justify" vertical="center" wrapText="1"/>
    </xf>
    <xf numFmtId="4" fontId="8" fillId="2" borderId="2" xfId="48" applyNumberFormat="1" applyFont="1" applyFill="1" applyBorder="1" applyAlignment="1">
      <alignment horizontal="center" vertical="center" wrapText="1"/>
    </xf>
    <xf numFmtId="3" fontId="8" fillId="2" borderId="2" xfId="48" applyNumberFormat="1" applyFont="1" applyFill="1" applyBorder="1" applyAlignment="1">
      <alignment horizontal="right" vertical="center" wrapText="1"/>
    </xf>
    <xf numFmtId="4" fontId="8" fillId="2" borderId="2" xfId="48" applyNumberFormat="1" applyFont="1" applyFill="1" applyBorder="1" applyAlignment="1">
      <alignment horizontal="right" vertical="center" wrapText="1"/>
    </xf>
    <xf numFmtId="1" fontId="8" fillId="2" borderId="2" xfId="48" applyNumberFormat="1" applyFont="1" applyFill="1" applyBorder="1" applyAlignment="1">
      <alignment horizontal="justify" vertical="center" wrapText="1"/>
    </xf>
    <xf numFmtId="4" fontId="8" fillId="6" borderId="2" xfId="48" applyNumberFormat="1" applyFont="1" applyFill="1" applyBorder="1" applyAlignment="1">
      <alignment horizontal="center" vertical="center" wrapText="1"/>
    </xf>
    <xf numFmtId="3" fontId="8" fillId="6" borderId="2" xfId="48" applyNumberFormat="1" applyFont="1" applyFill="1" applyBorder="1" applyAlignment="1">
      <alignment horizontal="right" vertical="center" wrapText="1"/>
    </xf>
    <xf numFmtId="4" fontId="8" fillId="6" borderId="2" xfId="48" applyNumberFormat="1" applyFont="1" applyFill="1" applyBorder="1" applyAlignment="1">
      <alignment horizontal="right" vertical="center" wrapText="1"/>
    </xf>
    <xf numFmtId="4" fontId="8" fillId="6" borderId="2" xfId="40" applyNumberFormat="1" applyFont="1" applyFill="1" applyBorder="1" applyAlignment="1">
      <alignment horizontal="right" vertical="center" wrapText="1"/>
    </xf>
    <xf numFmtId="1" fontId="8" fillId="6" borderId="2" xfId="48" applyNumberFormat="1" applyFont="1" applyFill="1" applyBorder="1" applyAlignment="1">
      <alignment horizontal="justify" vertical="center" wrapText="1"/>
    </xf>
    <xf numFmtId="4" fontId="8" fillId="0" borderId="2" xfId="48" applyNumberFormat="1" applyFont="1" applyFill="1" applyBorder="1" applyAlignment="1">
      <alignment horizontal="center" vertical="center" wrapText="1"/>
    </xf>
    <xf numFmtId="1" fontId="8" fillId="0" borderId="2" xfId="48" applyNumberFormat="1" applyFont="1" applyFill="1" applyBorder="1" applyAlignment="1">
      <alignment horizontal="justify" vertical="center" wrapText="1"/>
    </xf>
    <xf numFmtId="4" fontId="8" fillId="5" borderId="2" xfId="48" applyNumberFormat="1" applyFont="1" applyFill="1" applyBorder="1" applyAlignment="1">
      <alignment horizontal="center" vertical="center" wrapText="1"/>
    </xf>
    <xf numFmtId="4" fontId="8" fillId="5" borderId="2" xfId="38" applyNumberFormat="1" applyFont="1" applyFill="1" applyBorder="1" applyAlignment="1">
      <alignment horizontal="center" vertical="center" wrapText="1"/>
    </xf>
    <xf numFmtId="3" fontId="8" fillId="5" borderId="2" xfId="48" applyNumberFormat="1" applyFont="1" applyFill="1" applyBorder="1" applyAlignment="1">
      <alignment horizontal="right" vertical="center" wrapText="1"/>
    </xf>
    <xf numFmtId="4" fontId="8" fillId="5" borderId="2" xfId="48" applyNumberFormat="1" applyFont="1" applyFill="1" applyBorder="1" applyAlignment="1">
      <alignment horizontal="right" vertical="center" wrapText="1"/>
    </xf>
    <xf numFmtId="4" fontId="8" fillId="5" borderId="2" xfId="40" applyNumberFormat="1" applyFont="1" applyFill="1" applyBorder="1" applyAlignment="1">
      <alignment horizontal="right" vertical="center" wrapText="1"/>
    </xf>
    <xf numFmtId="4" fontId="8" fillId="5" borderId="2" xfId="41" applyNumberFormat="1" applyFont="1" applyFill="1" applyBorder="1" applyAlignment="1">
      <alignment horizontal="right" vertical="center" wrapText="1"/>
    </xf>
    <xf numFmtId="1" fontId="8" fillId="5" borderId="2" xfId="41" applyNumberFormat="1" applyFont="1" applyFill="1" applyBorder="1" applyAlignment="1">
      <alignment horizontal="justify" vertical="center" wrapText="1"/>
    </xf>
    <xf numFmtId="1" fontId="8" fillId="5" borderId="2" xfId="48" applyNumberFormat="1" applyFont="1" applyFill="1" applyBorder="1" applyAlignment="1">
      <alignment horizontal="justify" vertical="center" wrapText="1"/>
    </xf>
    <xf numFmtId="3" fontId="43" fillId="0" borderId="2" xfId="36" applyNumberFormat="1" applyFont="1" applyFill="1" applyBorder="1" applyAlignment="1">
      <alignment horizontal="center" vertical="center" wrapText="1"/>
    </xf>
    <xf numFmtId="3" fontId="7" fillId="0" borderId="2" xfId="36" applyNumberFormat="1" applyFont="1" applyFill="1" applyBorder="1" applyAlignment="1">
      <alignment horizontal="center" vertical="center" wrapText="1"/>
    </xf>
    <xf numFmtId="4" fontId="8" fillId="4" borderId="2" xfId="48" applyNumberFormat="1" applyFont="1" applyFill="1" applyBorder="1" applyAlignment="1">
      <alignment horizontal="center" vertical="center" wrapText="1"/>
    </xf>
    <xf numFmtId="4" fontId="8" fillId="4" borderId="2" xfId="38" applyNumberFormat="1" applyFont="1" applyFill="1" applyBorder="1" applyAlignment="1">
      <alignment horizontal="center" vertical="center" wrapText="1"/>
    </xf>
    <xf numFmtId="3" fontId="8" fillId="4" borderId="2" xfId="48" applyNumberFormat="1" applyFont="1" applyFill="1" applyBorder="1" applyAlignment="1">
      <alignment horizontal="right" vertical="center" wrapText="1"/>
    </xf>
    <xf numFmtId="4" fontId="8" fillId="4" borderId="2" xfId="48" applyNumberFormat="1" applyFont="1" applyFill="1" applyBorder="1" applyAlignment="1">
      <alignment horizontal="right" vertical="center" wrapText="1"/>
    </xf>
    <xf numFmtId="1" fontId="8" fillId="4" borderId="2" xfId="48" applyNumberFormat="1" applyFont="1" applyFill="1" applyBorder="1" applyAlignment="1">
      <alignment horizontal="center" vertical="center" wrapText="1"/>
    </xf>
    <xf numFmtId="1" fontId="8" fillId="4" borderId="2" xfId="48" applyNumberFormat="1" applyFont="1" applyFill="1" applyBorder="1" applyAlignment="1">
      <alignment horizontal="right" vertical="center" wrapText="1"/>
    </xf>
    <xf numFmtId="1" fontId="8" fillId="4" borderId="2" xfId="36" applyNumberFormat="1" applyFont="1" applyFill="1" applyBorder="1" applyAlignment="1">
      <alignment horizontal="right" vertical="center" wrapText="1"/>
    </xf>
    <xf numFmtId="1" fontId="8" fillId="4" borderId="2" xfId="40" applyNumberFormat="1" applyFont="1" applyFill="1" applyBorder="1" applyAlignment="1">
      <alignment horizontal="right" vertical="center" wrapText="1"/>
    </xf>
    <xf numFmtId="4" fontId="8" fillId="4" borderId="2" xfId="41" applyNumberFormat="1" applyFont="1" applyFill="1" applyBorder="1" applyAlignment="1">
      <alignment horizontal="right" vertical="center" wrapText="1"/>
    </xf>
    <xf numFmtId="1" fontId="8" fillId="4" borderId="2" xfId="41" applyNumberFormat="1" applyFont="1" applyFill="1" applyBorder="1" applyAlignment="1">
      <alignment horizontal="justify" vertical="center" wrapText="1"/>
    </xf>
    <xf numFmtId="1" fontId="8" fillId="4" borderId="2" xfId="48" applyNumberFormat="1" applyFont="1" applyFill="1" applyBorder="1" applyAlignment="1">
      <alignment horizontal="justify" vertical="center" wrapText="1"/>
    </xf>
    <xf numFmtId="1" fontId="8" fillId="5" borderId="2" xfId="48" applyNumberFormat="1" applyFont="1" applyFill="1" applyBorder="1" applyAlignment="1">
      <alignment horizontal="center" vertical="center" wrapText="1"/>
    </xf>
    <xf numFmtId="1" fontId="8" fillId="5" borderId="2" xfId="48" applyNumberFormat="1" applyFont="1" applyFill="1" applyBorder="1" applyAlignment="1">
      <alignment horizontal="right" vertical="center" wrapText="1"/>
    </xf>
    <xf numFmtId="1" fontId="8" fillId="5" borderId="2" xfId="40" applyNumberFormat="1" applyFont="1" applyFill="1" applyBorder="1" applyAlignment="1">
      <alignment horizontal="right" vertical="center" wrapText="1"/>
    </xf>
    <xf numFmtId="1" fontId="8" fillId="2" borderId="2" xfId="48" applyNumberFormat="1" applyFont="1" applyFill="1" applyBorder="1" applyAlignment="1">
      <alignment horizontal="center" vertical="center" wrapText="1"/>
    </xf>
    <xf numFmtId="1" fontId="8" fillId="2" borderId="2" xfId="48" applyNumberFormat="1" applyFont="1" applyFill="1" applyBorder="1" applyAlignment="1">
      <alignment horizontal="right" vertical="center" wrapText="1"/>
    </xf>
    <xf numFmtId="1" fontId="8" fillId="2" borderId="2" xfId="40" applyNumberFormat="1" applyFont="1" applyFill="1" applyBorder="1" applyAlignment="1">
      <alignment horizontal="right" vertical="center" wrapText="1"/>
    </xf>
    <xf numFmtId="1" fontId="8" fillId="6" borderId="2" xfId="48" applyNumberFormat="1" applyFont="1" applyFill="1" applyBorder="1" applyAlignment="1">
      <alignment horizontal="right" vertical="center" wrapText="1"/>
    </xf>
    <xf numFmtId="2" fontId="10" fillId="6" borderId="2" xfId="26" applyNumberFormat="1" applyFont="1" applyFill="1" applyBorder="1" applyAlignment="1">
      <alignment horizontal="center" vertical="center"/>
    </xf>
    <xf numFmtId="1" fontId="4" fillId="6" borderId="2" xfId="48" applyNumberFormat="1" applyFont="1" applyFill="1" applyBorder="1" applyAlignment="1">
      <alignment horizontal="center" vertical="center" wrapText="1"/>
    </xf>
    <xf numFmtId="1" fontId="8" fillId="0" borderId="2" xfId="39" applyNumberFormat="1" applyFont="1" applyFill="1" applyBorder="1" applyAlignment="1">
      <alignment horizontal="center" vertical="center" wrapText="1"/>
    </xf>
    <xf numFmtId="3" fontId="23" fillId="0" borderId="2" xfId="42" applyNumberFormat="1" applyFont="1" applyFill="1" applyBorder="1" applyAlignment="1">
      <alignment horizontal="center" vertical="center" wrapText="1"/>
    </xf>
    <xf numFmtId="3" fontId="10" fillId="0" borderId="2" xfId="42" applyNumberFormat="1" applyFont="1" applyFill="1" applyBorder="1" applyAlignment="1">
      <alignment horizontal="center" vertical="center" wrapText="1"/>
    </xf>
    <xf numFmtId="1" fontId="8" fillId="0" borderId="2" xfId="48" applyNumberFormat="1" applyFont="1" applyFill="1" applyBorder="1" applyAlignment="1">
      <alignment horizontal="right" vertical="center" wrapText="1"/>
    </xf>
    <xf numFmtId="3" fontId="8" fillId="0" borderId="2" xfId="48" applyNumberFormat="1" applyFont="1" applyFill="1" applyBorder="1" applyAlignment="1">
      <alignment horizontal="right" vertical="center" wrapText="1"/>
    </xf>
    <xf numFmtId="4" fontId="8" fillId="0" borderId="2" xfId="48" applyNumberFormat="1" applyFont="1" applyFill="1" applyBorder="1" applyAlignment="1">
      <alignment horizontal="right" vertical="center" wrapText="1"/>
    </xf>
    <xf numFmtId="1" fontId="8" fillId="0" borderId="2" xfId="36" applyNumberFormat="1" applyFont="1" applyFill="1" applyBorder="1" applyAlignment="1">
      <alignment horizontal="right" vertical="center" wrapText="1"/>
    </xf>
    <xf numFmtId="3" fontId="23" fillId="0" borderId="2" xfId="42" applyNumberFormat="1" applyFont="1" applyFill="1" applyBorder="1" applyAlignment="1">
      <alignment horizontal="justify" vertical="center" wrapText="1"/>
    </xf>
    <xf numFmtId="1" fontId="8" fillId="0" borderId="2" xfId="41" applyNumberFormat="1" applyFont="1" applyFill="1" applyBorder="1" applyAlignment="1">
      <alignment horizontal="justify" vertical="center" wrapText="1"/>
    </xf>
    <xf numFmtId="1" fontId="8" fillId="0" borderId="2" xfId="26" applyNumberFormat="1" applyFont="1" applyFill="1" applyBorder="1" applyAlignment="1">
      <alignment horizontal="center" vertical="center"/>
    </xf>
    <xf numFmtId="1" fontId="10" fillId="0" borderId="2" xfId="42" applyNumberFormat="1" applyFont="1" applyFill="1" applyBorder="1" applyAlignment="1">
      <alignment horizontal="center" vertical="center" wrapText="1"/>
    </xf>
    <xf numFmtId="1" fontId="8" fillId="0" borderId="2" xfId="43" applyNumberFormat="1" applyFont="1" applyFill="1" applyBorder="1" applyAlignment="1">
      <alignment horizontal="center" vertical="center" wrapText="1"/>
    </xf>
    <xf numFmtId="1" fontId="42" fillId="0" borderId="2" xfId="36" applyNumberFormat="1" applyFont="1" applyFill="1" applyBorder="1" applyAlignment="1">
      <alignment horizontal="justify" vertical="center" wrapText="1"/>
    </xf>
    <xf numFmtId="4" fontId="8" fillId="4" borderId="2" xfId="36" applyNumberFormat="1" applyFont="1" applyFill="1" applyBorder="1" applyAlignment="1">
      <alignment horizontal="right" vertical="center" wrapText="1"/>
    </xf>
    <xf numFmtId="4" fontId="8" fillId="4" borderId="2" xfId="40" applyNumberFormat="1" applyFont="1" applyFill="1" applyBorder="1" applyAlignment="1">
      <alignment horizontal="right" vertical="center" wrapText="1"/>
    </xf>
    <xf numFmtId="49" fontId="48" fillId="6" borderId="2" xfId="0" applyNumberFormat="1" applyFont="1" applyFill="1" applyBorder="1" applyAlignment="1">
      <alignment horizontal="justify" vertical="center" wrapText="1"/>
    </xf>
    <xf numFmtId="49" fontId="48" fillId="0" borderId="2" xfId="0" applyNumberFormat="1" applyFont="1" applyFill="1" applyBorder="1" applyAlignment="1">
      <alignment horizontal="justify" vertical="center" wrapText="1"/>
    </xf>
    <xf numFmtId="4" fontId="8" fillId="0" borderId="2" xfId="40" applyNumberFormat="1" applyFont="1" applyFill="1" applyBorder="1" applyAlignment="1">
      <alignment horizontal="right" vertical="center" wrapText="1"/>
    </xf>
    <xf numFmtId="4" fontId="8" fillId="0" borderId="2" xfId="41" applyNumberFormat="1" applyFont="1" applyFill="1" applyBorder="1" applyAlignment="1">
      <alignment horizontal="right" vertical="center" wrapText="1"/>
    </xf>
    <xf numFmtId="3" fontId="7" fillId="0" borderId="2" xfId="45" applyNumberFormat="1" applyFont="1" applyFill="1" applyBorder="1" applyAlignment="1">
      <alignment horizontal="center" vertical="center"/>
    </xf>
    <xf numFmtId="3" fontId="8" fillId="0" borderId="2" xfId="45" applyNumberFormat="1" applyFont="1" applyFill="1" applyBorder="1" applyAlignment="1">
      <alignment horizontal="center" vertical="center"/>
    </xf>
    <xf numFmtId="3" fontId="42" fillId="0" borderId="2" xfId="14" applyNumberFormat="1" applyFont="1" applyFill="1" applyBorder="1" applyAlignment="1">
      <alignment horizontal="justify" vertical="center" wrapText="1"/>
    </xf>
    <xf numFmtId="1" fontId="42" fillId="0" borderId="2" xfId="14" applyNumberFormat="1" applyFont="1" applyFill="1" applyBorder="1" applyAlignment="1">
      <alignment horizontal="justify" vertical="center" wrapText="1"/>
    </xf>
    <xf numFmtId="3" fontId="8" fillId="7" borderId="2" xfId="41" applyNumberFormat="1" applyFont="1" applyFill="1" applyBorder="1" applyAlignment="1">
      <alignment horizontal="center" vertical="center" wrapText="1"/>
    </xf>
    <xf numFmtId="3" fontId="7" fillId="7" borderId="2" xfId="41" applyNumberFormat="1" applyFont="1" applyFill="1" applyBorder="1" applyAlignment="1">
      <alignment horizontal="center" vertical="center"/>
    </xf>
    <xf numFmtId="3" fontId="8" fillId="7" borderId="2" xfId="41" applyNumberFormat="1" applyFont="1" applyFill="1" applyBorder="1" applyAlignment="1">
      <alignment horizontal="center" vertical="center"/>
    </xf>
    <xf numFmtId="3" fontId="42" fillId="0" borderId="2" xfId="40" applyNumberFormat="1" applyFont="1" applyFill="1" applyBorder="1" applyAlignment="1">
      <alignment horizontal="center" vertical="center" wrapText="1"/>
    </xf>
    <xf numFmtId="3" fontId="8" fillId="0" borderId="2" xfId="40" applyNumberFormat="1" applyFont="1" applyFill="1" applyBorder="1" applyAlignment="1">
      <alignment horizontal="justify" vertical="center" wrapText="1"/>
    </xf>
    <xf numFmtId="3" fontId="42" fillId="0" borderId="2" xfId="49" applyNumberFormat="1" applyFont="1" applyFill="1" applyBorder="1" applyAlignment="1">
      <alignment horizontal="center" vertical="center" wrapText="1"/>
    </xf>
    <xf numFmtId="3" fontId="8" fillId="0" borderId="2" xfId="49" applyNumberFormat="1" applyFont="1" applyFill="1" applyBorder="1" applyAlignment="1">
      <alignment horizontal="center" vertical="center" wrapText="1"/>
    </xf>
    <xf numFmtId="3" fontId="8" fillId="0" borderId="2" xfId="49" applyNumberFormat="1" applyFont="1" applyFill="1" applyBorder="1" applyAlignment="1">
      <alignment horizontal="justify" vertical="center" wrapText="1"/>
    </xf>
    <xf numFmtId="3" fontId="42" fillId="0" borderId="2" xfId="49" applyNumberFormat="1" applyFont="1" applyFill="1" applyBorder="1" applyAlignment="1">
      <alignment horizontal="justify" vertical="center" wrapText="1"/>
    </xf>
    <xf numFmtId="49" fontId="10" fillId="6" borderId="2" xfId="14" applyNumberFormat="1" applyFont="1" applyFill="1" applyBorder="1" applyAlignment="1">
      <alignment horizontal="justify" vertical="center" wrapText="1"/>
    </xf>
    <xf numFmtId="3" fontId="42" fillId="0" borderId="2" xfId="48" applyNumberFormat="1" applyFont="1" applyFill="1" applyBorder="1" applyAlignment="1">
      <alignment horizontal="center" vertical="center" wrapText="1"/>
    </xf>
    <xf numFmtId="3" fontId="8" fillId="0" borderId="2" xfId="48" applyNumberFormat="1" applyFont="1" applyFill="1" applyBorder="1" applyAlignment="1">
      <alignment horizontal="center" vertical="center" wrapText="1"/>
    </xf>
    <xf numFmtId="3" fontId="8" fillId="0" borderId="2" xfId="48" applyNumberFormat="1" applyFont="1" applyFill="1" applyBorder="1" applyAlignment="1">
      <alignment horizontal="justify" vertical="center" wrapText="1"/>
    </xf>
    <xf numFmtId="3" fontId="42" fillId="0" borderId="2" xfId="48" applyNumberFormat="1" applyFont="1" applyFill="1" applyBorder="1" applyAlignment="1">
      <alignment horizontal="justify" vertical="center" wrapText="1"/>
    </xf>
    <xf numFmtId="49" fontId="10" fillId="4" borderId="2" xfId="31" applyNumberFormat="1" applyFont="1" applyFill="1" applyBorder="1" applyAlignment="1">
      <alignment horizontal="justify" vertical="center" wrapText="1"/>
    </xf>
    <xf numFmtId="1" fontId="8" fillId="4" borderId="2" xfId="50" applyNumberFormat="1" applyFont="1" applyFill="1" applyBorder="1" applyAlignment="1">
      <alignment horizontal="justify" vertical="center" wrapText="1"/>
    </xf>
    <xf numFmtId="3" fontId="7" fillId="4" borderId="2" xfId="50" applyNumberFormat="1" applyFont="1" applyFill="1" applyBorder="1" applyAlignment="1">
      <alignment horizontal="center" vertical="center" wrapText="1"/>
    </xf>
    <xf numFmtId="1" fontId="7" fillId="4" borderId="2" xfId="50" applyNumberFormat="1" applyFont="1" applyFill="1" applyBorder="1" applyAlignment="1">
      <alignment horizontal="justify" vertical="center" wrapText="1"/>
    </xf>
    <xf numFmtId="4" fontId="10" fillId="4" borderId="2" xfId="50" applyNumberFormat="1" applyFont="1" applyFill="1" applyBorder="1" applyAlignment="1">
      <alignment horizontal="center" vertical="center" wrapText="1"/>
    </xf>
    <xf numFmtId="3" fontId="10" fillId="4" borderId="2" xfId="50" applyNumberFormat="1" applyFont="1" applyFill="1" applyBorder="1" applyAlignment="1">
      <alignment horizontal="right" vertical="center" wrapText="1"/>
    </xf>
    <xf numFmtId="1" fontId="10" fillId="4" borderId="2" xfId="50" applyNumberFormat="1" applyFont="1" applyFill="1" applyBorder="1" applyAlignment="1">
      <alignment horizontal="right" vertical="center" wrapText="1"/>
    </xf>
    <xf numFmtId="4" fontId="10" fillId="4" borderId="2" xfId="50" applyNumberFormat="1" applyFont="1" applyFill="1" applyBorder="1" applyAlignment="1">
      <alignment horizontal="right" vertical="center" wrapText="1"/>
    </xf>
    <xf numFmtId="1" fontId="10" fillId="4" borderId="2" xfId="50" applyNumberFormat="1" applyFont="1" applyFill="1" applyBorder="1" applyAlignment="1">
      <alignment horizontal="justify" vertical="center" wrapText="1"/>
    </xf>
    <xf numFmtId="49" fontId="10" fillId="5" borderId="2" xfId="31" applyNumberFormat="1" applyFont="1" applyFill="1" applyBorder="1" applyAlignment="1">
      <alignment horizontal="justify" vertical="center" wrapText="1"/>
    </xf>
    <xf numFmtId="1" fontId="8" fillId="5" borderId="2" xfId="51" applyNumberFormat="1" applyFont="1" applyFill="1" applyBorder="1" applyAlignment="1">
      <alignment horizontal="justify" vertical="center" wrapText="1"/>
    </xf>
    <xf numFmtId="3" fontId="7" fillId="5" borderId="2" xfId="51" applyNumberFormat="1" applyFont="1" applyFill="1" applyBorder="1" applyAlignment="1">
      <alignment horizontal="center" vertical="center" wrapText="1"/>
    </xf>
    <xf numFmtId="1" fontId="7" fillId="5" borderId="2" xfId="51" applyNumberFormat="1" applyFont="1" applyFill="1" applyBorder="1" applyAlignment="1">
      <alignment horizontal="justify" vertical="center" wrapText="1"/>
    </xf>
    <xf numFmtId="4" fontId="8" fillId="5" borderId="2" xfId="51" applyNumberFormat="1" applyFont="1" applyFill="1" applyBorder="1" applyAlignment="1">
      <alignment horizontal="center" vertical="center" wrapText="1"/>
    </xf>
    <xf numFmtId="3" fontId="8" fillId="5" borderId="2" xfId="51" applyNumberFormat="1" applyFont="1" applyFill="1" applyBorder="1" applyAlignment="1">
      <alignment horizontal="right" vertical="center" wrapText="1"/>
    </xf>
    <xf numFmtId="1" fontId="8" fillId="5" borderId="2" xfId="51" applyNumberFormat="1" applyFont="1" applyFill="1" applyBorder="1" applyAlignment="1">
      <alignment horizontal="right" vertical="center" wrapText="1"/>
    </xf>
    <xf numFmtId="4" fontId="8" fillId="5" borderId="2" xfId="51" applyNumberFormat="1" applyFont="1" applyFill="1" applyBorder="1" applyAlignment="1">
      <alignment horizontal="right" vertical="center" wrapText="1"/>
    </xf>
    <xf numFmtId="49" fontId="8" fillId="8" borderId="2" xfId="10" applyNumberFormat="1" applyFont="1" applyFill="1" applyBorder="1" applyAlignment="1">
      <alignment horizontal="justify" vertical="center" wrapText="1"/>
    </xf>
    <xf numFmtId="3" fontId="7" fillId="2" borderId="2" xfId="36" applyNumberFormat="1" applyFont="1" applyFill="1" applyBorder="1" applyAlignment="1">
      <alignment horizontal="center" vertical="center" wrapText="1"/>
    </xf>
    <xf numFmtId="1" fontId="7" fillId="2" borderId="2" xfId="36" applyNumberFormat="1" applyFont="1" applyFill="1" applyBorder="1" applyAlignment="1">
      <alignment horizontal="justify" vertical="center" wrapText="1"/>
    </xf>
    <xf numFmtId="1" fontId="8" fillId="6" borderId="3" xfId="36" applyNumberFormat="1" applyFont="1" applyFill="1" applyBorder="1" applyAlignment="1">
      <alignment horizontal="justify" vertical="center" wrapText="1"/>
    </xf>
    <xf numFmtId="3" fontId="8" fillId="6" borderId="2" xfId="14" applyNumberFormat="1" applyFont="1" applyFill="1" applyBorder="1" applyAlignment="1">
      <alignment horizontal="center" vertical="center" wrapText="1"/>
    </xf>
    <xf numFmtId="4" fontId="8" fillId="6" borderId="2" xfId="14" applyNumberFormat="1" applyFont="1" applyFill="1" applyBorder="1" applyAlignment="1">
      <alignment horizontal="center" vertical="center" wrapText="1"/>
    </xf>
    <xf numFmtId="3" fontId="8" fillId="6" borderId="2" xfId="14" applyNumberFormat="1" applyFont="1" applyFill="1" applyBorder="1" applyAlignment="1">
      <alignment horizontal="right" vertical="center" wrapText="1"/>
    </xf>
    <xf numFmtId="1" fontId="8" fillId="6" borderId="2" xfId="14" applyNumberFormat="1" applyFont="1" applyFill="1" applyBorder="1" applyAlignment="1">
      <alignment horizontal="right" vertical="center" wrapText="1"/>
    </xf>
    <xf numFmtId="3" fontId="8" fillId="0" borderId="2" xfId="14" applyNumberFormat="1" applyFont="1" applyFill="1" applyBorder="1" applyAlignment="1">
      <alignment horizontal="center" vertical="center" wrapText="1"/>
    </xf>
    <xf numFmtId="4" fontId="8" fillId="0" borderId="2" xfId="14" applyNumberFormat="1" applyFont="1" applyFill="1" applyBorder="1" applyAlignment="1">
      <alignment horizontal="center" vertical="center" wrapText="1"/>
    </xf>
    <xf numFmtId="1" fontId="8" fillId="0" borderId="2" xfId="52" applyNumberFormat="1" applyFont="1" applyFill="1" applyBorder="1" applyAlignment="1">
      <alignment horizontal="center" vertical="center" wrapText="1"/>
    </xf>
    <xf numFmtId="1" fontId="23" fillId="0" borderId="2" xfId="50" applyNumberFormat="1" applyFont="1" applyFill="1" applyBorder="1" applyAlignment="1">
      <alignment horizontal="justify" vertical="center" wrapText="1"/>
    </xf>
    <xf numFmtId="1" fontId="8" fillId="0" borderId="2" xfId="51" applyNumberFormat="1" applyFont="1" applyFill="1" applyBorder="1" applyAlignment="1">
      <alignment horizontal="justify" vertical="center" wrapText="1"/>
    </xf>
    <xf numFmtId="1" fontId="8" fillId="0" borderId="2" xfId="11" applyNumberFormat="1" applyFont="1" applyFill="1" applyBorder="1" applyAlignment="1">
      <alignment horizontal="center" vertical="center" wrapText="1"/>
    </xf>
    <xf numFmtId="1" fontId="8" fillId="0" borderId="2" xfId="14" applyNumberFormat="1" applyFont="1" applyFill="1" applyBorder="1" applyAlignment="1">
      <alignment horizontal="center" vertical="center" wrapText="1"/>
    </xf>
    <xf numFmtId="1" fontId="8" fillId="0" borderId="2" xfId="53" applyNumberFormat="1" applyFont="1" applyFill="1" applyBorder="1" applyAlignment="1">
      <alignment horizontal="justify" vertical="center" wrapText="1"/>
    </xf>
    <xf numFmtId="1" fontId="42" fillId="0" borderId="0" xfId="14" applyNumberFormat="1" applyFont="1" applyFill="1"/>
    <xf numFmtId="1" fontId="8" fillId="2" borderId="2" xfId="51" applyNumberFormat="1" applyFont="1" applyFill="1" applyBorder="1" applyAlignment="1">
      <alignment horizontal="justify" vertical="center" wrapText="1"/>
    </xf>
    <xf numFmtId="3" fontId="7" fillId="2" borderId="2" xfId="51" applyNumberFormat="1" applyFont="1" applyFill="1" applyBorder="1" applyAlignment="1">
      <alignment horizontal="center" vertical="center" wrapText="1"/>
    </xf>
    <xf numFmtId="1" fontId="7" fillId="2" borderId="2" xfId="51" applyNumberFormat="1" applyFont="1" applyFill="1" applyBorder="1" applyAlignment="1">
      <alignment horizontal="justify" vertical="center" wrapText="1"/>
    </xf>
    <xf numFmtId="4" fontId="8" fillId="2" borderId="2" xfId="51" applyNumberFormat="1" applyFont="1" applyFill="1" applyBorder="1" applyAlignment="1">
      <alignment horizontal="center" vertical="center" wrapText="1"/>
    </xf>
    <xf numFmtId="3" fontId="8" fillId="2" borderId="2" xfId="51" applyNumberFormat="1" applyFont="1" applyFill="1" applyBorder="1" applyAlignment="1">
      <alignment horizontal="right" vertical="center" wrapText="1"/>
    </xf>
    <xf numFmtId="1" fontId="8" fillId="2" borderId="2" xfId="51" applyNumberFormat="1" applyFont="1" applyFill="1" applyBorder="1" applyAlignment="1">
      <alignment horizontal="right" vertical="center" wrapText="1"/>
    </xf>
    <xf numFmtId="1" fontId="10" fillId="2" borderId="2" xfId="50" applyNumberFormat="1" applyFont="1" applyFill="1" applyBorder="1" applyAlignment="1">
      <alignment horizontal="right" vertical="center" wrapText="1"/>
    </xf>
    <xf numFmtId="4" fontId="8" fillId="2" borderId="2" xfId="51" applyNumberFormat="1" applyFont="1" applyFill="1" applyBorder="1" applyAlignment="1">
      <alignment horizontal="right" vertical="center" wrapText="1"/>
    </xf>
    <xf numFmtId="1" fontId="8" fillId="6" borderId="2" xfId="51" applyNumberFormat="1" applyFont="1" applyFill="1" applyBorder="1" applyAlignment="1">
      <alignment horizontal="justify" vertical="center" wrapText="1"/>
    </xf>
    <xf numFmtId="3" fontId="8" fillId="6" borderId="2" xfId="51" applyNumberFormat="1" applyFont="1" applyFill="1" applyBorder="1" applyAlignment="1">
      <alignment horizontal="center" vertical="center" wrapText="1"/>
    </xf>
    <xf numFmtId="4" fontId="8" fillId="6" borderId="2" xfId="51" applyNumberFormat="1" applyFont="1" applyFill="1" applyBorder="1" applyAlignment="1">
      <alignment horizontal="center" vertical="center" wrapText="1"/>
    </xf>
    <xf numFmtId="3" fontId="8" fillId="6" borderId="2" xfId="51" applyNumberFormat="1" applyFont="1" applyFill="1" applyBorder="1" applyAlignment="1">
      <alignment horizontal="right" vertical="center" wrapText="1"/>
    </xf>
    <xf numFmtId="1" fontId="8" fillId="6" borderId="2" xfId="51" applyNumberFormat="1" applyFont="1" applyFill="1" applyBorder="1" applyAlignment="1">
      <alignment horizontal="right" vertical="center" wrapText="1"/>
    </xf>
    <xf numFmtId="1" fontId="10" fillId="6" borderId="2" xfId="50" applyNumberFormat="1" applyFont="1" applyFill="1" applyBorder="1" applyAlignment="1">
      <alignment horizontal="right" vertical="center" wrapText="1"/>
    </xf>
    <xf numFmtId="4" fontId="8" fillId="6" borderId="2" xfId="51" applyNumberFormat="1" applyFont="1" applyFill="1" applyBorder="1" applyAlignment="1">
      <alignment horizontal="right" vertical="center" wrapText="1"/>
    </xf>
    <xf numFmtId="1" fontId="8" fillId="0" borderId="2" xfId="54" applyNumberFormat="1" applyFont="1" applyFill="1" applyBorder="1" applyAlignment="1">
      <alignment horizontal="justify" vertical="center" wrapText="1"/>
    </xf>
    <xf numFmtId="4" fontId="8" fillId="0" borderId="2" xfId="54" applyNumberFormat="1" applyFont="1" applyFill="1" applyBorder="1" applyAlignment="1">
      <alignment horizontal="center" vertical="center" wrapText="1"/>
    </xf>
    <xf numFmtId="1" fontId="10" fillId="0" borderId="2" xfId="54" applyNumberFormat="1" applyFont="1" applyFill="1" applyBorder="1" applyAlignment="1">
      <alignment horizontal="right" vertical="center" wrapText="1"/>
    </xf>
    <xf numFmtId="1" fontId="10" fillId="23" borderId="2" xfId="54" applyNumberFormat="1" applyFont="1" applyFill="1" applyBorder="1" applyAlignment="1">
      <alignment horizontal="right" vertical="center" wrapText="1"/>
    </xf>
    <xf numFmtId="1" fontId="8" fillId="0" borderId="2" xfId="8" applyNumberFormat="1" applyFont="1" applyFill="1" applyBorder="1" applyAlignment="1">
      <alignment horizontal="center" vertical="center" wrapText="1"/>
    </xf>
    <xf numFmtId="4" fontId="8" fillId="0" borderId="2" xfId="54" applyNumberFormat="1" applyFont="1" applyFill="1" applyBorder="1" applyAlignment="1">
      <alignment horizontal="right" vertical="center" wrapText="1"/>
    </xf>
    <xf numFmtId="4" fontId="7" fillId="0" borderId="2" xfId="54" applyNumberFormat="1" applyFont="1" applyFill="1" applyBorder="1" applyAlignment="1">
      <alignment horizontal="right" vertical="center" wrapText="1"/>
    </xf>
    <xf numFmtId="0" fontId="10" fillId="0" borderId="2" xfId="54" applyFont="1" applyFill="1" applyBorder="1" applyAlignment="1">
      <alignment horizontal="justify" vertical="center" wrapText="1"/>
    </xf>
    <xf numFmtId="1" fontId="8" fillId="0" borderId="2" xfId="11" applyNumberFormat="1" applyFont="1" applyFill="1" applyBorder="1" applyAlignment="1">
      <alignment horizontal="justify" vertical="center" wrapText="1"/>
    </xf>
    <xf numFmtId="2" fontId="4" fillId="0" borderId="2" xfId="36" applyNumberFormat="1" applyFont="1" applyFill="1" applyBorder="1" applyAlignment="1">
      <alignment horizontal="center" vertical="center" wrapText="1"/>
    </xf>
    <xf numFmtId="3" fontId="42" fillId="0" borderId="2" xfId="40" applyNumberFormat="1" applyFont="1" applyFill="1" applyBorder="1" applyAlignment="1">
      <alignment horizontal="justify" vertical="center" wrapText="1"/>
    </xf>
    <xf numFmtId="49" fontId="8" fillId="0" borderId="2" xfId="14" applyNumberFormat="1" applyFont="1" applyFill="1" applyBorder="1" applyAlignment="1">
      <alignment horizontal="justify" vertical="center" wrapText="1"/>
    </xf>
    <xf numFmtId="1" fontId="42" fillId="0" borderId="2" xfId="14" applyNumberFormat="1" applyFont="1" applyFill="1" applyBorder="1" applyAlignment="1">
      <alignment horizontal="center" vertical="center" wrapText="1"/>
    </xf>
    <xf numFmtId="1" fontId="42" fillId="0" borderId="2" xfId="11" applyNumberFormat="1" applyFont="1" applyFill="1" applyBorder="1" applyAlignment="1">
      <alignment horizontal="justify" vertical="center" wrapText="1"/>
    </xf>
    <xf numFmtId="3" fontId="8" fillId="0" borderId="2" xfId="55" applyNumberFormat="1" applyFont="1" applyFill="1" applyBorder="1" applyAlignment="1">
      <alignment horizontal="center" vertical="center" wrapText="1"/>
    </xf>
    <xf numFmtId="49" fontId="8" fillId="0" borderId="2" xfId="11" applyNumberFormat="1" applyFont="1" applyFill="1" applyBorder="1" applyAlignment="1">
      <alignment horizontal="justify" vertical="center" wrapText="1"/>
    </xf>
    <xf numFmtId="0" fontId="8" fillId="0" borderId="2" xfId="11" applyNumberFormat="1" applyFont="1" applyFill="1" applyBorder="1" applyAlignment="1">
      <alignment horizontal="justify" vertical="center" wrapText="1"/>
    </xf>
    <xf numFmtId="1" fontId="29" fillId="0" borderId="2" xfId="40" applyNumberFormat="1" applyFont="1" applyFill="1" applyBorder="1" applyAlignment="1">
      <alignment horizontal="center" vertical="center" wrapText="1"/>
    </xf>
    <xf numFmtId="1" fontId="29" fillId="0" borderId="2" xfId="36" applyNumberFormat="1" applyFont="1" applyFill="1" applyBorder="1" applyAlignment="1">
      <alignment horizontal="center" vertical="center" wrapText="1"/>
    </xf>
    <xf numFmtId="4" fontId="10" fillId="0" borderId="2" xfId="50" applyNumberFormat="1" applyFont="1" applyFill="1" applyBorder="1" applyAlignment="1">
      <alignment horizontal="right" vertical="center" wrapText="1"/>
    </xf>
    <xf numFmtId="0" fontId="10" fillId="6" borderId="2" xfId="0" applyFont="1" applyFill="1" applyBorder="1" applyAlignment="1">
      <alignment horizontal="justify" vertical="center" wrapText="1"/>
    </xf>
    <xf numFmtId="3" fontId="8" fillId="6" borderId="2" xfId="55" applyNumberFormat="1" applyFont="1" applyFill="1" applyBorder="1" applyAlignment="1">
      <alignment horizontal="center" vertical="center" wrapText="1"/>
    </xf>
    <xf numFmtId="49" fontId="8" fillId="6" borderId="2" xfId="11" applyNumberFormat="1" applyFont="1" applyFill="1" applyBorder="1" applyAlignment="1">
      <alignment horizontal="justify" vertical="center" wrapText="1"/>
    </xf>
    <xf numFmtId="2" fontId="4" fillId="6" borderId="2" xfId="36" applyNumberFormat="1" applyFont="1" applyFill="1" applyBorder="1" applyAlignment="1">
      <alignment horizontal="center" vertical="center" wrapText="1"/>
    </xf>
    <xf numFmtId="1" fontId="29" fillId="6" borderId="2" xfId="40" applyNumberFormat="1" applyFont="1" applyFill="1" applyBorder="1" applyAlignment="1">
      <alignment horizontal="center" vertical="center" wrapText="1"/>
    </xf>
    <xf numFmtId="1" fontId="29" fillId="6" borderId="2" xfId="36" applyNumberFormat="1" applyFont="1" applyFill="1" applyBorder="1" applyAlignment="1">
      <alignment horizontal="center" vertical="center" wrapText="1"/>
    </xf>
    <xf numFmtId="4" fontId="10" fillId="6" borderId="2" xfId="50" applyNumberFormat="1" applyFont="1" applyFill="1" applyBorder="1" applyAlignment="1">
      <alignment horizontal="right" vertical="center" wrapText="1"/>
    </xf>
    <xf numFmtId="49" fontId="8" fillId="6" borderId="2" xfId="14" applyNumberFormat="1" applyFont="1" applyFill="1" applyBorder="1" applyAlignment="1">
      <alignment horizontal="justify" vertical="center" wrapText="1"/>
    </xf>
    <xf numFmtId="0" fontId="8" fillId="0" borderId="8" xfId="11" applyNumberFormat="1" applyFont="1" applyFill="1" applyBorder="1" applyAlignment="1">
      <alignment horizontal="justify" vertical="center" wrapText="1"/>
    </xf>
    <xf numFmtId="1" fontId="8" fillId="0" borderId="2" xfId="55" applyNumberFormat="1" applyFont="1" applyFill="1" applyBorder="1" applyAlignment="1">
      <alignment horizontal="center" vertical="center" wrapText="1"/>
    </xf>
    <xf numFmtId="1" fontId="8" fillId="0" borderId="2" xfId="27" applyNumberFormat="1" applyFont="1" applyFill="1" applyBorder="1" applyAlignment="1" applyProtection="1">
      <alignment horizontal="center" vertical="center" wrapText="1"/>
    </xf>
    <xf numFmtId="1" fontId="8" fillId="0" borderId="2" xfId="56" applyNumberFormat="1" applyFont="1" applyFill="1" applyBorder="1" applyAlignment="1" applyProtection="1">
      <alignment horizontal="center" vertical="center"/>
    </xf>
    <xf numFmtId="0" fontId="8" fillId="0" borderId="5" xfId="11" applyNumberFormat="1" applyFont="1" applyFill="1" applyBorder="1" applyAlignment="1">
      <alignment horizontal="justify" vertical="center" wrapText="1"/>
    </xf>
    <xf numFmtId="1" fontId="7" fillId="2" borderId="2" xfId="14" applyNumberFormat="1" applyFont="1" applyFill="1" applyBorder="1" applyAlignment="1">
      <alignment horizontal="justify" vertical="center" wrapText="1"/>
    </xf>
    <xf numFmtId="3" fontId="7" fillId="2" borderId="2" xfId="14" applyNumberFormat="1" applyFont="1" applyFill="1" applyBorder="1" applyAlignment="1">
      <alignment horizontal="center" vertical="center" wrapText="1"/>
    </xf>
    <xf numFmtId="4" fontId="7" fillId="2" borderId="2" xfId="14" applyNumberFormat="1" applyFont="1" applyFill="1" applyBorder="1" applyAlignment="1">
      <alignment horizontal="center" vertical="center" wrapText="1"/>
    </xf>
    <xf numFmtId="3" fontId="7" fillId="2" borderId="2" xfId="14" applyNumberFormat="1" applyFont="1" applyFill="1" applyBorder="1" applyAlignment="1">
      <alignment horizontal="right" vertical="center" wrapText="1"/>
    </xf>
    <xf numFmtId="1" fontId="8" fillId="2" borderId="2" xfId="14" applyNumberFormat="1" applyFont="1" applyFill="1" applyBorder="1" applyAlignment="1">
      <alignment horizontal="right" vertical="center" wrapText="1"/>
    </xf>
    <xf numFmtId="4" fontId="7" fillId="2" borderId="2" xfId="14" applyNumberFormat="1" applyFont="1" applyFill="1" applyBorder="1" applyAlignment="1">
      <alignment horizontal="right" vertical="center" wrapText="1"/>
    </xf>
    <xf numFmtId="1" fontId="3" fillId="2" borderId="2" xfId="14" applyNumberFormat="1" applyFont="1" applyFill="1" applyBorder="1" applyAlignment="1">
      <alignment horizontal="justify" vertical="center" wrapText="1"/>
    </xf>
    <xf numFmtId="0" fontId="4" fillId="0" borderId="0" xfId="57" applyFont="1" applyFill="1" applyBorder="1"/>
    <xf numFmtId="0" fontId="6" fillId="0" borderId="0" xfId="34" applyFont="1" applyFill="1" applyBorder="1" applyAlignment="1">
      <alignment horizontal="left" vertical="center"/>
    </xf>
    <xf numFmtId="0" fontId="6" fillId="0" borderId="0" xfId="57" applyFont="1" applyFill="1" applyBorder="1" applyAlignment="1">
      <alignment horizontal="center" vertical="center"/>
    </xf>
    <xf numFmtId="0" fontId="6" fillId="0" borderId="0" xfId="57" applyFont="1" applyFill="1" applyBorder="1" applyAlignment="1">
      <alignment vertical="center"/>
    </xf>
    <xf numFmtId="0" fontId="51" fillId="0" borderId="0" xfId="57" applyFont="1" applyFill="1" applyBorder="1" applyAlignment="1">
      <alignment vertical="center"/>
    </xf>
    <xf numFmtId="0" fontId="51" fillId="0" borderId="0" xfId="57" applyFont="1" applyFill="1" applyBorder="1" applyAlignment="1">
      <alignment horizontal="center" vertical="center"/>
    </xf>
    <xf numFmtId="0" fontId="6" fillId="0" borderId="0" xfId="57" applyFont="1" applyFill="1" applyBorder="1" applyAlignment="1">
      <alignment horizontal="right" vertical="center" wrapText="1"/>
    </xf>
    <xf numFmtId="0" fontId="6" fillId="0" borderId="0" xfId="57" applyFont="1" applyFill="1" applyBorder="1" applyAlignment="1">
      <alignment horizontal="right" vertical="center"/>
    </xf>
    <xf numFmtId="4" fontId="6" fillId="0" borderId="0" xfId="57" applyNumberFormat="1" applyFont="1" applyFill="1" applyBorder="1" applyAlignment="1">
      <alignment vertical="center"/>
    </xf>
    <xf numFmtId="0" fontId="6" fillId="0" borderId="0" xfId="34" applyFont="1" applyFill="1" applyBorder="1" applyAlignment="1">
      <alignment vertical="center"/>
    </xf>
    <xf numFmtId="0" fontId="4" fillId="0" borderId="0" xfId="57" applyFont="1" applyFill="1" applyBorder="1" applyAlignment="1">
      <alignment horizontal="center" vertical="center"/>
    </xf>
    <xf numFmtId="0" fontId="3" fillId="0" borderId="0" xfId="57" applyFont="1" applyFill="1" applyBorder="1" applyAlignment="1">
      <alignment horizontal="center"/>
    </xf>
    <xf numFmtId="0" fontId="3" fillId="0" borderId="0" xfId="57" applyFont="1" applyFill="1" applyBorder="1" applyAlignment="1"/>
    <xf numFmtId="0" fontId="3" fillId="0" borderId="0" xfId="57" applyFont="1" applyFill="1" applyBorder="1" applyAlignment="1">
      <alignment horizontal="right" vertical="center" wrapText="1"/>
    </xf>
    <xf numFmtId="0" fontId="3" fillId="0" borderId="0" xfId="57" applyFont="1" applyFill="1" applyBorder="1" applyAlignment="1">
      <alignment horizontal="right"/>
    </xf>
    <xf numFmtId="0" fontId="3" fillId="0" borderId="0" xfId="57" applyFont="1" applyFill="1" applyBorder="1" applyAlignment="1">
      <alignment horizontal="center" vertical="center"/>
    </xf>
    <xf numFmtId="0" fontId="7" fillId="3" borderId="2" xfId="12" applyFont="1" applyFill="1" applyBorder="1" applyAlignment="1">
      <alignment horizontal="center" vertical="center" wrapText="1"/>
    </xf>
    <xf numFmtId="0" fontId="7" fillId="2" borderId="2" xfId="12" applyFont="1" applyFill="1" applyBorder="1" applyAlignment="1">
      <alignment horizontal="center" vertical="center" wrapText="1"/>
    </xf>
    <xf numFmtId="49" fontId="8" fillId="4" borderId="2" xfId="57" applyNumberFormat="1" applyFont="1" applyFill="1" applyBorder="1" applyAlignment="1">
      <alignment horizontal="justify" vertical="center" wrapText="1"/>
    </xf>
    <xf numFmtId="49" fontId="8" fillId="4" borderId="2" xfId="58" applyNumberFormat="1" applyFont="1" applyFill="1" applyBorder="1" applyAlignment="1">
      <alignment horizontal="justify" vertical="center" wrapText="1"/>
    </xf>
    <xf numFmtId="3" fontId="10" fillId="4" borderId="2" xfId="57" applyNumberFormat="1" applyFont="1" applyFill="1" applyBorder="1" applyAlignment="1">
      <alignment horizontal="right" vertical="center" wrapText="1"/>
    </xf>
    <xf numFmtId="49" fontId="10" fillId="4" borderId="2" xfId="57" applyNumberFormat="1" applyFont="1" applyFill="1" applyBorder="1" applyAlignment="1">
      <alignment horizontal="justify" vertical="center" wrapText="1"/>
    </xf>
    <xf numFmtId="4" fontId="8" fillId="4" borderId="2" xfId="57" applyNumberFormat="1" applyFont="1" applyFill="1" applyBorder="1" applyAlignment="1">
      <alignment horizontal="center" vertical="center" wrapText="1"/>
    </xf>
    <xf numFmtId="3" fontId="8" fillId="4" borderId="2" xfId="57" applyNumberFormat="1" applyFont="1" applyFill="1" applyBorder="1" applyAlignment="1">
      <alignment horizontal="center" vertical="center" wrapText="1"/>
    </xf>
    <xf numFmtId="4" fontId="8" fillId="4" borderId="2" xfId="57" applyNumberFormat="1" applyFont="1" applyFill="1" applyBorder="1" applyAlignment="1">
      <alignment horizontal="right" vertical="center" wrapText="1"/>
    </xf>
    <xf numFmtId="49" fontId="10" fillId="4" borderId="0" xfId="57" applyNumberFormat="1" applyFont="1" applyFill="1" applyBorder="1" applyAlignment="1">
      <alignment horizontal="justify" vertical="center" wrapText="1"/>
    </xf>
    <xf numFmtId="3" fontId="10" fillId="5" borderId="2" xfId="57" applyNumberFormat="1" applyFont="1" applyFill="1" applyBorder="1" applyAlignment="1">
      <alignment horizontal="right" vertical="center" wrapText="1"/>
    </xf>
    <xf numFmtId="49" fontId="10" fillId="5" borderId="2" xfId="57" applyNumberFormat="1" applyFont="1" applyFill="1" applyBorder="1" applyAlignment="1">
      <alignment horizontal="justify" vertical="center" wrapText="1"/>
    </xf>
    <xf numFmtId="4" fontId="8" fillId="5" borderId="2" xfId="57" applyNumberFormat="1" applyFont="1" applyFill="1" applyBorder="1" applyAlignment="1">
      <alignment horizontal="center" vertical="center" wrapText="1"/>
    </xf>
    <xf numFmtId="3" fontId="8" fillId="5" borderId="2" xfId="57" applyNumberFormat="1" applyFont="1" applyFill="1" applyBorder="1" applyAlignment="1">
      <alignment horizontal="center" vertical="center" wrapText="1"/>
    </xf>
    <xf numFmtId="4" fontId="8" fillId="5" borderId="2" xfId="57" applyNumberFormat="1" applyFont="1" applyFill="1" applyBorder="1" applyAlignment="1">
      <alignment horizontal="right" vertical="center" wrapText="1"/>
    </xf>
    <xf numFmtId="3" fontId="10" fillId="2" borderId="2" xfId="57" applyNumberFormat="1" applyFont="1" applyFill="1" applyBorder="1" applyAlignment="1">
      <alignment horizontal="right" vertical="center" wrapText="1"/>
    </xf>
    <xf numFmtId="49" fontId="10" fillId="2" borderId="2" xfId="57" applyNumberFormat="1" applyFont="1" applyFill="1" applyBorder="1" applyAlignment="1">
      <alignment horizontal="justify" vertical="center" wrapText="1"/>
    </xf>
    <xf numFmtId="4" fontId="8" fillId="2" borderId="2" xfId="57" applyNumberFormat="1" applyFont="1" applyFill="1" applyBorder="1" applyAlignment="1">
      <alignment horizontal="center" vertical="center" wrapText="1"/>
    </xf>
    <xf numFmtId="3" fontId="8" fillId="2" borderId="2" xfId="57" applyNumberFormat="1" applyFont="1" applyFill="1" applyBorder="1" applyAlignment="1">
      <alignment horizontal="center" vertical="center" wrapText="1"/>
    </xf>
    <xf numFmtId="4" fontId="8" fillId="2" borderId="2" xfId="57" applyNumberFormat="1" applyFont="1" applyFill="1" applyBorder="1" applyAlignment="1">
      <alignment horizontal="right" vertical="center" wrapText="1"/>
    </xf>
    <xf numFmtId="3" fontId="10" fillId="6" borderId="2" xfId="57" applyNumberFormat="1" applyFont="1" applyFill="1" applyBorder="1" applyAlignment="1">
      <alignment horizontal="right" vertical="center" wrapText="1"/>
    </xf>
    <xf numFmtId="49" fontId="10" fillId="6" borderId="2" xfId="58" applyNumberFormat="1" applyFont="1" applyFill="1" applyBorder="1" applyAlignment="1">
      <alignment horizontal="justify" vertical="center" wrapText="1"/>
    </xf>
    <xf numFmtId="4" fontId="8" fillId="6" borderId="2" xfId="57" applyNumberFormat="1" applyFont="1" applyFill="1" applyBorder="1" applyAlignment="1">
      <alignment horizontal="center" vertical="center" wrapText="1"/>
    </xf>
    <xf numFmtId="3" fontId="8" fillId="6" borderId="2" xfId="57" applyNumberFormat="1" applyFont="1" applyFill="1" applyBorder="1" applyAlignment="1">
      <alignment horizontal="center" vertical="center" wrapText="1"/>
    </xf>
    <xf numFmtId="4" fontId="8" fillId="6" borderId="2" xfId="57" applyNumberFormat="1" applyFont="1" applyFill="1" applyBorder="1" applyAlignment="1">
      <alignment horizontal="right" vertical="center" wrapText="1"/>
    </xf>
    <xf numFmtId="49" fontId="10" fillId="6" borderId="2" xfId="57" applyNumberFormat="1" applyFont="1" applyFill="1" applyBorder="1" applyAlignment="1">
      <alignment horizontal="justify" vertical="center" wrapText="1"/>
    </xf>
    <xf numFmtId="49" fontId="10" fillId="0" borderId="2" xfId="57" applyNumberFormat="1" applyFont="1" applyFill="1" applyBorder="1" applyAlignment="1">
      <alignment horizontal="justify" vertical="center" wrapText="1"/>
    </xf>
    <xf numFmtId="3" fontId="10" fillId="0" borderId="2" xfId="57" applyNumberFormat="1" applyFont="1" applyFill="1" applyBorder="1" applyAlignment="1">
      <alignment horizontal="right" vertical="center" wrapText="1"/>
    </xf>
    <xf numFmtId="49" fontId="8" fillId="0" borderId="2" xfId="57" applyNumberFormat="1" applyFont="1" applyFill="1" applyBorder="1" applyAlignment="1">
      <alignment horizontal="justify" vertical="center" wrapText="1"/>
    </xf>
    <xf numFmtId="4" fontId="8" fillId="0" borderId="2" xfId="57" applyNumberFormat="1" applyFont="1" applyFill="1" applyBorder="1" applyAlignment="1">
      <alignment horizontal="center" vertical="center" wrapText="1"/>
    </xf>
    <xf numFmtId="3" fontId="8" fillId="0" borderId="2" xfId="57" applyNumberFormat="1" applyFont="1" applyFill="1" applyBorder="1" applyAlignment="1">
      <alignment horizontal="center" vertical="center" wrapText="1"/>
    </xf>
    <xf numFmtId="4" fontId="8" fillId="0" borderId="2" xfId="57" applyNumberFormat="1" applyFont="1" applyFill="1" applyBorder="1" applyAlignment="1">
      <alignment horizontal="right" vertical="center" wrapText="1"/>
    </xf>
    <xf numFmtId="49" fontId="8" fillId="0" borderId="2" xfId="58" applyNumberFormat="1" applyFont="1" applyFill="1" applyBorder="1" applyAlignment="1">
      <alignment horizontal="justify" vertical="center" wrapText="1"/>
    </xf>
    <xf numFmtId="0" fontId="10" fillId="0" borderId="2" xfId="57" applyFont="1" applyFill="1" applyBorder="1" applyAlignment="1">
      <alignment horizontal="justify" vertical="center" wrapText="1"/>
    </xf>
    <xf numFmtId="49" fontId="10" fillId="6" borderId="2" xfId="12" applyNumberFormat="1" applyFont="1" applyFill="1" applyBorder="1" applyAlignment="1">
      <alignment horizontal="justify" vertical="center" wrapText="1"/>
    </xf>
    <xf numFmtId="49" fontId="8" fillId="2" borderId="2" xfId="57" applyNumberFormat="1" applyFont="1" applyFill="1" applyBorder="1" applyAlignment="1">
      <alignment horizontal="justify" vertical="center" wrapText="1"/>
    </xf>
    <xf numFmtId="49" fontId="8" fillId="6" borderId="2" xfId="57" applyNumberFormat="1" applyFont="1" applyFill="1" applyBorder="1" applyAlignment="1">
      <alignment horizontal="justify" vertical="center" wrapText="1"/>
    </xf>
    <xf numFmtId="165" fontId="8" fillId="0" borderId="2" xfId="57" applyNumberFormat="1" applyFont="1" applyFill="1" applyBorder="1" applyAlignment="1">
      <alignment horizontal="center" vertical="center" wrapText="1"/>
    </xf>
    <xf numFmtId="3" fontId="8" fillId="0" borderId="2" xfId="57" applyNumberFormat="1" applyFont="1" applyFill="1" applyBorder="1" applyAlignment="1">
      <alignment horizontal="right" vertical="center" wrapText="1"/>
    </xf>
    <xf numFmtId="0" fontId="7" fillId="0" borderId="2" xfId="57" applyFont="1" applyFill="1" applyBorder="1"/>
    <xf numFmtId="49" fontId="8" fillId="5" borderId="2" xfId="58" applyNumberFormat="1" applyFont="1" applyFill="1" applyBorder="1" applyAlignment="1">
      <alignment horizontal="justify" vertical="center" wrapText="1"/>
    </xf>
    <xf numFmtId="49" fontId="8" fillId="2" borderId="2" xfId="58" applyNumberFormat="1" applyFont="1" applyFill="1" applyBorder="1" applyAlignment="1">
      <alignment horizontal="justify" vertical="center" wrapText="1"/>
    </xf>
    <xf numFmtId="0" fontId="10" fillId="2" borderId="2" xfId="57" applyFont="1" applyFill="1" applyBorder="1" applyAlignment="1">
      <alignment horizontal="justify" vertical="center" wrapText="1"/>
    </xf>
    <xf numFmtId="49" fontId="8" fillId="6" borderId="2" xfId="58" applyNumberFormat="1" applyFont="1" applyFill="1" applyBorder="1" applyAlignment="1">
      <alignment horizontal="justify" vertical="center" wrapText="1"/>
    </xf>
    <xf numFmtId="0" fontId="10" fillId="6" borderId="2" xfId="57" applyFont="1" applyFill="1" applyBorder="1" applyAlignment="1">
      <alignment horizontal="justify" vertical="center" wrapText="1"/>
    </xf>
    <xf numFmtId="3" fontId="29" fillId="6" borderId="2" xfId="57" applyNumberFormat="1" applyFont="1" applyFill="1" applyBorder="1" applyAlignment="1">
      <alignment horizontal="right" vertical="center" wrapText="1"/>
    </xf>
    <xf numFmtId="0" fontId="8" fillId="0" borderId="2" xfId="57" applyFont="1" applyFill="1" applyBorder="1" applyAlignment="1">
      <alignment horizontal="justify" vertical="center" wrapText="1"/>
    </xf>
    <xf numFmtId="49" fontId="10" fillId="6" borderId="3" xfId="57" applyNumberFormat="1" applyFont="1" applyFill="1" applyBorder="1" applyAlignment="1">
      <alignment horizontal="justify" vertical="center" wrapText="1"/>
    </xf>
    <xf numFmtId="49" fontId="10" fillId="5" borderId="3" xfId="57" applyNumberFormat="1" applyFont="1" applyFill="1" applyBorder="1" applyAlignment="1">
      <alignment horizontal="justify" vertical="center" wrapText="1"/>
    </xf>
    <xf numFmtId="4" fontId="8" fillId="7" borderId="2" xfId="57" applyNumberFormat="1" applyFont="1" applyFill="1" applyBorder="1" applyAlignment="1">
      <alignment horizontal="right" vertical="center" wrapText="1"/>
    </xf>
    <xf numFmtId="3" fontId="52" fillId="5" borderId="2" xfId="57" applyNumberFormat="1" applyFont="1" applyFill="1" applyBorder="1" applyAlignment="1">
      <alignment horizontal="right" vertical="center" wrapText="1"/>
    </xf>
    <xf numFmtId="49" fontId="52" fillId="5" borderId="2" xfId="57" applyNumberFormat="1" applyFont="1" applyFill="1" applyBorder="1" applyAlignment="1">
      <alignment horizontal="justify" vertical="center" wrapText="1"/>
    </xf>
    <xf numFmtId="3" fontId="10" fillId="0" borderId="2" xfId="58" applyNumberFormat="1" applyFont="1" applyFill="1" applyBorder="1" applyAlignment="1">
      <alignment horizontal="right" vertical="center" wrapText="1"/>
    </xf>
    <xf numFmtId="49" fontId="10" fillId="0" borderId="2" xfId="58" applyNumberFormat="1" applyFont="1" applyFill="1" applyBorder="1" applyAlignment="1">
      <alignment horizontal="justify" vertical="center" wrapText="1"/>
    </xf>
    <xf numFmtId="3" fontId="10" fillId="6" borderId="2" xfId="58" applyNumberFormat="1" applyFont="1" applyFill="1" applyBorder="1" applyAlignment="1">
      <alignment horizontal="right" vertical="center" wrapText="1"/>
    </xf>
    <xf numFmtId="49" fontId="8" fillId="4" borderId="2" xfId="31" applyNumberFormat="1" applyFont="1" applyFill="1" applyBorder="1" applyAlignment="1">
      <alignment horizontal="justify" vertical="center" wrapText="1"/>
    </xf>
    <xf numFmtId="0" fontId="10" fillId="4" borderId="2" xfId="31" applyFont="1" applyFill="1" applyBorder="1" applyAlignment="1">
      <alignment horizontal="justify" vertical="center" wrapText="1"/>
    </xf>
    <xf numFmtId="0" fontId="10" fillId="4" borderId="2" xfId="31" applyFont="1" applyFill="1" applyBorder="1" applyAlignment="1">
      <alignment horizontal="right" vertical="center" wrapText="1"/>
    </xf>
    <xf numFmtId="49" fontId="8" fillId="5" borderId="2" xfId="31" applyNumberFormat="1" applyFont="1" applyFill="1" applyBorder="1" applyAlignment="1">
      <alignment horizontal="justify" vertical="center" wrapText="1"/>
    </xf>
    <xf numFmtId="3" fontId="10" fillId="5" borderId="2" xfId="31" applyNumberFormat="1" applyFont="1" applyFill="1" applyBorder="1" applyAlignment="1">
      <alignment horizontal="right" vertical="center" wrapText="1"/>
    </xf>
    <xf numFmtId="0" fontId="10" fillId="5" borderId="2" xfId="31" applyFont="1" applyFill="1" applyBorder="1" applyAlignment="1">
      <alignment horizontal="justify" vertical="center" wrapText="1"/>
    </xf>
    <xf numFmtId="0" fontId="10" fillId="5" borderId="2" xfId="57" applyFont="1" applyFill="1" applyBorder="1" applyAlignment="1">
      <alignment horizontal="justify" vertical="center" wrapText="1"/>
    </xf>
    <xf numFmtId="49" fontId="8" fillId="2" borderId="2" xfId="31" applyNumberFormat="1" applyFont="1" applyFill="1" applyBorder="1" applyAlignment="1">
      <alignment horizontal="justify" vertical="center" wrapText="1"/>
    </xf>
    <xf numFmtId="3" fontId="10" fillId="2" borderId="2" xfId="31" applyNumberFormat="1" applyFont="1" applyFill="1" applyBorder="1" applyAlignment="1">
      <alignment horizontal="right" vertical="center" wrapText="1"/>
    </xf>
    <xf numFmtId="49" fontId="10" fillId="2" borderId="2" xfId="31" applyNumberFormat="1" applyFont="1" applyFill="1" applyBorder="1" applyAlignment="1">
      <alignment horizontal="justify" vertical="center" wrapText="1"/>
    </xf>
    <xf numFmtId="0" fontId="10" fillId="2" borderId="2" xfId="31" applyFont="1" applyFill="1" applyBorder="1" applyAlignment="1">
      <alignment horizontal="justify" vertical="center" wrapText="1"/>
    </xf>
    <xf numFmtId="49" fontId="10" fillId="6" borderId="2" xfId="31" applyNumberFormat="1" applyFont="1" applyFill="1" applyBorder="1" applyAlignment="1">
      <alignment horizontal="justify" vertical="center" wrapText="1"/>
    </xf>
    <xf numFmtId="3" fontId="10" fillId="6" borderId="2" xfId="31" applyNumberFormat="1" applyFont="1" applyFill="1" applyBorder="1" applyAlignment="1">
      <alignment horizontal="right" vertical="center" wrapText="1"/>
    </xf>
    <xf numFmtId="0" fontId="10" fillId="6" borderId="2" xfId="31" applyFont="1" applyFill="1" applyBorder="1" applyAlignment="1">
      <alignment horizontal="justify" vertical="center" wrapText="1"/>
    </xf>
    <xf numFmtId="49" fontId="10" fillId="0" borderId="2" xfId="31" applyNumberFormat="1" applyFont="1" applyFill="1" applyBorder="1" applyAlignment="1">
      <alignment horizontal="justify" vertical="center" wrapText="1"/>
    </xf>
    <xf numFmtId="49" fontId="8" fillId="0" borderId="2" xfId="31" applyNumberFormat="1" applyFont="1" applyFill="1" applyBorder="1" applyAlignment="1">
      <alignment horizontal="justify" vertical="center" wrapText="1"/>
    </xf>
    <xf numFmtId="3" fontId="8" fillId="0" borderId="2" xfId="31" applyNumberFormat="1" applyFont="1" applyFill="1" applyBorder="1" applyAlignment="1">
      <alignment horizontal="center" vertical="center" wrapText="1"/>
    </xf>
    <xf numFmtId="0" fontId="10" fillId="0" borderId="2" xfId="31" applyFont="1" applyFill="1" applyBorder="1" applyAlignment="1">
      <alignment horizontal="justify" vertical="center" wrapText="1"/>
    </xf>
    <xf numFmtId="4" fontId="10" fillId="0" borderId="2" xfId="57" applyNumberFormat="1" applyFont="1" applyFill="1" applyBorder="1" applyAlignment="1">
      <alignment horizontal="justify" vertical="center" wrapText="1"/>
    </xf>
    <xf numFmtId="0" fontId="8" fillId="0" borderId="2" xfId="31" applyFont="1" applyFill="1" applyBorder="1" applyAlignment="1">
      <alignment horizontal="justify" vertical="center" wrapText="1"/>
    </xf>
    <xf numFmtId="4" fontId="10" fillId="6" borderId="2" xfId="57" applyNumberFormat="1" applyFont="1" applyFill="1" applyBorder="1" applyAlignment="1">
      <alignment horizontal="justify" vertical="center" wrapText="1"/>
    </xf>
    <xf numFmtId="4" fontId="8" fillId="0" borderId="2" xfId="31" applyNumberFormat="1" applyFont="1" applyFill="1" applyBorder="1" applyAlignment="1">
      <alignment horizontal="right" vertical="center" wrapText="1"/>
    </xf>
    <xf numFmtId="49" fontId="8" fillId="6" borderId="2" xfId="31" applyNumberFormat="1" applyFont="1" applyFill="1" applyBorder="1" applyAlignment="1">
      <alignment horizontal="justify" vertical="center" wrapText="1"/>
    </xf>
    <xf numFmtId="49" fontId="8" fillId="2" borderId="2" xfId="10" applyNumberFormat="1" applyFont="1" applyFill="1" applyBorder="1" applyAlignment="1">
      <alignment horizontal="justify" vertical="center" wrapText="1"/>
    </xf>
    <xf numFmtId="3" fontId="8" fillId="2" borderId="2" xfId="31" applyNumberFormat="1" applyFont="1" applyFill="1" applyBorder="1" applyAlignment="1">
      <alignment horizontal="right" vertical="center" wrapText="1"/>
    </xf>
    <xf numFmtId="0" fontId="8" fillId="2" borderId="2" xfId="31" applyFont="1" applyFill="1" applyBorder="1" applyAlignment="1">
      <alignment horizontal="justify" vertical="center" wrapText="1"/>
    </xf>
    <xf numFmtId="0" fontId="8" fillId="2" borderId="2" xfId="31" applyFont="1" applyFill="1" applyBorder="1" applyAlignment="1">
      <alignment horizontal="center" vertical="center" wrapText="1"/>
    </xf>
    <xf numFmtId="49" fontId="8" fillId="0" borderId="1" xfId="10" applyNumberFormat="1" applyFont="1" applyFill="1" applyBorder="1" applyAlignment="1">
      <alignment horizontal="justify" vertical="center" wrapText="1"/>
    </xf>
    <xf numFmtId="0" fontId="4" fillId="0" borderId="0" xfId="11" applyFont="1" applyAlignment="1"/>
    <xf numFmtId="0" fontId="3" fillId="0" borderId="0" xfId="11" applyFont="1" applyAlignment="1">
      <alignment horizontal="left" vertical="center"/>
    </xf>
    <xf numFmtId="1" fontId="3" fillId="0" borderId="0" xfId="11" applyNumberFormat="1" applyFont="1" applyAlignment="1">
      <alignment horizontal="center" vertical="center"/>
    </xf>
    <xf numFmtId="0" fontId="3" fillId="0" borderId="0" xfId="11" applyFont="1" applyAlignment="1">
      <alignment vertical="center"/>
    </xf>
    <xf numFmtId="2" fontId="3" fillId="0" borderId="0" xfId="11" applyNumberFormat="1" applyFont="1" applyAlignment="1">
      <alignment vertical="center"/>
    </xf>
    <xf numFmtId="4" fontId="4" fillId="0" borderId="0" xfId="11" applyNumberFormat="1" applyFont="1" applyAlignment="1">
      <alignment horizontal="center" vertical="center"/>
    </xf>
    <xf numFmtId="2" fontId="4" fillId="0" borderId="0" xfId="11" applyNumberFormat="1" applyFont="1" applyAlignment="1">
      <alignment horizontal="center" vertical="center"/>
    </xf>
    <xf numFmtId="0" fontId="3" fillId="0" borderId="0" xfId="11" applyFont="1" applyAlignment="1">
      <alignment horizontal="center" vertical="center"/>
    </xf>
    <xf numFmtId="166" fontId="3" fillId="0" borderId="0" xfId="11" applyNumberFormat="1" applyFont="1" applyAlignment="1">
      <alignment horizontal="center" vertical="center"/>
    </xf>
    <xf numFmtId="166" fontId="3" fillId="0" borderId="0" xfId="11" applyNumberFormat="1" applyFont="1" applyAlignment="1">
      <alignment vertical="center"/>
    </xf>
    <xf numFmtId="0" fontId="3" fillId="0" borderId="0" xfId="11" applyFont="1" applyAlignment="1">
      <alignment horizontal="justify" vertical="center"/>
    </xf>
    <xf numFmtId="0" fontId="4" fillId="0" borderId="0" xfId="11" applyFont="1" applyAlignment="1">
      <alignment horizontal="left"/>
    </xf>
    <xf numFmtId="0" fontId="4" fillId="0" borderId="0" xfId="11" applyFont="1"/>
    <xf numFmtId="2" fontId="4" fillId="0" borderId="0" xfId="11" applyNumberFormat="1" applyFont="1"/>
    <xf numFmtId="4" fontId="4" fillId="0" borderId="0" xfId="11" applyNumberFormat="1" applyFont="1" applyAlignment="1">
      <alignment horizontal="center"/>
    </xf>
    <xf numFmtId="2" fontId="4" fillId="0" borderId="0" xfId="11" applyNumberFormat="1" applyFont="1" applyAlignment="1">
      <alignment horizontal="center"/>
    </xf>
    <xf numFmtId="0" fontId="3" fillId="0" borderId="0" xfId="11" applyFont="1" applyAlignment="1">
      <alignment horizontal="center"/>
    </xf>
    <xf numFmtId="166" fontId="3" fillId="0" borderId="0" xfId="11" applyNumberFormat="1" applyFont="1" applyAlignment="1">
      <alignment horizontal="center"/>
    </xf>
    <xf numFmtId="166" fontId="3" fillId="0" borderId="0" xfId="11" applyNumberFormat="1" applyFont="1"/>
    <xf numFmtId="0" fontId="3" fillId="0" borderId="0" xfId="11" applyFont="1"/>
    <xf numFmtId="0" fontId="7" fillId="3" borderId="2" xfId="6" applyFont="1" applyFill="1" applyBorder="1" applyAlignment="1">
      <alignment horizontal="center" vertical="center"/>
    </xf>
    <xf numFmtId="4" fontId="8" fillId="4" borderId="2" xfId="11" applyNumberFormat="1" applyFont="1" applyFill="1" applyBorder="1" applyAlignment="1">
      <alignment horizontal="center" vertical="center" wrapText="1"/>
    </xf>
    <xf numFmtId="3" fontId="8" fillId="4" borderId="2" xfId="11" applyNumberFormat="1" applyFont="1" applyFill="1" applyBorder="1" applyAlignment="1">
      <alignment horizontal="right" vertical="center" wrapText="1"/>
    </xf>
    <xf numFmtId="4" fontId="8" fillId="4" borderId="2" xfId="11" applyNumberFormat="1" applyFont="1" applyFill="1" applyBorder="1" applyAlignment="1">
      <alignment horizontal="right" vertical="center" wrapText="1"/>
    </xf>
    <xf numFmtId="49" fontId="8" fillId="4" borderId="2" xfId="11" applyNumberFormat="1" applyFont="1" applyFill="1" applyBorder="1" applyAlignment="1">
      <alignment horizontal="justify" vertical="center" wrapText="1"/>
    </xf>
    <xf numFmtId="4" fontId="8" fillId="5" borderId="2" xfId="11" applyNumberFormat="1" applyFont="1" applyFill="1" applyBorder="1" applyAlignment="1">
      <alignment horizontal="center" vertical="center" wrapText="1"/>
    </xf>
    <xf numFmtId="3" fontId="8" fillId="5" borderId="2" xfId="11" applyNumberFormat="1" applyFont="1" applyFill="1" applyBorder="1" applyAlignment="1">
      <alignment horizontal="right" vertical="center" wrapText="1"/>
    </xf>
    <xf numFmtId="4" fontId="8" fillId="5" borderId="2" xfId="11" applyNumberFormat="1" applyFont="1" applyFill="1" applyBorder="1" applyAlignment="1">
      <alignment horizontal="right" vertical="center" wrapText="1"/>
    </xf>
    <xf numFmtId="49" fontId="8" fillId="5" borderId="2" xfId="11" applyNumberFormat="1" applyFont="1" applyFill="1" applyBorder="1" applyAlignment="1">
      <alignment horizontal="justify" vertical="center" wrapText="1"/>
    </xf>
    <xf numFmtId="49" fontId="8" fillId="2" borderId="2" xfId="11" applyNumberFormat="1" applyFont="1" applyFill="1" applyBorder="1" applyAlignment="1">
      <alignment horizontal="justify" vertical="center" wrapText="1"/>
    </xf>
    <xf numFmtId="3"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3" fontId="8" fillId="0" borderId="2" xfId="11" applyNumberFormat="1" applyFont="1" applyFill="1" applyBorder="1" applyAlignment="1">
      <alignment horizontal="right" vertical="center" wrapText="1"/>
    </xf>
    <xf numFmtId="4" fontId="8" fillId="0" borderId="2" xfId="11" applyNumberFormat="1" applyFont="1" applyFill="1" applyBorder="1" applyAlignment="1">
      <alignment horizontal="right" vertical="center" wrapText="1"/>
    </xf>
    <xf numFmtId="49" fontId="8" fillId="0" borderId="1" xfId="0" applyNumberFormat="1" applyFont="1" applyFill="1" applyBorder="1" applyAlignment="1">
      <alignment horizontal="justify" vertical="center" wrapText="1"/>
    </xf>
    <xf numFmtId="49" fontId="8" fillId="0" borderId="2" xfId="0" applyNumberFormat="1" applyFont="1" applyFill="1" applyBorder="1" applyAlignment="1">
      <alignment vertical="center" wrapText="1"/>
    </xf>
    <xf numFmtId="49" fontId="8" fillId="0" borderId="2" xfId="59" applyNumberFormat="1" applyFont="1" applyBorder="1" applyAlignment="1">
      <alignment horizontal="center" vertical="center" wrapText="1"/>
    </xf>
    <xf numFmtId="49" fontId="8" fillId="0" borderId="2" xfId="60" applyNumberFormat="1" applyFont="1" applyFill="1" applyBorder="1" applyAlignment="1" applyProtection="1">
      <alignment horizontal="justify" vertical="center" wrapText="1"/>
    </xf>
    <xf numFmtId="49" fontId="8" fillId="0" borderId="1" xfId="0" applyNumberFormat="1" applyFont="1" applyFill="1" applyBorder="1" applyAlignment="1">
      <alignment horizontal="justify" vertical="top" wrapText="1"/>
    </xf>
    <xf numFmtId="49" fontId="8" fillId="0" borderId="1" xfId="0" applyNumberFormat="1" applyFont="1" applyFill="1" applyBorder="1" applyAlignment="1">
      <alignment vertical="top" wrapText="1"/>
    </xf>
    <xf numFmtId="49" fontId="8" fillId="0" borderId="1" xfId="61" applyNumberFormat="1" applyFont="1" applyFill="1" applyBorder="1" applyAlignment="1">
      <alignment vertical="top" wrapText="1"/>
    </xf>
    <xf numFmtId="49" fontId="8" fillId="0" borderId="2" xfId="62" applyNumberFormat="1" applyFont="1" applyFill="1" applyBorder="1" applyAlignment="1">
      <alignment horizontal="center" vertical="center" wrapText="1"/>
    </xf>
    <xf numFmtId="49" fontId="8" fillId="6" borderId="2" xfId="62" applyNumberFormat="1" applyFont="1" applyFill="1" applyBorder="1" applyAlignment="1">
      <alignment horizontal="center" vertical="center" wrapText="1"/>
    </xf>
    <xf numFmtId="49" fontId="8" fillId="6" borderId="2" xfId="61" applyNumberFormat="1" applyFont="1" applyFill="1" applyBorder="1" applyAlignment="1">
      <alignment horizontal="justify" vertical="center" wrapText="1"/>
    </xf>
    <xf numFmtId="49" fontId="8" fillId="0" borderId="2" xfId="0" applyNumberFormat="1" applyFont="1" applyFill="1" applyBorder="1" applyAlignment="1">
      <alignment horizontal="justify" vertical="top" wrapText="1"/>
    </xf>
    <xf numFmtId="49" fontId="8" fillId="0" borderId="2" xfId="0" applyNumberFormat="1" applyFont="1" applyFill="1" applyBorder="1" applyAlignment="1">
      <alignment vertical="top" wrapText="1"/>
    </xf>
    <xf numFmtId="49" fontId="8" fillId="0" borderId="26" xfId="0" applyNumberFormat="1" applyFont="1" applyFill="1" applyBorder="1" applyAlignment="1">
      <alignment vertical="top" wrapText="1"/>
    </xf>
    <xf numFmtId="49" fontId="8" fillId="0" borderId="1" xfId="61" applyNumberFormat="1" applyFont="1" applyFill="1" applyBorder="1" applyAlignment="1">
      <alignment horizontal="justify" vertical="top" wrapText="1"/>
    </xf>
    <xf numFmtId="49" fontId="8" fillId="4" borderId="2" xfId="59" applyNumberFormat="1" applyFont="1" applyFill="1" applyBorder="1" applyAlignment="1">
      <alignment horizontal="justify" vertical="center" wrapText="1"/>
    </xf>
    <xf numFmtId="49" fontId="8" fillId="4" borderId="3" xfId="11" applyNumberFormat="1" applyFont="1" applyFill="1" applyBorder="1" applyAlignment="1">
      <alignment horizontal="justify" vertical="center" wrapText="1"/>
    </xf>
    <xf numFmtId="49" fontId="8" fillId="5" borderId="2" xfId="59" applyNumberFormat="1" applyFont="1" applyFill="1" applyBorder="1" applyAlignment="1">
      <alignment horizontal="justify" vertical="center" wrapText="1"/>
    </xf>
    <xf numFmtId="49" fontId="8" fillId="5" borderId="3" xfId="11" applyNumberFormat="1" applyFont="1" applyFill="1" applyBorder="1" applyAlignment="1">
      <alignment horizontal="justify" vertical="center" wrapText="1"/>
    </xf>
    <xf numFmtId="49" fontId="8" fillId="2" borderId="2" xfId="59" applyNumberFormat="1" applyFont="1" applyFill="1" applyBorder="1" applyAlignment="1">
      <alignment horizontal="justify" vertical="center" wrapText="1"/>
    </xf>
    <xf numFmtId="49" fontId="8" fillId="2" borderId="3" xfId="11" applyNumberFormat="1" applyFont="1" applyFill="1" applyBorder="1" applyAlignment="1">
      <alignment horizontal="justify" vertical="center" wrapText="1"/>
    </xf>
    <xf numFmtId="3" fontId="8" fillId="6" borderId="2" xfId="61" applyNumberFormat="1" applyFont="1" applyFill="1" applyBorder="1" applyAlignment="1">
      <alignment horizontal="center" vertical="center" wrapText="1"/>
    </xf>
    <xf numFmtId="49" fontId="8" fillId="6" borderId="2" xfId="61" applyNumberFormat="1" applyFont="1" applyFill="1" applyBorder="1" applyAlignment="1">
      <alignment horizontal="center" vertical="center" wrapText="1"/>
    </xf>
    <xf numFmtId="4" fontId="8" fillId="6" borderId="2" xfId="61" applyNumberFormat="1" applyFont="1" applyFill="1" applyBorder="1" applyAlignment="1">
      <alignment horizontal="center" vertical="center" wrapText="1"/>
    </xf>
    <xf numFmtId="3" fontId="8" fillId="6" borderId="2" xfId="61" applyNumberFormat="1" applyFont="1" applyFill="1" applyBorder="1" applyAlignment="1">
      <alignment horizontal="right" vertical="center" wrapText="1"/>
    </xf>
    <xf numFmtId="4" fontId="8" fillId="6" borderId="2" xfId="61" applyNumberFormat="1" applyFont="1" applyFill="1" applyBorder="1" applyAlignment="1">
      <alignment horizontal="right" vertical="center" wrapText="1"/>
    </xf>
    <xf numFmtId="49" fontId="8" fillId="6" borderId="2" xfId="59" applyNumberFormat="1" applyFont="1" applyFill="1" applyBorder="1" applyAlignment="1">
      <alignment horizontal="justify" vertical="center" wrapText="1"/>
    </xf>
    <xf numFmtId="49" fontId="8" fillId="6" borderId="3" xfId="61" applyNumberFormat="1" applyFont="1" applyFill="1" applyBorder="1" applyAlignment="1">
      <alignment horizontal="justify" vertical="center" wrapText="1"/>
    </xf>
    <xf numFmtId="49" fontId="8" fillId="0" borderId="2" xfId="61" applyNumberFormat="1" applyFont="1" applyFill="1" applyBorder="1" applyAlignment="1">
      <alignment horizontal="justify" vertical="center" wrapText="1"/>
    </xf>
    <xf numFmtId="49" fontId="8" fillId="0" borderId="2" xfId="62" applyNumberFormat="1" applyFont="1" applyFill="1" applyBorder="1" applyAlignment="1">
      <alignment horizontal="justify" vertical="center" wrapText="1"/>
    </xf>
    <xf numFmtId="49" fontId="8" fillId="0" borderId="2" xfId="59" applyNumberFormat="1" applyFont="1" applyFill="1" applyBorder="1" applyAlignment="1">
      <alignment horizontal="justify" vertical="center" wrapText="1"/>
    </xf>
    <xf numFmtId="49" fontId="8" fillId="0" borderId="3" xfId="61" applyNumberFormat="1" applyFont="1" applyFill="1" applyBorder="1" applyAlignment="1">
      <alignment horizontal="justify" vertical="center" wrapText="1"/>
    </xf>
    <xf numFmtId="49" fontId="8" fillId="0" borderId="2" xfId="61" applyNumberFormat="1" applyFont="1" applyFill="1" applyBorder="1" applyAlignment="1">
      <alignment horizontal="justify" vertical="top" wrapText="1"/>
    </xf>
    <xf numFmtId="49" fontId="8" fillId="0" borderId="2" xfId="61" applyNumberFormat="1" applyFont="1" applyFill="1" applyBorder="1" applyAlignment="1">
      <alignment vertical="top" wrapText="1"/>
    </xf>
    <xf numFmtId="49" fontId="8" fillId="0" borderId="2" xfId="62" applyNumberFormat="1" applyFont="1" applyFill="1" applyBorder="1" applyAlignment="1">
      <alignment vertical="top" wrapText="1"/>
    </xf>
    <xf numFmtId="0" fontId="8" fillId="0" borderId="2" xfId="61" applyFont="1" applyFill="1" applyBorder="1" applyAlignment="1">
      <alignment horizontal="justify" vertical="center" wrapText="1"/>
    </xf>
    <xf numFmtId="3" fontId="8" fillId="6" borderId="2" xfId="11" applyNumberFormat="1" applyFont="1" applyFill="1" applyBorder="1" applyAlignment="1">
      <alignment horizontal="center" vertical="center" wrapText="1"/>
    </xf>
    <xf numFmtId="49" fontId="8" fillId="6" borderId="2" xfId="11" applyNumberFormat="1" applyFont="1" applyFill="1" applyBorder="1" applyAlignment="1">
      <alignment horizontal="center" vertical="center" wrapText="1"/>
    </xf>
    <xf numFmtId="49" fontId="8" fillId="6" borderId="3" xfId="11" applyNumberFormat="1" applyFont="1" applyFill="1" applyBorder="1" applyAlignment="1">
      <alignment horizontal="justify" vertical="center" wrapText="1"/>
    </xf>
    <xf numFmtId="49" fontId="8" fillId="0" borderId="2" xfId="61" applyNumberFormat="1" applyFont="1" applyFill="1" applyBorder="1" applyAlignment="1">
      <alignment horizontal="center" vertical="center" wrapText="1"/>
    </xf>
    <xf numFmtId="3" fontId="8" fillId="0" borderId="2" xfId="59" applyNumberFormat="1" applyFont="1" applyFill="1" applyBorder="1" applyAlignment="1">
      <alignment horizontal="right" vertical="center" wrapText="1"/>
    </xf>
    <xf numFmtId="49" fontId="8" fillId="0" borderId="2" xfId="59" applyNumberFormat="1" applyFont="1" applyFill="1" applyBorder="1" applyAlignment="1">
      <alignment horizontal="center" vertical="center" wrapText="1"/>
    </xf>
    <xf numFmtId="49" fontId="8" fillId="0" borderId="3" xfId="11" applyNumberFormat="1" applyFont="1" applyFill="1" applyBorder="1" applyAlignment="1">
      <alignment horizontal="justify" vertical="center" wrapText="1"/>
    </xf>
    <xf numFmtId="49" fontId="8" fillId="0" borderId="2" xfId="61" applyNumberFormat="1" applyFont="1" applyFill="1" applyBorder="1" applyAlignment="1">
      <alignment vertical="center" wrapText="1"/>
    </xf>
    <xf numFmtId="49" fontId="8" fillId="0" borderId="3" xfId="62" applyNumberFormat="1" applyFont="1" applyFill="1" applyBorder="1" applyAlignment="1">
      <alignment horizontal="justify" vertical="center" wrapText="1"/>
    </xf>
    <xf numFmtId="49" fontId="8" fillId="0" borderId="1" xfId="59" applyNumberFormat="1" applyFont="1" applyFill="1" applyBorder="1" applyAlignment="1">
      <alignment horizontal="justify" vertical="center" wrapText="1"/>
    </xf>
    <xf numFmtId="49" fontId="8" fillId="0" borderId="1" xfId="59" applyNumberFormat="1" applyFont="1" applyFill="1" applyBorder="1" applyAlignment="1">
      <alignment horizontal="center" vertical="center" wrapText="1"/>
    </xf>
    <xf numFmtId="49" fontId="7" fillId="0" borderId="3" xfId="61" applyNumberFormat="1" applyFont="1" applyFill="1" applyBorder="1" applyAlignment="1">
      <alignment horizontal="justify" vertical="center" wrapText="1"/>
    </xf>
    <xf numFmtId="49" fontId="8" fillId="6" borderId="2" xfId="59" applyNumberFormat="1" applyFont="1" applyFill="1" applyBorder="1" applyAlignment="1">
      <alignment horizontal="center" vertical="center" wrapText="1"/>
    </xf>
    <xf numFmtId="49" fontId="8" fillId="6" borderId="2" xfId="11" applyNumberFormat="1" applyFont="1" applyFill="1" applyBorder="1" applyAlignment="1">
      <alignment horizontal="justify" vertical="center" textRotation="90" wrapText="1"/>
    </xf>
    <xf numFmtId="49" fontId="8" fillId="0" borderId="2" xfId="62" applyNumberFormat="1" applyFont="1" applyFill="1" applyBorder="1" applyAlignment="1">
      <alignment vertical="center" wrapText="1"/>
    </xf>
    <xf numFmtId="49" fontId="8" fillId="6" borderId="2" xfId="62" applyNumberFormat="1" applyFont="1" applyFill="1" applyBorder="1" applyAlignment="1">
      <alignment horizontal="justify" vertical="center" wrapText="1"/>
    </xf>
    <xf numFmtId="49" fontId="8" fillId="0" borderId="1" xfId="61" applyNumberFormat="1" applyFont="1" applyFill="1" applyBorder="1" applyAlignment="1">
      <alignment vertical="center" wrapText="1"/>
    </xf>
    <xf numFmtId="49" fontId="8" fillId="2" borderId="7" xfId="11" applyNumberFormat="1" applyFont="1" applyFill="1" applyBorder="1" applyAlignment="1">
      <alignment horizontal="justify" vertical="center" wrapText="1"/>
    </xf>
    <xf numFmtId="4" fontId="8" fillId="2" borderId="7" xfId="11" applyNumberFormat="1" applyFont="1" applyFill="1" applyBorder="1" applyAlignment="1">
      <alignment horizontal="center" vertical="center" wrapText="1"/>
    </xf>
    <xf numFmtId="4" fontId="8" fillId="2" borderId="7" xfId="11" applyNumberFormat="1" applyFont="1" applyFill="1" applyBorder="1" applyAlignment="1">
      <alignment horizontal="justify" vertical="center" wrapText="1"/>
    </xf>
    <xf numFmtId="0" fontId="3" fillId="0" borderId="0" xfId="34" applyFont="1" applyFill="1" applyBorder="1" applyAlignment="1">
      <alignment horizontal="left" vertical="center"/>
    </xf>
    <xf numFmtId="0" fontId="3" fillId="0" borderId="0" xfId="34" applyFont="1" applyFill="1" applyBorder="1" applyAlignment="1">
      <alignment vertical="center"/>
    </xf>
    <xf numFmtId="3" fontId="10" fillId="0" borderId="2" xfId="0" applyNumberFormat="1" applyFont="1" applyFill="1" applyBorder="1" applyAlignment="1">
      <alignment horizontal="right" vertical="center" wrapText="1"/>
    </xf>
    <xf numFmtId="3" fontId="10" fillId="0" borderId="2" xfId="27" applyNumberFormat="1" applyFont="1" applyFill="1" applyBorder="1" applyAlignment="1">
      <alignment horizontal="right" vertical="center" wrapText="1"/>
    </xf>
    <xf numFmtId="4" fontId="10" fillId="0" borderId="2" xfId="0" applyNumberFormat="1" applyFont="1" applyFill="1" applyBorder="1" applyAlignment="1">
      <alignment horizontal="right" vertical="center" wrapText="1"/>
    </xf>
    <xf numFmtId="49" fontId="10" fillId="0" borderId="2" xfId="12" applyNumberFormat="1" applyFont="1" applyFill="1" applyBorder="1" applyAlignment="1">
      <alignment horizontal="justify" vertical="center" wrapText="1"/>
    </xf>
    <xf numFmtId="3" fontId="8" fillId="0" borderId="2" xfId="12" applyNumberFormat="1" applyFont="1" applyFill="1" applyBorder="1" applyAlignment="1">
      <alignment horizontal="right" vertical="center" wrapText="1"/>
    </xf>
    <xf numFmtId="3" fontId="10" fillId="0" borderId="2" xfId="12" applyNumberFormat="1" applyFont="1" applyFill="1" applyBorder="1" applyAlignment="1">
      <alignment horizontal="right" vertical="center" wrapText="1"/>
    </xf>
    <xf numFmtId="49" fontId="10" fillId="0" borderId="2" xfId="14" applyNumberFormat="1" applyFont="1" applyFill="1" applyBorder="1" applyAlignment="1">
      <alignment horizontal="justify" vertical="center" wrapText="1"/>
    </xf>
    <xf numFmtId="4" fontId="10" fillId="4" borderId="2" xfId="0" applyNumberFormat="1" applyFont="1" applyFill="1" applyBorder="1" applyAlignment="1">
      <alignment horizontal="center" vertical="center" wrapText="1"/>
    </xf>
    <xf numFmtId="4" fontId="10" fillId="4" borderId="2" xfId="0" applyNumberFormat="1" applyFont="1" applyFill="1" applyBorder="1" applyAlignment="1">
      <alignment horizontal="right" vertical="center" wrapText="1"/>
    </xf>
    <xf numFmtId="4" fontId="10" fillId="5" borderId="2" xfId="0" applyNumberFormat="1" applyFont="1" applyFill="1" applyBorder="1" applyAlignment="1">
      <alignment horizontal="center" vertical="center" wrapText="1"/>
    </xf>
    <xf numFmtId="4" fontId="10" fillId="5" borderId="2" xfId="0" applyNumberFormat="1" applyFont="1" applyFill="1" applyBorder="1" applyAlignment="1">
      <alignment horizontal="right" vertical="center" wrapText="1"/>
    </xf>
    <xf numFmtId="3" fontId="54" fillId="2" borderId="2" xfId="0" applyNumberFormat="1" applyFont="1" applyFill="1" applyBorder="1" applyAlignment="1">
      <alignment horizontal="right" vertical="center" wrapText="1"/>
    </xf>
    <xf numFmtId="4" fontId="54" fillId="2" borderId="2" xfId="0" applyNumberFormat="1" applyFont="1" applyFill="1" applyBorder="1" applyAlignment="1">
      <alignment horizontal="right" vertical="center" wrapText="1"/>
    </xf>
    <xf numFmtId="3" fontId="54" fillId="6" borderId="2" xfId="0" applyNumberFormat="1" applyFont="1" applyFill="1" applyBorder="1" applyAlignment="1">
      <alignment horizontal="right" vertical="center" wrapText="1"/>
    </xf>
    <xf numFmtId="4" fontId="54" fillId="6" borderId="2" xfId="0" applyNumberFormat="1" applyFont="1" applyFill="1" applyBorder="1" applyAlignment="1">
      <alignment horizontal="right" vertical="center" wrapText="1"/>
    </xf>
    <xf numFmtId="4" fontId="29" fillId="0" borderId="2" xfId="0" applyNumberFormat="1" applyFont="1" applyFill="1" applyBorder="1" applyAlignment="1">
      <alignment horizontal="right" vertical="center" wrapText="1"/>
    </xf>
    <xf numFmtId="3" fontId="54" fillId="0" borderId="2" xfId="0" applyNumberFormat="1" applyFont="1" applyFill="1" applyBorder="1" applyAlignment="1">
      <alignment horizontal="right" vertical="center" wrapText="1"/>
    </xf>
    <xf numFmtId="4" fontId="54" fillId="0" borderId="2" xfId="0" applyNumberFormat="1" applyFont="1" applyFill="1" applyBorder="1" applyAlignment="1">
      <alignment horizontal="right" vertical="center" wrapText="1"/>
    </xf>
    <xf numFmtId="0" fontId="8" fillId="2" borderId="2" xfId="0" applyFont="1" applyFill="1" applyBorder="1" applyAlignment="1">
      <alignment horizontal="justify" vertical="center" wrapText="1"/>
    </xf>
    <xf numFmtId="0" fontId="4" fillId="0" borderId="0" xfId="6" applyFont="1" applyFill="1" applyBorder="1"/>
    <xf numFmtId="0" fontId="6" fillId="0" borderId="0" xfId="6" applyFont="1" applyFill="1" applyBorder="1" applyAlignment="1">
      <alignment vertical="center"/>
    </xf>
    <xf numFmtId="0" fontId="55" fillId="0" borderId="0" xfId="6" applyFont="1" applyFill="1" applyBorder="1" applyAlignment="1">
      <alignment vertical="center"/>
    </xf>
    <xf numFmtId="0" fontId="6" fillId="0" borderId="0" xfId="63" applyFont="1" applyFill="1" applyBorder="1" applyAlignment="1">
      <alignment horizontal="left" vertical="center"/>
    </xf>
    <xf numFmtId="0" fontId="3" fillId="0" borderId="0" xfId="6" applyFont="1" applyFill="1" applyBorder="1" applyAlignment="1"/>
    <xf numFmtId="0" fontId="7" fillId="3" borderId="3" xfId="6" applyFont="1" applyFill="1" applyBorder="1" applyAlignment="1">
      <alignment horizontal="center" vertical="center" wrapText="1"/>
    </xf>
    <xf numFmtId="4" fontId="8" fillId="4" borderId="2" xfId="63" applyNumberFormat="1" applyFont="1" applyFill="1" applyBorder="1" applyAlignment="1">
      <alignment horizontal="center" vertical="center" wrapText="1"/>
    </xf>
    <xf numFmtId="3" fontId="8" fillId="4" borderId="2" xfId="63" applyNumberFormat="1" applyFont="1" applyFill="1" applyBorder="1" applyAlignment="1">
      <alignment horizontal="right" vertical="center" wrapText="1"/>
    </xf>
    <xf numFmtId="4" fontId="8" fillId="4" borderId="2" xfId="63" applyNumberFormat="1" applyFont="1" applyFill="1" applyBorder="1" applyAlignment="1">
      <alignment horizontal="right" vertical="center" wrapText="1"/>
    </xf>
    <xf numFmtId="0" fontId="8" fillId="4" borderId="2" xfId="63" applyFont="1" applyFill="1" applyBorder="1" applyAlignment="1">
      <alignment horizontal="justify" vertical="center" wrapText="1"/>
    </xf>
    <xf numFmtId="4" fontId="8" fillId="5" borderId="2" xfId="63" applyNumberFormat="1" applyFont="1" applyFill="1" applyBorder="1" applyAlignment="1">
      <alignment horizontal="center" vertical="center" wrapText="1"/>
    </xf>
    <xf numFmtId="3" fontId="8" fillId="5" borderId="2" xfId="63" applyNumberFormat="1" applyFont="1" applyFill="1" applyBorder="1" applyAlignment="1">
      <alignment horizontal="right" vertical="center" wrapText="1"/>
    </xf>
    <xf numFmtId="4" fontId="8" fillId="5" borderId="2" xfId="63" applyNumberFormat="1" applyFont="1" applyFill="1" applyBorder="1" applyAlignment="1">
      <alignment horizontal="right" vertical="center" wrapText="1"/>
    </xf>
    <xf numFmtId="0" fontId="8" fillId="5" borderId="2" xfId="63" applyFont="1" applyFill="1" applyBorder="1" applyAlignment="1">
      <alignment horizontal="justify" vertical="center" wrapText="1"/>
    </xf>
    <xf numFmtId="4" fontId="8" fillId="2" borderId="2" xfId="63" applyNumberFormat="1" applyFont="1" applyFill="1" applyBorder="1" applyAlignment="1">
      <alignment horizontal="center" vertical="center" wrapText="1"/>
    </xf>
    <xf numFmtId="3" fontId="8" fillId="2" borderId="2" xfId="63" applyNumberFormat="1" applyFont="1" applyFill="1" applyBorder="1" applyAlignment="1">
      <alignment horizontal="right" vertical="center" wrapText="1"/>
    </xf>
    <xf numFmtId="4" fontId="8" fillId="2" borderId="2" xfId="63" applyNumberFormat="1" applyFont="1" applyFill="1" applyBorder="1" applyAlignment="1">
      <alignment horizontal="right" vertical="center" wrapText="1"/>
    </xf>
    <xf numFmtId="0" fontId="8" fillId="2" borderId="2" xfId="63" applyFont="1" applyFill="1" applyBorder="1" applyAlignment="1">
      <alignment horizontal="justify" vertical="center" wrapText="1"/>
    </xf>
    <xf numFmtId="4" fontId="8" fillId="6" borderId="2" xfId="63" applyNumberFormat="1" applyFont="1" applyFill="1" applyBorder="1" applyAlignment="1">
      <alignment horizontal="center" vertical="center" wrapText="1"/>
    </xf>
    <xf numFmtId="3" fontId="8" fillId="6" borderId="2" xfId="63" applyNumberFormat="1" applyFont="1" applyFill="1" applyBorder="1" applyAlignment="1">
      <alignment horizontal="right" vertical="center" wrapText="1"/>
    </xf>
    <xf numFmtId="4" fontId="10" fillId="6" borderId="2" xfId="63" applyNumberFormat="1" applyFont="1" applyFill="1" applyBorder="1" applyAlignment="1">
      <alignment horizontal="right" vertical="center" wrapText="1"/>
    </xf>
    <xf numFmtId="4" fontId="8" fillId="6" borderId="2" xfId="63" applyNumberFormat="1" applyFont="1" applyFill="1" applyBorder="1" applyAlignment="1">
      <alignment horizontal="right" vertical="center" wrapText="1"/>
    </xf>
    <xf numFmtId="0" fontId="8" fillId="6" borderId="2" xfId="63" applyFont="1" applyFill="1" applyBorder="1" applyAlignment="1">
      <alignment horizontal="justify" vertical="center" wrapText="1"/>
    </xf>
    <xf numFmtId="4" fontId="8" fillId="0" borderId="2" xfId="63" applyNumberFormat="1" applyFont="1" applyFill="1" applyBorder="1" applyAlignment="1">
      <alignment horizontal="center" vertical="center" wrapText="1"/>
    </xf>
    <xf numFmtId="3" fontId="8" fillId="0" borderId="2" xfId="63" applyNumberFormat="1" applyFont="1" applyFill="1" applyBorder="1" applyAlignment="1">
      <alignment horizontal="right" vertical="center" wrapText="1"/>
    </xf>
    <xf numFmtId="4" fontId="8" fillId="0" borderId="2" xfId="63" applyNumberFormat="1" applyFont="1" applyFill="1" applyBorder="1" applyAlignment="1">
      <alignment horizontal="right" vertical="center" wrapText="1"/>
    </xf>
    <xf numFmtId="4" fontId="10" fillId="0" borderId="2" xfId="63" applyNumberFormat="1" applyFont="1" applyFill="1" applyBorder="1" applyAlignment="1">
      <alignment horizontal="right" vertical="center" wrapText="1"/>
    </xf>
    <xf numFmtId="0" fontId="8" fillId="0" borderId="2" xfId="63" applyFont="1" applyFill="1" applyBorder="1" applyAlignment="1">
      <alignment horizontal="justify" vertical="center" wrapText="1"/>
    </xf>
    <xf numFmtId="49" fontId="10" fillId="0" borderId="2" xfId="6" applyNumberFormat="1" applyFont="1" applyFill="1" applyBorder="1" applyAlignment="1">
      <alignment horizontal="justify" vertical="center" wrapText="1"/>
    </xf>
    <xf numFmtId="0" fontId="57" fillId="3" borderId="2" xfId="63" applyFont="1" applyFill="1" applyBorder="1" applyAlignment="1">
      <alignment horizontal="center"/>
    </xf>
    <xf numFmtId="4" fontId="8" fillId="3" borderId="2" xfId="63" applyNumberFormat="1" applyFont="1" applyFill="1" applyBorder="1" applyAlignment="1">
      <alignment horizontal="center" vertical="center" wrapText="1"/>
    </xf>
    <xf numFmtId="3" fontId="57" fillId="3" borderId="2" xfId="63" applyNumberFormat="1" applyFont="1" applyFill="1" applyBorder="1" applyAlignment="1">
      <alignment horizontal="right" vertical="center" wrapText="1"/>
    </xf>
    <xf numFmtId="4" fontId="8" fillId="3" borderId="2" xfId="63" applyNumberFormat="1" applyFont="1" applyFill="1" applyBorder="1" applyAlignment="1">
      <alignment horizontal="right" vertical="center" wrapText="1"/>
    </xf>
    <xf numFmtId="4" fontId="57" fillId="3" borderId="2" xfId="63" applyNumberFormat="1" applyFont="1" applyFill="1" applyBorder="1" applyAlignment="1">
      <alignment horizontal="right" vertical="center" wrapText="1"/>
    </xf>
    <xf numFmtId="0" fontId="8" fillId="4" borderId="2" xfId="6" applyFont="1" applyFill="1" applyBorder="1" applyAlignment="1">
      <alignment horizontal="left" vertical="center" wrapText="1"/>
    </xf>
    <xf numFmtId="49" fontId="10" fillId="4" borderId="2" xfId="6" applyNumberFormat="1" applyFont="1" applyFill="1" applyBorder="1" applyAlignment="1">
      <alignment horizontal="center" vertical="center" wrapText="1"/>
    </xf>
    <xf numFmtId="0" fontId="10" fillId="4" borderId="2" xfId="6" applyFont="1" applyFill="1" applyBorder="1" applyAlignment="1">
      <alignment horizontal="justify" vertical="center" wrapText="1"/>
    </xf>
    <xf numFmtId="4" fontId="10" fillId="4" borderId="2" xfId="6" applyNumberFormat="1" applyFont="1" applyFill="1" applyBorder="1" applyAlignment="1">
      <alignment horizontal="center" vertical="center" wrapText="1"/>
    </xf>
    <xf numFmtId="2" fontId="10" fillId="4" borderId="2" xfId="6" applyNumberFormat="1" applyFont="1" applyFill="1" applyBorder="1" applyAlignment="1">
      <alignment horizontal="center" vertical="center" wrapText="1"/>
    </xf>
    <xf numFmtId="0" fontId="10" fillId="4" borderId="2" xfId="6" applyFont="1" applyFill="1" applyBorder="1" applyAlignment="1">
      <alignment horizontal="center" vertical="center" wrapText="1"/>
    </xf>
    <xf numFmtId="0" fontId="10" fillId="4" borderId="2" xfId="6" applyFont="1" applyFill="1" applyBorder="1" applyAlignment="1">
      <alignment horizontal="right" vertical="center" wrapText="1"/>
    </xf>
    <xf numFmtId="4" fontId="10" fillId="4" borderId="2" xfId="6" applyNumberFormat="1" applyFont="1" applyFill="1" applyBorder="1" applyAlignment="1">
      <alignment horizontal="right" vertical="center" wrapText="1"/>
    </xf>
    <xf numFmtId="0" fontId="8" fillId="5" borderId="2" xfId="6" applyFont="1" applyFill="1" applyBorder="1" applyAlignment="1">
      <alignment horizontal="left" vertical="center" wrapText="1"/>
    </xf>
    <xf numFmtId="0" fontId="10" fillId="5" borderId="2" xfId="6" applyFont="1" applyFill="1" applyBorder="1" applyAlignment="1">
      <alignment horizontal="justify" vertical="center" wrapText="1"/>
    </xf>
    <xf numFmtId="49" fontId="10" fillId="5" borderId="2" xfId="6" applyNumberFormat="1" applyFont="1" applyFill="1" applyBorder="1" applyAlignment="1">
      <alignment horizontal="center" vertical="center" wrapText="1"/>
    </xf>
    <xf numFmtId="4" fontId="10" fillId="5" borderId="2" xfId="6" applyNumberFormat="1" applyFont="1" applyFill="1" applyBorder="1" applyAlignment="1">
      <alignment horizontal="center" vertical="center" wrapText="1"/>
    </xf>
    <xf numFmtId="2" fontId="10" fillId="5" borderId="2" xfId="6" applyNumberFormat="1" applyFont="1" applyFill="1" applyBorder="1" applyAlignment="1">
      <alignment horizontal="center" vertical="center" wrapText="1"/>
    </xf>
    <xf numFmtId="0" fontId="10" fillId="5" borderId="2" xfId="6" applyFont="1" applyFill="1" applyBorder="1" applyAlignment="1">
      <alignment horizontal="center" vertical="center" textRotation="90" wrapText="1"/>
    </xf>
    <xf numFmtId="0" fontId="10" fillId="5" borderId="2" xfId="6" applyFont="1" applyFill="1" applyBorder="1" applyAlignment="1">
      <alignment horizontal="right" vertical="center" wrapText="1"/>
    </xf>
    <xf numFmtId="4" fontId="10" fillId="5" borderId="2" xfId="6" applyNumberFormat="1" applyFont="1" applyFill="1" applyBorder="1" applyAlignment="1">
      <alignment horizontal="right" vertical="center" wrapText="1"/>
    </xf>
    <xf numFmtId="0" fontId="10" fillId="5" borderId="2" xfId="6" applyFont="1" applyFill="1" applyBorder="1" applyAlignment="1">
      <alignment horizontal="center" vertical="center" wrapText="1"/>
    </xf>
    <xf numFmtId="0" fontId="8" fillId="2" borderId="2" xfId="6" applyFont="1" applyFill="1" applyBorder="1" applyAlignment="1">
      <alignment horizontal="left" vertical="center" wrapText="1"/>
    </xf>
    <xf numFmtId="0" fontId="10" fillId="2" borderId="2" xfId="64" applyFont="1" applyFill="1" applyBorder="1" applyAlignment="1">
      <alignment horizontal="justify" vertical="center" wrapText="1"/>
    </xf>
    <xf numFmtId="49" fontId="10" fillId="2" borderId="2" xfId="6" applyNumberFormat="1" applyFont="1" applyFill="1" applyBorder="1" applyAlignment="1">
      <alignment horizontal="center" vertical="center" wrapText="1"/>
    </xf>
    <xf numFmtId="0" fontId="10" fillId="2" borderId="2" xfId="6" applyFont="1" applyFill="1" applyBorder="1" applyAlignment="1">
      <alignment horizontal="justify" vertical="center" wrapText="1"/>
    </xf>
    <xf numFmtId="4" fontId="10" fillId="2" borderId="2" xfId="6" applyNumberFormat="1" applyFont="1" applyFill="1" applyBorder="1" applyAlignment="1">
      <alignment horizontal="center" vertical="center" wrapText="1"/>
    </xf>
    <xf numFmtId="2" fontId="10" fillId="2" borderId="2" xfId="6" applyNumberFormat="1" applyFont="1" applyFill="1" applyBorder="1" applyAlignment="1">
      <alignment horizontal="center" vertical="center" wrapText="1"/>
    </xf>
    <xf numFmtId="0" fontId="10" fillId="2" borderId="2" xfId="6" applyFont="1" applyFill="1" applyBorder="1" applyAlignment="1">
      <alignment horizontal="center" vertical="center" textRotation="90" wrapText="1"/>
    </xf>
    <xf numFmtId="0" fontId="10" fillId="2" borderId="2" xfId="6" applyFont="1" applyFill="1" applyBorder="1" applyAlignment="1">
      <alignment horizontal="right" vertical="center" wrapText="1"/>
    </xf>
    <xf numFmtId="4" fontId="10" fillId="2" borderId="2" xfId="6" applyNumberFormat="1" applyFont="1" applyFill="1" applyBorder="1" applyAlignment="1">
      <alignment horizontal="right" vertical="center" wrapText="1"/>
    </xf>
    <xf numFmtId="0" fontId="10" fillId="2" borderId="2" xfId="6" applyFont="1" applyFill="1" applyBorder="1" applyAlignment="1">
      <alignment horizontal="center" vertical="center" wrapText="1"/>
    </xf>
    <xf numFmtId="0" fontId="8" fillId="6" borderId="2" xfId="6" applyFont="1" applyFill="1" applyBorder="1" applyAlignment="1">
      <alignment horizontal="left" vertical="center" wrapText="1"/>
    </xf>
    <xf numFmtId="0" fontId="10" fillId="6" borderId="2" xfId="6" applyFont="1" applyFill="1" applyBorder="1" applyAlignment="1">
      <alignment horizontal="justify" vertical="center" wrapText="1"/>
    </xf>
    <xf numFmtId="49" fontId="10" fillId="6" borderId="2" xfId="6" applyNumberFormat="1" applyFont="1" applyFill="1" applyBorder="1" applyAlignment="1">
      <alignment horizontal="center" vertical="center" wrapText="1"/>
    </xf>
    <xf numFmtId="49" fontId="10" fillId="6" borderId="2" xfId="0" applyNumberFormat="1" applyFont="1" applyFill="1" applyBorder="1" applyAlignment="1">
      <alignment horizontal="center" vertical="center" wrapText="1"/>
    </xf>
    <xf numFmtId="0" fontId="10" fillId="6" borderId="2" xfId="6" applyFont="1" applyFill="1" applyBorder="1" applyAlignment="1">
      <alignment horizontal="center" vertical="center" textRotation="90" wrapText="1"/>
    </xf>
    <xf numFmtId="0" fontId="10" fillId="6" borderId="2" xfId="6" applyFont="1" applyFill="1" applyBorder="1" applyAlignment="1">
      <alignment horizontal="right" vertical="center" wrapText="1"/>
    </xf>
    <xf numFmtId="4" fontId="10" fillId="6" borderId="2" xfId="6" applyNumberFormat="1" applyFont="1" applyFill="1" applyBorder="1" applyAlignment="1">
      <alignment horizontal="right" vertical="center" wrapText="1"/>
    </xf>
    <xf numFmtId="4" fontId="10" fillId="6" borderId="2" xfId="4" applyNumberFormat="1" applyFont="1" applyFill="1" applyBorder="1" applyAlignment="1">
      <alignment horizontal="right" vertical="center" wrapText="1"/>
    </xf>
    <xf numFmtId="0" fontId="10" fillId="6" borderId="2" xfId="6" applyFont="1" applyFill="1" applyBorder="1" applyAlignment="1">
      <alignment horizontal="center" vertical="center" wrapText="1"/>
    </xf>
    <xf numFmtId="49" fontId="23" fillId="0" borderId="2" xfId="0" applyNumberFormat="1" applyFont="1" applyFill="1" applyBorder="1" applyAlignment="1">
      <alignment horizontal="justify" vertical="center" wrapText="1"/>
    </xf>
    <xf numFmtId="0" fontId="10" fillId="0" borderId="2" xfId="6" applyFont="1" applyFill="1" applyBorder="1" applyAlignment="1">
      <alignment horizontal="justify" vertical="center" wrapText="1"/>
    </xf>
    <xf numFmtId="4" fontId="10" fillId="0" borderId="2" xfId="6" applyNumberFormat="1" applyFont="1" applyFill="1" applyBorder="1" applyAlignment="1">
      <alignment horizontal="center" vertical="center" wrapText="1"/>
    </xf>
    <xf numFmtId="2" fontId="10" fillId="0" borderId="2" xfId="6" applyNumberFormat="1" applyFont="1" applyFill="1" applyBorder="1" applyAlignment="1">
      <alignment horizontal="center" vertical="center" wrapText="1"/>
    </xf>
    <xf numFmtId="4" fontId="10" fillId="0" borderId="2" xfId="24" applyNumberFormat="1" applyFont="1" applyFill="1" applyBorder="1" applyAlignment="1">
      <alignment horizontal="center" vertical="center" wrapText="1"/>
    </xf>
    <xf numFmtId="3" fontId="10" fillId="0" borderId="2" xfId="6" applyNumberFormat="1" applyFont="1" applyFill="1" applyBorder="1" applyAlignment="1">
      <alignment horizontal="right" vertical="center" wrapText="1"/>
    </xf>
    <xf numFmtId="4" fontId="10" fillId="0" borderId="2" xfId="6" applyNumberFormat="1" applyFont="1" applyFill="1" applyBorder="1" applyAlignment="1">
      <alignment horizontal="right" vertical="center" wrapText="1"/>
    </xf>
    <xf numFmtId="4" fontId="10" fillId="0" borderId="2" xfId="4" applyNumberFormat="1" applyFont="1" applyFill="1" applyBorder="1" applyAlignment="1">
      <alignment horizontal="right" vertical="center" wrapText="1"/>
    </xf>
    <xf numFmtId="4" fontId="10" fillId="0" borderId="2" xfId="25" applyNumberFormat="1" applyFont="1" applyFill="1" applyBorder="1" applyAlignment="1">
      <alignment horizontal="right" vertical="center" wrapText="1"/>
    </xf>
    <xf numFmtId="49" fontId="10" fillId="0" borderId="2" xfId="25" applyNumberFormat="1" applyFont="1" applyFill="1" applyBorder="1" applyAlignment="1">
      <alignment horizontal="justify" vertical="center" wrapText="1"/>
    </xf>
    <xf numFmtId="3" fontId="10" fillId="6" borderId="2" xfId="6" applyNumberFormat="1" applyFont="1" applyFill="1" applyBorder="1" applyAlignment="1">
      <alignment horizontal="center" vertical="center" wrapText="1"/>
    </xf>
    <xf numFmtId="49" fontId="10" fillId="6" borderId="2" xfId="26" applyNumberFormat="1" applyFont="1" applyFill="1" applyBorder="1" applyAlignment="1">
      <alignment horizontal="justify" vertical="center" wrapText="1"/>
    </xf>
    <xf numFmtId="3" fontId="10" fillId="6" borderId="2" xfId="6" applyNumberFormat="1" applyFont="1" applyFill="1" applyBorder="1" applyAlignment="1">
      <alignment horizontal="right" vertical="center" wrapText="1"/>
    </xf>
    <xf numFmtId="4" fontId="10" fillId="6" borderId="2" xfId="25" applyNumberFormat="1" applyFont="1" applyFill="1" applyBorder="1" applyAlignment="1">
      <alignment horizontal="right" vertical="center" wrapText="1"/>
    </xf>
    <xf numFmtId="4" fontId="10" fillId="5" borderId="2" xfId="24" applyNumberFormat="1" applyFont="1" applyFill="1" applyBorder="1" applyAlignment="1">
      <alignment horizontal="center" vertical="center" wrapText="1"/>
    </xf>
    <xf numFmtId="3" fontId="10" fillId="5" borderId="2" xfId="6" applyNumberFormat="1" applyFont="1" applyFill="1" applyBorder="1" applyAlignment="1">
      <alignment horizontal="right" vertical="center" wrapText="1"/>
    </xf>
    <xf numFmtId="49" fontId="10" fillId="5" borderId="2" xfId="25" applyNumberFormat="1" applyFont="1" applyFill="1" applyBorder="1" applyAlignment="1">
      <alignment horizontal="justify" vertical="center" wrapText="1"/>
    </xf>
    <xf numFmtId="49" fontId="8" fillId="2" borderId="2" xfId="26" applyNumberFormat="1" applyFont="1" applyFill="1" applyBorder="1" applyAlignment="1">
      <alignment horizontal="left" vertical="center" wrapText="1"/>
    </xf>
    <xf numFmtId="3" fontId="10" fillId="2" borderId="2" xfId="6" applyNumberFormat="1" applyFont="1" applyFill="1" applyBorder="1" applyAlignment="1">
      <alignment horizontal="center" vertical="center" wrapText="1"/>
    </xf>
    <xf numFmtId="49" fontId="10" fillId="2" borderId="2" xfId="26" applyNumberFormat="1" applyFont="1" applyFill="1" applyBorder="1" applyAlignment="1">
      <alignment horizontal="center" vertical="center" wrapText="1"/>
    </xf>
    <xf numFmtId="49" fontId="10" fillId="2" borderId="2" xfId="26" applyNumberFormat="1" applyFont="1" applyFill="1" applyBorder="1" applyAlignment="1">
      <alignment horizontal="justify" vertical="center" wrapText="1"/>
    </xf>
    <xf numFmtId="4" fontId="10" fillId="2" borderId="2" xfId="24" applyNumberFormat="1" applyFont="1" applyFill="1" applyBorder="1" applyAlignment="1">
      <alignment horizontal="center" vertical="center" wrapText="1"/>
    </xf>
    <xf numFmtId="3" fontId="10" fillId="2" borderId="2" xfId="6" applyNumberFormat="1" applyFont="1" applyFill="1" applyBorder="1" applyAlignment="1">
      <alignment horizontal="right" vertical="center" wrapText="1"/>
    </xf>
    <xf numFmtId="4" fontId="10" fillId="2" borderId="2" xfId="25" applyNumberFormat="1" applyFont="1" applyFill="1" applyBorder="1" applyAlignment="1">
      <alignment horizontal="right" vertical="center" wrapText="1"/>
    </xf>
    <xf numFmtId="49" fontId="10" fillId="2" borderId="2" xfId="25" applyNumberFormat="1" applyFont="1" applyFill="1" applyBorder="1" applyAlignment="1">
      <alignment horizontal="justify" vertical="center" wrapText="1"/>
    </xf>
    <xf numFmtId="0" fontId="10" fillId="2" borderId="2" xfId="25" applyFont="1" applyFill="1" applyBorder="1" applyAlignment="1">
      <alignment horizontal="center" vertical="center" wrapText="1"/>
    </xf>
    <xf numFmtId="3" fontId="8" fillId="6" borderId="2" xfId="6" applyNumberFormat="1" applyFont="1" applyFill="1" applyBorder="1" applyAlignment="1">
      <alignment horizontal="left" vertical="center" wrapText="1"/>
    </xf>
    <xf numFmtId="3" fontId="10" fillId="6" borderId="2" xfId="6" applyNumberFormat="1" applyFont="1" applyFill="1" applyBorder="1" applyAlignment="1">
      <alignment horizontal="justify" vertical="center" wrapText="1"/>
    </xf>
    <xf numFmtId="49" fontId="10" fillId="0" borderId="2" xfId="25" applyNumberFormat="1" applyFont="1" applyFill="1" applyBorder="1" applyAlignment="1">
      <alignment horizontal="center" vertical="center" wrapText="1"/>
    </xf>
    <xf numFmtId="3" fontId="10" fillId="0" borderId="2" xfId="25" applyNumberFormat="1" applyFont="1" applyFill="1" applyBorder="1" applyAlignment="1">
      <alignment horizontal="right" vertical="center" wrapText="1"/>
    </xf>
    <xf numFmtId="0" fontId="8" fillId="2" borderId="2" xfId="25" applyFont="1" applyFill="1" applyBorder="1" applyAlignment="1">
      <alignment horizontal="left" vertical="center" wrapText="1"/>
    </xf>
    <xf numFmtId="0" fontId="8" fillId="0" borderId="2" xfId="6" applyFont="1" applyFill="1" applyBorder="1" applyAlignment="1">
      <alignment horizontal="left" vertical="center" wrapText="1"/>
    </xf>
    <xf numFmtId="0" fontId="10" fillId="0" borderId="2" xfId="25" applyFont="1" applyFill="1" applyBorder="1" applyAlignment="1">
      <alignment horizontal="justify" vertical="center" wrapText="1"/>
    </xf>
    <xf numFmtId="3" fontId="10" fillId="0" borderId="2" xfId="12" applyNumberFormat="1" applyFont="1" applyFill="1" applyBorder="1" applyAlignment="1">
      <alignment horizontal="center" vertical="center" wrapText="1"/>
    </xf>
    <xf numFmtId="49" fontId="10" fillId="0" borderId="2" xfId="12" applyNumberFormat="1" applyFont="1" applyFill="1" applyBorder="1" applyAlignment="1">
      <alignment horizontal="center" vertical="center" wrapText="1"/>
    </xf>
    <xf numFmtId="2" fontId="10" fillId="2" borderId="2" xfId="6" applyNumberFormat="1" applyFont="1" applyFill="1" applyBorder="1" applyAlignment="1">
      <alignment horizontal="right" vertical="center" wrapText="1"/>
    </xf>
    <xf numFmtId="49" fontId="10" fillId="6" borderId="2" xfId="6" applyNumberFormat="1" applyFont="1" applyFill="1" applyBorder="1" applyAlignment="1">
      <alignment horizontal="justify" vertical="center" wrapText="1"/>
    </xf>
    <xf numFmtId="0" fontId="10" fillId="0" borderId="2" xfId="4" applyFont="1" applyFill="1" applyBorder="1" applyAlignment="1">
      <alignment horizontal="justify" vertical="center" wrapText="1"/>
    </xf>
    <xf numFmtId="49" fontId="10" fillId="0" borderId="2" xfId="4" applyNumberFormat="1" applyFont="1" applyFill="1" applyBorder="1" applyAlignment="1">
      <alignment horizontal="center" vertical="center" wrapText="1"/>
    </xf>
    <xf numFmtId="3" fontId="10" fillId="0" borderId="2" xfId="6" applyNumberFormat="1" applyFont="1" applyFill="1" applyBorder="1" applyAlignment="1" applyProtection="1">
      <alignment horizontal="right" vertical="center" wrapText="1"/>
    </xf>
    <xf numFmtId="0" fontId="10" fillId="0" borderId="2" xfId="6" applyFont="1" applyFill="1" applyBorder="1" applyAlignment="1" applyProtection="1">
      <alignment horizontal="right" vertical="center" wrapText="1"/>
    </xf>
    <xf numFmtId="44" fontId="10" fillId="2" borderId="2" xfId="32" applyFont="1" applyFill="1" applyBorder="1" applyAlignment="1">
      <alignment horizontal="center" vertical="center" wrapText="1"/>
    </xf>
    <xf numFmtId="44" fontId="10" fillId="2" borderId="2" xfId="32" applyFont="1" applyFill="1" applyBorder="1" applyAlignment="1">
      <alignment horizontal="center" vertical="center"/>
    </xf>
    <xf numFmtId="49" fontId="10" fillId="2" borderId="2" xfId="32" applyNumberFormat="1" applyFont="1" applyFill="1" applyBorder="1" applyAlignment="1">
      <alignment horizontal="center" vertical="center" wrapText="1"/>
    </xf>
    <xf numFmtId="173" fontId="10" fillId="2" borderId="2" xfId="32" applyNumberFormat="1" applyFont="1" applyFill="1" applyBorder="1" applyAlignment="1">
      <alignment horizontal="center" vertical="center" wrapText="1"/>
    </xf>
    <xf numFmtId="173" fontId="10" fillId="2" borderId="2" xfId="32" applyNumberFormat="1" applyFont="1" applyFill="1" applyBorder="1" applyAlignment="1">
      <alignment horizontal="right" vertical="center" wrapText="1"/>
    </xf>
    <xf numFmtId="44" fontId="10" fillId="2" borderId="2" xfId="32" applyFont="1" applyFill="1" applyBorder="1" applyAlignment="1">
      <alignment horizontal="right" vertical="center" wrapText="1"/>
    </xf>
    <xf numFmtId="0" fontId="3" fillId="0" borderId="0" xfId="12" applyFont="1" applyFill="1" applyBorder="1" applyAlignment="1">
      <alignment horizontal="center"/>
    </xf>
    <xf numFmtId="0" fontId="3" fillId="0" borderId="0" xfId="12" applyFont="1" applyFill="1" applyBorder="1" applyAlignment="1">
      <alignment horizontal="center" vertical="center"/>
    </xf>
    <xf numFmtId="0" fontId="3" fillId="7" borderId="0" xfId="12" applyFont="1" applyFill="1" applyBorder="1" applyAlignment="1">
      <alignment horizontal="center"/>
    </xf>
    <xf numFmtId="174" fontId="3" fillId="0" borderId="0" xfId="12" applyNumberFormat="1" applyFont="1" applyFill="1" applyBorder="1" applyAlignment="1">
      <alignment horizontal="center"/>
    </xf>
    <xf numFmtId="0" fontId="3" fillId="0" borderId="0" xfId="24" applyFont="1" applyFill="1" applyBorder="1" applyAlignment="1">
      <alignment vertical="center"/>
    </xf>
    <xf numFmtId="0" fontId="3" fillId="7" borderId="0" xfId="12" applyFont="1" applyFill="1" applyBorder="1" applyAlignment="1">
      <alignment vertical="center"/>
    </xf>
    <xf numFmtId="173" fontId="3" fillId="7" borderId="0" xfId="12" applyNumberFormat="1" applyFont="1" applyFill="1" applyBorder="1" applyAlignment="1">
      <alignment vertical="center"/>
    </xf>
    <xf numFmtId="173" fontId="3" fillId="0" borderId="0" xfId="12" applyNumberFormat="1" applyFont="1" applyFill="1" applyBorder="1" applyAlignment="1">
      <alignment vertical="center"/>
    </xf>
    <xf numFmtId="174" fontId="3" fillId="7" borderId="0" xfId="12" applyNumberFormat="1" applyFont="1" applyFill="1" applyBorder="1" applyAlignment="1">
      <alignment vertical="center"/>
    </xf>
    <xf numFmtId="0" fontId="3" fillId="7" borderId="0" xfId="12" applyFont="1" applyFill="1" applyBorder="1" applyAlignment="1">
      <alignment horizontal="center" vertical="center"/>
    </xf>
    <xf numFmtId="175" fontId="3" fillId="7" borderId="0" xfId="12" applyNumberFormat="1" applyFont="1" applyFill="1" applyBorder="1" applyAlignment="1">
      <alignment vertical="center"/>
    </xf>
    <xf numFmtId="2" fontId="3" fillId="0" borderId="0" xfId="12" applyNumberFormat="1" applyFont="1" applyFill="1" applyBorder="1" applyAlignment="1">
      <alignment vertical="center"/>
    </xf>
    <xf numFmtId="175" fontId="4" fillId="0" borderId="0" xfId="12" applyNumberFormat="1" applyFont="1" applyFill="1" applyBorder="1" applyAlignment="1">
      <alignment horizontal="center" vertical="center"/>
    </xf>
    <xf numFmtId="176" fontId="3" fillId="0" borderId="0" xfId="12" applyNumberFormat="1" applyFont="1" applyFill="1" applyBorder="1" applyAlignment="1">
      <alignment vertical="center"/>
    </xf>
    <xf numFmtId="174" fontId="3" fillId="0" borderId="0" xfId="12" applyNumberFormat="1" applyFont="1" applyFill="1" applyBorder="1" applyAlignment="1">
      <alignment vertical="center"/>
    </xf>
    <xf numFmtId="0" fontId="4" fillId="0" borderId="0" xfId="12" applyFont="1" applyAlignment="1">
      <alignment horizontal="center"/>
    </xf>
    <xf numFmtId="0" fontId="3" fillId="0" borderId="0" xfId="12" applyFont="1" applyFill="1" applyBorder="1" applyAlignment="1">
      <alignment horizontal="left" vertical="center"/>
    </xf>
    <xf numFmtId="177" fontId="3" fillId="7" borderId="0" xfId="12" applyNumberFormat="1" applyFont="1" applyFill="1" applyBorder="1" applyAlignment="1"/>
    <xf numFmtId="0" fontId="3" fillId="7" borderId="0" xfId="12" applyFont="1" applyFill="1" applyBorder="1" applyAlignment="1"/>
    <xf numFmtId="174" fontId="3" fillId="7" borderId="0" xfId="12" applyNumberFormat="1" applyFont="1" applyFill="1" applyBorder="1" applyAlignment="1"/>
    <xf numFmtId="174" fontId="3" fillId="0" borderId="0" xfId="12" applyNumberFormat="1" applyFont="1" applyFill="1" applyBorder="1" applyAlignment="1"/>
    <xf numFmtId="0" fontId="7" fillId="3" borderId="2" xfId="34" applyFont="1" applyFill="1" applyBorder="1" applyAlignment="1">
      <alignment horizontal="center" vertical="center" wrapText="1"/>
    </xf>
    <xf numFmtId="0" fontId="7" fillId="3" borderId="2" xfId="34" applyFont="1" applyFill="1" applyBorder="1" applyAlignment="1">
      <alignment horizontal="center" vertical="center"/>
    </xf>
    <xf numFmtId="0" fontId="10" fillId="4" borderId="2" xfId="12" applyFont="1" applyFill="1" applyBorder="1" applyAlignment="1">
      <alignment horizontal="justify" vertical="center" wrapText="1"/>
    </xf>
    <xf numFmtId="3" fontId="10" fillId="4" borderId="2" xfId="12" applyNumberFormat="1" applyFont="1" applyFill="1" applyBorder="1" applyAlignment="1">
      <alignment horizontal="right" vertical="center" wrapText="1"/>
    </xf>
    <xf numFmtId="49" fontId="10" fillId="4" borderId="2" xfId="12" applyNumberFormat="1" applyFont="1" applyFill="1" applyBorder="1" applyAlignment="1">
      <alignment horizontal="justify" vertical="center" wrapText="1"/>
    </xf>
    <xf numFmtId="4" fontId="8" fillId="4" borderId="2" xfId="12" applyNumberFormat="1" applyFont="1" applyFill="1" applyBorder="1" applyAlignment="1">
      <alignment horizontal="center" vertical="center" wrapText="1"/>
    </xf>
    <xf numFmtId="3" fontId="8" fillId="4" borderId="2" xfId="12" applyNumberFormat="1" applyFont="1" applyFill="1" applyBorder="1" applyAlignment="1">
      <alignment horizontal="right" vertical="center" wrapText="1"/>
    </xf>
    <xf numFmtId="4" fontId="8" fillId="4" borderId="2" xfId="12" applyNumberFormat="1" applyFont="1" applyFill="1" applyBorder="1" applyAlignment="1">
      <alignment horizontal="right" vertical="center" wrapText="1"/>
    </xf>
    <xf numFmtId="49" fontId="8" fillId="4" borderId="2" xfId="32" applyNumberFormat="1" applyFont="1" applyFill="1" applyBorder="1" applyAlignment="1">
      <alignment horizontal="justify" vertical="center" wrapText="1"/>
    </xf>
    <xf numFmtId="49" fontId="8" fillId="4" borderId="2" xfId="12" applyNumberFormat="1" applyFont="1" applyFill="1" applyBorder="1" applyAlignment="1">
      <alignment horizontal="justify" vertical="center" wrapText="1"/>
    </xf>
    <xf numFmtId="3" fontId="8" fillId="4" borderId="2" xfId="12" applyNumberFormat="1" applyFont="1" applyFill="1" applyBorder="1" applyAlignment="1">
      <alignment horizontal="justify" vertical="center" wrapText="1"/>
    </xf>
    <xf numFmtId="0" fontId="10" fillId="5" borderId="2" xfId="12" applyFont="1" applyFill="1" applyBorder="1" applyAlignment="1">
      <alignment horizontal="justify" vertical="center" wrapText="1"/>
    </xf>
    <xf numFmtId="3" fontId="10" fillId="5" borderId="2" xfId="12" applyNumberFormat="1" applyFont="1" applyFill="1" applyBorder="1" applyAlignment="1">
      <alignment horizontal="right" vertical="center" wrapText="1"/>
    </xf>
    <xf numFmtId="49" fontId="10" fillId="5" borderId="2" xfId="12" applyNumberFormat="1" applyFont="1" applyFill="1" applyBorder="1" applyAlignment="1">
      <alignment horizontal="justify" vertical="center" wrapText="1"/>
    </xf>
    <xf numFmtId="4" fontId="8" fillId="5" borderId="2" xfId="12" applyNumberFormat="1" applyFont="1" applyFill="1" applyBorder="1" applyAlignment="1">
      <alignment horizontal="center" vertical="center" wrapText="1"/>
    </xf>
    <xf numFmtId="3" fontId="8" fillId="5" borderId="2" xfId="12" applyNumberFormat="1" applyFont="1" applyFill="1" applyBorder="1" applyAlignment="1">
      <alignment horizontal="right" vertical="center" wrapText="1"/>
    </xf>
    <xf numFmtId="4" fontId="8" fillId="5" borderId="2" xfId="12" applyNumberFormat="1" applyFont="1" applyFill="1" applyBorder="1" applyAlignment="1">
      <alignment horizontal="right" vertical="center" wrapText="1"/>
    </xf>
    <xf numFmtId="49" fontId="8" fillId="5" borderId="2" xfId="32" applyNumberFormat="1" applyFont="1" applyFill="1" applyBorder="1" applyAlignment="1">
      <alignment horizontal="justify" vertical="center" wrapText="1"/>
    </xf>
    <xf numFmtId="49" fontId="8" fillId="5" borderId="2" xfId="12" applyNumberFormat="1" applyFont="1" applyFill="1" applyBorder="1" applyAlignment="1">
      <alignment horizontal="justify" vertical="center" wrapText="1"/>
    </xf>
    <xf numFmtId="3" fontId="8" fillId="5" borderId="2" xfId="12" applyNumberFormat="1" applyFont="1" applyFill="1" applyBorder="1" applyAlignment="1">
      <alignment horizontal="justify" vertical="center" wrapText="1"/>
    </xf>
    <xf numFmtId="0" fontId="10" fillId="2" borderId="2" xfId="12" applyFont="1" applyFill="1" applyBorder="1" applyAlignment="1">
      <alignment horizontal="justify" vertical="center" wrapText="1"/>
    </xf>
    <xf numFmtId="3" fontId="10" fillId="2" borderId="2" xfId="12" applyNumberFormat="1" applyFont="1" applyFill="1" applyBorder="1" applyAlignment="1">
      <alignment horizontal="right" vertical="center" wrapText="1"/>
    </xf>
    <xf numFmtId="49" fontId="10" fillId="2" borderId="2" xfId="12" applyNumberFormat="1" applyFont="1" applyFill="1" applyBorder="1" applyAlignment="1">
      <alignment horizontal="justify" vertical="center" wrapText="1"/>
    </xf>
    <xf numFmtId="4" fontId="8" fillId="2" borderId="2" xfId="12" applyNumberFormat="1" applyFont="1" applyFill="1" applyBorder="1" applyAlignment="1">
      <alignment horizontal="center" vertical="center" wrapText="1"/>
    </xf>
    <xf numFmtId="178" fontId="8" fillId="2" borderId="2" xfId="12" applyNumberFormat="1" applyFont="1" applyFill="1" applyBorder="1" applyAlignment="1">
      <alignment horizontal="center" vertical="center" wrapText="1"/>
    </xf>
    <xf numFmtId="49" fontId="8" fillId="2" borderId="2" xfId="32" applyNumberFormat="1" applyFont="1" applyFill="1" applyBorder="1" applyAlignment="1">
      <alignment horizontal="justify" vertical="center" wrapText="1"/>
    </xf>
    <xf numFmtId="0" fontId="10" fillId="6" borderId="2" xfId="12" applyFont="1" applyFill="1" applyBorder="1" applyAlignment="1">
      <alignment horizontal="justify" vertical="center" wrapText="1"/>
    </xf>
    <xf numFmtId="4" fontId="10" fillId="6" borderId="2" xfId="12" applyNumberFormat="1" applyFont="1" applyFill="1" applyBorder="1" applyAlignment="1">
      <alignment horizontal="right" vertical="center" wrapText="1"/>
    </xf>
    <xf numFmtId="49" fontId="10" fillId="6" borderId="2" xfId="12" applyNumberFormat="1" applyFont="1" applyFill="1" applyBorder="1" applyAlignment="1">
      <alignment horizontal="center" vertical="center" wrapText="1"/>
    </xf>
    <xf numFmtId="4" fontId="8" fillId="6" borderId="2" xfId="12" applyNumberFormat="1" applyFont="1" applyFill="1" applyBorder="1" applyAlignment="1">
      <alignment horizontal="center" vertical="center" wrapText="1"/>
    </xf>
    <xf numFmtId="4" fontId="10" fillId="6" borderId="2" xfId="0" applyNumberFormat="1" applyFont="1" applyFill="1" applyBorder="1" applyAlignment="1">
      <alignment horizontal="right" vertical="center" wrapText="1"/>
    </xf>
    <xf numFmtId="49" fontId="8" fillId="6" borderId="2" xfId="32" applyNumberFormat="1" applyFont="1" applyFill="1" applyBorder="1" applyAlignment="1">
      <alignment horizontal="justify" vertical="center" wrapText="1"/>
    </xf>
    <xf numFmtId="0" fontId="10" fillId="0" borderId="2" xfId="12" applyFont="1" applyFill="1" applyBorder="1" applyAlignment="1">
      <alignment horizontal="justify" vertical="center" wrapText="1"/>
    </xf>
    <xf numFmtId="0" fontId="10" fillId="7" borderId="2" xfId="12" applyFont="1" applyFill="1" applyBorder="1" applyAlignment="1">
      <alignment horizontal="justify" vertical="center" wrapText="1"/>
    </xf>
    <xf numFmtId="4" fontId="10" fillId="7" borderId="2" xfId="12" applyNumberFormat="1" applyFont="1" applyFill="1" applyBorder="1" applyAlignment="1">
      <alignment horizontal="center" vertical="center" wrapText="1"/>
    </xf>
    <xf numFmtId="4" fontId="8" fillId="7" borderId="2" xfId="12" applyNumberFormat="1" applyFont="1" applyFill="1" applyBorder="1" applyAlignment="1">
      <alignment horizontal="center" vertical="center" wrapText="1"/>
    </xf>
    <xf numFmtId="4" fontId="8" fillId="0" borderId="2" xfId="12" applyNumberFormat="1" applyFont="1" applyFill="1" applyBorder="1" applyAlignment="1">
      <alignment horizontal="center" vertical="center" wrapText="1"/>
    </xf>
    <xf numFmtId="49" fontId="8" fillId="0" borderId="2" xfId="32" applyNumberFormat="1" applyFont="1" applyBorder="1" applyAlignment="1">
      <alignment horizontal="justify" vertical="center" wrapText="1"/>
    </xf>
    <xf numFmtId="49" fontId="8" fillId="0" borderId="2" xfId="12" applyNumberFormat="1" applyFont="1" applyBorder="1" applyAlignment="1">
      <alignment horizontal="justify" vertical="center" wrapText="1"/>
    </xf>
    <xf numFmtId="3" fontId="8" fillId="7" borderId="2" xfId="12" applyNumberFormat="1" applyFont="1" applyFill="1" applyBorder="1" applyAlignment="1">
      <alignment horizontal="justify" vertical="center" wrapText="1"/>
    </xf>
    <xf numFmtId="4" fontId="10" fillId="6" borderId="2" xfId="12" applyNumberFormat="1" applyFont="1" applyFill="1" applyBorder="1" applyAlignment="1">
      <alignment horizontal="center" vertical="center" wrapText="1"/>
    </xf>
    <xf numFmtId="4" fontId="10" fillId="7" borderId="2" xfId="12" applyNumberFormat="1" applyFont="1" applyFill="1" applyBorder="1" applyAlignment="1">
      <alignment horizontal="right" vertical="center" wrapText="1"/>
    </xf>
    <xf numFmtId="3" fontId="8" fillId="7" borderId="2" xfId="12" applyNumberFormat="1" applyFont="1" applyFill="1" applyBorder="1" applyAlignment="1">
      <alignment horizontal="center" vertical="center" wrapText="1"/>
    </xf>
    <xf numFmtId="0" fontId="10" fillId="6" borderId="1" xfId="12" applyFont="1" applyFill="1" applyBorder="1" applyAlignment="1">
      <alignment horizontal="justify" vertical="center" wrapText="1"/>
    </xf>
    <xf numFmtId="3" fontId="10" fillId="6" borderId="2" xfId="12" applyNumberFormat="1" applyFont="1" applyFill="1" applyBorder="1" applyAlignment="1">
      <alignment horizontal="center" vertical="center" wrapText="1"/>
    </xf>
    <xf numFmtId="3" fontId="10" fillId="6" borderId="2" xfId="12" applyNumberFormat="1" applyFont="1" applyFill="1" applyBorder="1" applyAlignment="1">
      <alignment horizontal="justify" vertical="center" wrapText="1"/>
    </xf>
    <xf numFmtId="0" fontId="30" fillId="0" borderId="2" xfId="12" applyFont="1" applyFill="1" applyBorder="1" applyAlignment="1">
      <alignment horizontal="justify" vertical="center" wrapText="1"/>
    </xf>
    <xf numFmtId="0" fontId="30" fillId="0" borderId="2" xfId="12" applyFont="1" applyFill="1" applyBorder="1" applyAlignment="1">
      <alignment horizontal="center" vertical="center" wrapText="1"/>
    </xf>
    <xf numFmtId="3" fontId="30" fillId="6" borderId="2" xfId="12" applyNumberFormat="1" applyFont="1" applyFill="1" applyBorder="1" applyAlignment="1">
      <alignment horizontal="center" vertical="center" wrapText="1"/>
    </xf>
    <xf numFmtId="0" fontId="30" fillId="6" borderId="2" xfId="12" applyFont="1" applyFill="1" applyBorder="1" applyAlignment="1">
      <alignment horizontal="justify" vertical="center" wrapText="1"/>
    </xf>
    <xf numFmtId="178" fontId="8" fillId="7" borderId="2" xfId="12" applyNumberFormat="1" applyFont="1" applyFill="1" applyBorder="1" applyAlignment="1">
      <alignment horizontal="center" vertical="center" wrapText="1"/>
    </xf>
    <xf numFmtId="3" fontId="10" fillId="6" borderId="2" xfId="12" applyNumberFormat="1" applyFont="1" applyFill="1" applyBorder="1" applyAlignment="1">
      <alignment horizontal="right" vertical="center" wrapText="1"/>
    </xf>
    <xf numFmtId="4" fontId="8" fillId="0" borderId="2" xfId="12" applyNumberFormat="1" applyFont="1" applyFill="1" applyBorder="1" applyAlignment="1">
      <alignment horizontal="right" vertical="center" wrapText="1"/>
    </xf>
    <xf numFmtId="4" fontId="10" fillId="2" borderId="2" xfId="0" applyNumberFormat="1" applyFont="1" applyFill="1" applyBorder="1" applyAlignment="1">
      <alignment horizontal="center" vertical="center" wrapText="1"/>
    </xf>
    <xf numFmtId="4" fontId="10" fillId="2" borderId="2" xfId="0" applyNumberFormat="1" applyFont="1" applyFill="1" applyBorder="1" applyAlignment="1">
      <alignment horizontal="right" vertical="center" wrapText="1"/>
    </xf>
    <xf numFmtId="4" fontId="10" fillId="6" borderId="2" xfId="0" applyNumberFormat="1" applyFont="1" applyFill="1" applyBorder="1" applyAlignment="1">
      <alignment horizontal="center" vertical="center" wrapText="1"/>
    </xf>
    <xf numFmtId="0" fontId="58" fillId="2" borderId="2" xfId="12" applyFont="1" applyFill="1" applyBorder="1" applyAlignment="1">
      <alignment horizontal="center" vertical="center" wrapText="1"/>
    </xf>
    <xf numFmtId="3" fontId="8" fillId="2" borderId="2" xfId="14" applyNumberFormat="1" applyFont="1" applyFill="1" applyBorder="1" applyAlignment="1">
      <alignment horizontal="center" vertical="center" wrapText="1"/>
    </xf>
    <xf numFmtId="49" fontId="8" fillId="2" borderId="2" xfId="14" applyNumberFormat="1" applyFont="1" applyFill="1" applyBorder="1" applyAlignment="1">
      <alignment horizontal="justify" vertical="center" wrapText="1"/>
    </xf>
    <xf numFmtId="4" fontId="8" fillId="2" borderId="2" xfId="14" applyNumberFormat="1" applyFont="1" applyFill="1" applyBorder="1" applyAlignment="1">
      <alignment horizontal="center" vertical="center" wrapText="1"/>
    </xf>
    <xf numFmtId="3" fontId="8" fillId="2" borderId="2" xfId="14" applyNumberFormat="1" applyFont="1" applyFill="1" applyBorder="1" applyAlignment="1">
      <alignment horizontal="right" vertical="center" wrapText="1"/>
    </xf>
    <xf numFmtId="4" fontId="8" fillId="2" borderId="2" xfId="16" applyNumberFormat="1" applyFont="1" applyFill="1" applyBorder="1" applyAlignment="1">
      <alignment horizontal="right" vertical="center" wrapText="1"/>
    </xf>
    <xf numFmtId="3" fontId="8" fillId="2" borderId="2" xfId="16" applyNumberFormat="1" applyFont="1" applyFill="1" applyBorder="1" applyAlignment="1">
      <alignment horizontal="right" vertical="center" wrapText="1"/>
    </xf>
    <xf numFmtId="3" fontId="59" fillId="2" borderId="2" xfId="16" applyNumberFormat="1" applyFont="1" applyFill="1" applyBorder="1" applyAlignment="1">
      <alignment horizontal="right" vertical="center" wrapText="1"/>
    </xf>
    <xf numFmtId="175" fontId="8" fillId="2" borderId="2" xfId="16" applyNumberFormat="1" applyFont="1" applyFill="1" applyBorder="1" applyAlignment="1">
      <alignment horizontal="justify" vertical="center" wrapText="1"/>
    </xf>
    <xf numFmtId="0" fontId="4" fillId="0" borderId="0" xfId="12" applyFont="1" applyFill="1" applyBorder="1" applyAlignment="1">
      <alignment horizontal="left"/>
    </xf>
    <xf numFmtId="0" fontId="3" fillId="0" borderId="0" xfId="22" applyFont="1" applyFill="1" applyBorder="1" applyAlignment="1">
      <alignment horizontal="left" vertical="center"/>
    </xf>
    <xf numFmtId="0" fontId="6" fillId="0" borderId="0" xfId="12" applyFont="1" applyFill="1" applyBorder="1" applyAlignment="1">
      <alignment horizontal="center" vertical="center"/>
    </xf>
    <xf numFmtId="0" fontId="6" fillId="0" borderId="0" xfId="12" applyFont="1" applyFill="1" applyBorder="1" applyAlignment="1">
      <alignment horizontal="left" vertical="center"/>
    </xf>
    <xf numFmtId="0" fontId="6" fillId="0" borderId="0" xfId="12" applyFont="1" applyFill="1" applyBorder="1" applyAlignment="1">
      <alignment vertical="center"/>
    </xf>
    <xf numFmtId="2" fontId="6" fillId="0" borderId="0" xfId="12" applyNumberFormat="1" applyFont="1" applyFill="1" applyBorder="1" applyAlignment="1">
      <alignment horizontal="center" vertical="center"/>
    </xf>
    <xf numFmtId="0" fontId="4" fillId="0" borderId="0" xfId="12" applyFont="1" applyFill="1" applyBorder="1" applyAlignment="1">
      <alignment horizontal="center"/>
    </xf>
    <xf numFmtId="2" fontId="4" fillId="0" borderId="0" xfId="12" applyNumberFormat="1" applyFont="1" applyFill="1" applyBorder="1" applyAlignment="1">
      <alignment horizontal="center" vertical="center"/>
    </xf>
    <xf numFmtId="49" fontId="7" fillId="4" borderId="2" xfId="0" applyNumberFormat="1" applyFont="1" applyFill="1" applyBorder="1" applyAlignment="1">
      <alignment horizontal="justify" vertical="center" wrapText="1"/>
    </xf>
    <xf numFmtId="3" fontId="7" fillId="4" borderId="2" xfId="0" applyNumberFormat="1" applyFont="1" applyFill="1" applyBorder="1" applyAlignment="1">
      <alignment horizontal="right" vertical="center" wrapText="1"/>
    </xf>
    <xf numFmtId="4" fontId="7" fillId="4" borderId="2" xfId="0" applyNumberFormat="1" applyFont="1" applyFill="1" applyBorder="1" applyAlignment="1">
      <alignment horizontal="right" vertical="center" wrapText="1"/>
    </xf>
    <xf numFmtId="0" fontId="7" fillId="4" borderId="2" xfId="0" applyFont="1" applyFill="1" applyBorder="1" applyAlignment="1">
      <alignment horizontal="justify" vertical="center" wrapText="1"/>
    </xf>
    <xf numFmtId="1" fontId="8" fillId="5" borderId="2" xfId="0" applyNumberFormat="1" applyFont="1" applyFill="1" applyBorder="1" applyAlignment="1">
      <alignment horizontal="justify" vertical="center" wrapText="1"/>
    </xf>
    <xf numFmtId="49" fontId="7" fillId="5" borderId="2" xfId="0" applyNumberFormat="1" applyFont="1" applyFill="1" applyBorder="1" applyAlignment="1">
      <alignment horizontal="justify" vertical="center" wrapText="1"/>
    </xf>
    <xf numFmtId="4" fontId="7" fillId="5" borderId="2" xfId="0" applyNumberFormat="1" applyFont="1" applyFill="1" applyBorder="1" applyAlignment="1">
      <alignment horizontal="right" vertical="center" wrapText="1"/>
    </xf>
    <xf numFmtId="0" fontId="7" fillId="5" borderId="2" xfId="0" applyFont="1" applyFill="1" applyBorder="1" applyAlignment="1">
      <alignment horizontal="justify" vertical="center" wrapText="1"/>
    </xf>
    <xf numFmtId="1" fontId="8" fillId="2" borderId="2" xfId="0" applyNumberFormat="1" applyFont="1" applyFill="1" applyBorder="1" applyAlignment="1">
      <alignment horizontal="justify" vertical="center" wrapText="1"/>
    </xf>
    <xf numFmtId="49" fontId="7" fillId="2" borderId="2" xfId="0" applyNumberFormat="1" applyFont="1" applyFill="1" applyBorder="1" applyAlignment="1">
      <alignment horizontal="justify" vertical="center" wrapText="1"/>
    </xf>
    <xf numFmtId="3" fontId="7" fillId="2" borderId="2" xfId="0" applyNumberFormat="1" applyFont="1" applyFill="1" applyBorder="1" applyAlignment="1">
      <alignment horizontal="right" vertical="center" wrapText="1"/>
    </xf>
    <xf numFmtId="4" fontId="7" fillId="2" borderId="2" xfId="0" applyNumberFormat="1" applyFont="1" applyFill="1" applyBorder="1" applyAlignment="1">
      <alignment horizontal="right" vertical="center" wrapText="1"/>
    </xf>
    <xf numFmtId="0" fontId="7" fillId="2" borderId="2" xfId="0" applyFont="1" applyFill="1" applyBorder="1" applyAlignment="1">
      <alignment horizontal="justify" vertical="center" wrapText="1"/>
    </xf>
    <xf numFmtId="1" fontId="8" fillId="6" borderId="2" xfId="0" applyNumberFormat="1" applyFont="1" applyFill="1" applyBorder="1" applyAlignment="1">
      <alignment horizontal="justify" vertical="center" wrapText="1"/>
    </xf>
    <xf numFmtId="49" fontId="7" fillId="6" borderId="2" xfId="0" applyNumberFormat="1" applyFont="1" applyFill="1" applyBorder="1" applyAlignment="1">
      <alignment horizontal="justify" vertical="center" wrapText="1"/>
    </xf>
    <xf numFmtId="4" fontId="29" fillId="6" borderId="2" xfId="0" applyNumberFormat="1" applyFont="1" applyFill="1" applyBorder="1" applyAlignment="1">
      <alignment horizontal="center" vertical="center" wrapText="1"/>
    </xf>
    <xf numFmtId="3" fontId="7" fillId="6" borderId="2" xfId="0" applyNumberFormat="1" applyFont="1" applyFill="1" applyBorder="1" applyAlignment="1">
      <alignment horizontal="right" vertical="center" wrapText="1"/>
    </xf>
    <xf numFmtId="4" fontId="7" fillId="6" borderId="2" xfId="0" applyNumberFormat="1" applyFont="1" applyFill="1" applyBorder="1" applyAlignment="1">
      <alignment horizontal="right" vertical="center" wrapText="1"/>
    </xf>
    <xf numFmtId="0" fontId="7" fillId="6" borderId="2" xfId="0" applyFont="1" applyFill="1" applyBorder="1" applyAlignment="1">
      <alignment horizontal="justify" vertical="center" wrapText="1"/>
    </xf>
    <xf numFmtId="3" fontId="8" fillId="0" borderId="2" xfId="0" applyNumberFormat="1" applyFont="1" applyFill="1" applyBorder="1" applyAlignment="1">
      <alignment horizontal="justify" vertical="center" wrapText="1"/>
    </xf>
    <xf numFmtId="4" fontId="29" fillId="0" borderId="2" xfId="0" applyNumberFormat="1" applyFont="1" applyFill="1" applyBorder="1" applyAlignment="1">
      <alignment horizontal="center" vertical="center" wrapText="1"/>
    </xf>
    <xf numFmtId="0" fontId="8" fillId="0" borderId="2" xfId="0" applyFont="1" applyFill="1" applyBorder="1" applyAlignment="1">
      <alignment horizontal="justify" vertical="center" wrapText="1"/>
    </xf>
    <xf numFmtId="3" fontId="8" fillId="4" borderId="2" xfId="0" applyNumberFormat="1" applyFont="1" applyFill="1" applyBorder="1" applyAlignment="1">
      <alignment horizontal="justify" vertical="center" wrapText="1"/>
    </xf>
    <xf numFmtId="4" fontId="29" fillId="4" borderId="2" xfId="0" applyNumberFormat="1" applyFont="1" applyFill="1" applyBorder="1" applyAlignment="1">
      <alignment horizontal="center" vertical="center" wrapText="1"/>
    </xf>
    <xf numFmtId="0" fontId="8" fillId="4" borderId="2" xfId="0" applyFont="1" applyFill="1" applyBorder="1" applyAlignment="1">
      <alignment horizontal="justify" vertical="center" wrapText="1"/>
    </xf>
    <xf numFmtId="4" fontId="29" fillId="5" borderId="2" xfId="0" applyNumberFormat="1" applyFont="1" applyFill="1" applyBorder="1" applyAlignment="1">
      <alignment horizontal="center" vertical="center" wrapText="1"/>
    </xf>
    <xf numFmtId="3" fontId="8" fillId="5" borderId="2" xfId="0" applyNumberFormat="1" applyFont="1" applyFill="1" applyBorder="1" applyAlignment="1">
      <alignment horizontal="justify" vertical="center" wrapText="1"/>
    </xf>
    <xf numFmtId="0" fontId="8" fillId="5" borderId="2" xfId="0" applyFont="1" applyFill="1" applyBorder="1" applyAlignment="1">
      <alignment horizontal="justify" vertical="center" wrapText="1"/>
    </xf>
    <xf numFmtId="0" fontId="8" fillId="6" borderId="2" xfId="0" applyFont="1" applyFill="1" applyBorder="1" applyAlignment="1">
      <alignment horizontal="justify" vertical="center" wrapText="1"/>
    </xf>
    <xf numFmtId="4" fontId="10" fillId="0" borderId="2" xfId="0" applyNumberFormat="1" applyFont="1" applyFill="1" applyBorder="1" applyAlignment="1">
      <alignment horizontal="center" vertical="center" wrapText="1"/>
    </xf>
    <xf numFmtId="0" fontId="8" fillId="7" borderId="2" xfId="0" applyFont="1" applyFill="1" applyBorder="1" applyAlignment="1">
      <alignment horizontal="justify" vertical="center" wrapText="1"/>
    </xf>
    <xf numFmtId="1" fontId="7" fillId="5" borderId="2" xfId="0" applyNumberFormat="1" applyFont="1" applyFill="1" applyBorder="1" applyAlignment="1">
      <alignment horizontal="justify" vertical="center" wrapText="1"/>
    </xf>
    <xf numFmtId="3" fontId="7" fillId="5" borderId="2" xfId="0" applyNumberFormat="1" applyFont="1" applyFill="1" applyBorder="1" applyAlignment="1">
      <alignment horizontal="right" vertical="center" wrapText="1"/>
    </xf>
    <xf numFmtId="3" fontId="7" fillId="5" borderId="2" xfId="0" applyNumberFormat="1" applyFont="1" applyFill="1" applyBorder="1" applyAlignment="1">
      <alignment horizontal="justify" vertical="center" wrapText="1"/>
    </xf>
    <xf numFmtId="1" fontId="7" fillId="2" borderId="2" xfId="0" applyNumberFormat="1" applyFont="1" applyFill="1" applyBorder="1" applyAlignment="1">
      <alignment horizontal="justify" vertical="center" wrapText="1"/>
    </xf>
    <xf numFmtId="3" fontId="7" fillId="2" borderId="2" xfId="0" applyNumberFormat="1" applyFont="1" applyFill="1" applyBorder="1" applyAlignment="1">
      <alignment horizontal="justify" vertical="center" wrapText="1"/>
    </xf>
    <xf numFmtId="1" fontId="7" fillId="6" borderId="2" xfId="0" applyNumberFormat="1" applyFont="1" applyFill="1" applyBorder="1" applyAlignment="1">
      <alignment horizontal="justify" vertical="center" wrapText="1"/>
    </xf>
    <xf numFmtId="3" fontId="7" fillId="6" borderId="2" xfId="0" applyNumberFormat="1" applyFont="1" applyFill="1" applyBorder="1" applyAlignment="1">
      <alignment horizontal="justify" vertical="center" wrapText="1"/>
    </xf>
    <xf numFmtId="4" fontId="7" fillId="0" borderId="2" xfId="0" applyNumberFormat="1" applyFont="1" applyFill="1" applyBorder="1" applyAlignment="1">
      <alignment horizontal="right" vertical="center" wrapText="1"/>
    </xf>
    <xf numFmtId="0" fontId="7" fillId="0" borderId="2"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7" xfId="0" applyFont="1" applyFill="1" applyBorder="1" applyAlignment="1">
      <alignment horizontal="justify" vertical="center" wrapText="1"/>
    </xf>
    <xf numFmtId="9" fontId="7" fillId="2" borderId="2" xfId="0" applyNumberFormat="1" applyFont="1" applyFill="1" applyBorder="1" applyAlignment="1">
      <alignment horizontal="justify" vertical="center" wrapText="1"/>
    </xf>
    <xf numFmtId="0" fontId="61" fillId="0" borderId="0" xfId="0" applyFont="1" applyFill="1" applyBorder="1"/>
    <xf numFmtId="0" fontId="60" fillId="0" borderId="0" xfId="0" applyFont="1" applyFill="1" applyBorder="1" applyAlignment="1">
      <alignment vertical="center"/>
    </xf>
    <xf numFmtId="44" fontId="60" fillId="0" borderId="0" xfId="32" applyFont="1" applyFill="1" applyBorder="1" applyAlignment="1">
      <alignment vertical="center"/>
    </xf>
    <xf numFmtId="0" fontId="62" fillId="0" borderId="0" xfId="0" applyFont="1" applyFill="1" applyBorder="1" applyAlignment="1"/>
    <xf numFmtId="44" fontId="62" fillId="0" borderId="0" xfId="32" applyFont="1" applyFill="1" applyBorder="1" applyAlignment="1"/>
    <xf numFmtId="0" fontId="7" fillId="2" borderId="2" xfId="0" applyFont="1" applyFill="1" applyBorder="1" applyAlignment="1">
      <alignment horizontal="center" vertical="center" wrapText="1"/>
    </xf>
    <xf numFmtId="44" fontId="7" fillId="2" borderId="2" xfId="32" applyFont="1" applyFill="1" applyBorder="1" applyAlignment="1">
      <alignment horizontal="center" vertical="center" wrapText="1"/>
    </xf>
    <xf numFmtId="3" fontId="8" fillId="4" borderId="2" xfId="5" applyNumberFormat="1" applyFont="1" applyFill="1" applyBorder="1" applyAlignment="1">
      <alignment horizontal="center" vertical="center" wrapText="1"/>
    </xf>
    <xf numFmtId="173" fontId="8" fillId="4" borderId="2" xfId="32" applyNumberFormat="1" applyFont="1" applyFill="1" applyBorder="1" applyAlignment="1">
      <alignment horizontal="right" vertical="center" wrapText="1"/>
    </xf>
    <xf numFmtId="3" fontId="8" fillId="4" borderId="2" xfId="5" applyNumberFormat="1" applyFont="1" applyFill="1" applyBorder="1" applyAlignment="1">
      <alignment horizontal="center" vertical="center"/>
    </xf>
    <xf numFmtId="0" fontId="8" fillId="4" borderId="2" xfId="5" applyFont="1" applyFill="1" applyBorder="1" applyAlignment="1">
      <alignment horizontal="justify" vertical="center" wrapText="1"/>
    </xf>
    <xf numFmtId="3" fontId="8" fillId="5" borderId="2" xfId="5" applyNumberFormat="1" applyFont="1" applyFill="1" applyBorder="1" applyAlignment="1">
      <alignment horizontal="right" vertical="center"/>
    </xf>
    <xf numFmtId="173" fontId="8" fillId="5" borderId="2" xfId="32" applyNumberFormat="1" applyFont="1" applyFill="1" applyBorder="1" applyAlignment="1">
      <alignment horizontal="right" vertical="center" wrapText="1"/>
    </xf>
    <xf numFmtId="3" fontId="8" fillId="5" borderId="2" xfId="5" applyNumberFormat="1" applyFont="1" applyFill="1" applyBorder="1" applyAlignment="1">
      <alignment horizontal="justify" vertical="center" wrapText="1"/>
    </xf>
    <xf numFmtId="3" fontId="8" fillId="2" borderId="2" xfId="5" applyNumberFormat="1" applyFont="1" applyFill="1" applyBorder="1" applyAlignment="1">
      <alignment horizontal="right" vertical="center"/>
    </xf>
    <xf numFmtId="173" fontId="8" fillId="2" borderId="2" xfId="32" applyNumberFormat="1" applyFont="1" applyFill="1" applyBorder="1" applyAlignment="1">
      <alignment horizontal="right" vertical="center" wrapText="1"/>
    </xf>
    <xf numFmtId="3" fontId="8" fillId="2" borderId="2" xfId="5" applyNumberFormat="1" applyFont="1" applyFill="1" applyBorder="1" applyAlignment="1">
      <alignment horizontal="justify" vertical="center" wrapText="1"/>
    </xf>
    <xf numFmtId="173" fontId="8" fillId="6" borderId="2" xfId="32" applyNumberFormat="1" applyFont="1" applyFill="1" applyBorder="1" applyAlignment="1">
      <alignment horizontal="right" vertical="center" wrapText="1"/>
    </xf>
    <xf numFmtId="3" fontId="8" fillId="6" borderId="2" xfId="5" applyNumberFormat="1" applyFont="1" applyFill="1" applyBorder="1" applyAlignment="1">
      <alignment horizontal="right" vertical="center"/>
    </xf>
    <xf numFmtId="0" fontId="8" fillId="6" borderId="2" xfId="5" applyFont="1" applyFill="1" applyBorder="1" applyAlignment="1">
      <alignment horizontal="justify" vertical="center" wrapText="1"/>
    </xf>
    <xf numFmtId="173" fontId="8" fillId="0" borderId="2" xfId="32" applyNumberFormat="1" applyFont="1" applyFill="1" applyBorder="1" applyAlignment="1">
      <alignment horizontal="right" vertical="center" wrapText="1"/>
    </xf>
    <xf numFmtId="3" fontId="8" fillId="0" borderId="2" xfId="5" applyNumberFormat="1" applyFont="1" applyFill="1" applyBorder="1" applyAlignment="1">
      <alignment horizontal="right" vertical="center"/>
    </xf>
    <xf numFmtId="3" fontId="8" fillId="0" borderId="2" xfId="5" applyNumberFormat="1" applyFont="1" applyFill="1" applyBorder="1" applyAlignment="1">
      <alignment horizontal="justify" vertical="center" wrapText="1"/>
    </xf>
    <xf numFmtId="0" fontId="8" fillId="0" borderId="2" xfId="5" applyFont="1" applyFill="1" applyBorder="1" applyAlignment="1">
      <alignment horizontal="justify" vertical="center" wrapText="1"/>
    </xf>
    <xf numFmtId="0" fontId="10" fillId="4" borderId="2" xfId="65" applyFont="1" applyFill="1" applyBorder="1" applyAlignment="1">
      <alignment horizontal="justify" vertical="center" wrapText="1"/>
    </xf>
    <xf numFmtId="0" fontId="8" fillId="4" borderId="2" xfId="5" applyFont="1" applyFill="1" applyBorder="1" applyAlignment="1">
      <alignment horizontal="left" vertical="center" wrapText="1"/>
    </xf>
    <xf numFmtId="49" fontId="8" fillId="8" borderId="2" xfId="10" applyNumberFormat="1" applyFont="1" applyFill="1" applyBorder="1" applyAlignment="1">
      <alignment horizontal="center" vertical="center" wrapText="1"/>
    </xf>
    <xf numFmtId="0" fontId="10" fillId="2" borderId="2" xfId="5" applyFont="1" applyFill="1" applyBorder="1" applyAlignment="1">
      <alignment horizontal="justify" vertical="center" wrapText="1"/>
    </xf>
    <xf numFmtId="49" fontId="8" fillId="9" borderId="2" xfId="10" applyNumberFormat="1" applyFont="1" applyFill="1" applyBorder="1" applyAlignment="1">
      <alignment horizontal="center" vertical="center" wrapText="1"/>
    </xf>
    <xf numFmtId="0" fontId="8" fillId="6" borderId="2" xfId="5" applyFont="1" applyFill="1" applyBorder="1" applyAlignment="1">
      <alignment horizontal="left" vertical="center" wrapText="1"/>
    </xf>
    <xf numFmtId="49" fontId="8" fillId="0" borderId="2" xfId="10" applyNumberFormat="1" applyFont="1" applyFill="1" applyBorder="1" applyAlignment="1">
      <alignment horizontal="center" vertical="center" wrapText="1"/>
    </xf>
    <xf numFmtId="49" fontId="8" fillId="7" borderId="2" xfId="5" applyNumberFormat="1" applyFont="1" applyFill="1" applyBorder="1" applyAlignment="1">
      <alignment horizontal="justify" vertical="center" wrapText="1"/>
    </xf>
    <xf numFmtId="0" fontId="8" fillId="2" borderId="2" xfId="5" applyFont="1" applyFill="1" applyBorder="1" applyAlignment="1">
      <alignment horizontal="justify" vertical="center" wrapText="1"/>
    </xf>
    <xf numFmtId="3" fontId="8" fillId="2" borderId="2" xfId="5" applyNumberFormat="1" applyFont="1" applyFill="1" applyBorder="1" applyAlignment="1">
      <alignment horizontal="center" vertical="center" wrapText="1"/>
    </xf>
    <xf numFmtId="0" fontId="8" fillId="2" borderId="2" xfId="0" applyFont="1" applyFill="1" applyBorder="1"/>
    <xf numFmtId="0" fontId="11" fillId="0" borderId="0" xfId="66"/>
    <xf numFmtId="0" fontId="63" fillId="0" borderId="0" xfId="66" applyFont="1" applyFill="1" applyBorder="1" applyAlignment="1">
      <alignment horizontal="left" vertical="center"/>
    </xf>
    <xf numFmtId="0" fontId="63" fillId="24" borderId="0" xfId="66" applyFont="1" applyFill="1" applyBorder="1" applyAlignment="1">
      <alignment horizontal="left" vertical="center"/>
    </xf>
    <xf numFmtId="0" fontId="64" fillId="24" borderId="0" xfId="66" applyFont="1" applyFill="1" applyBorder="1" applyAlignment="1">
      <alignment horizontal="left" vertical="center"/>
    </xf>
    <xf numFmtId="0" fontId="7" fillId="2" borderId="1" xfId="66" applyFont="1" applyFill="1" applyBorder="1" applyAlignment="1">
      <alignment horizontal="center" vertical="center" wrapText="1"/>
    </xf>
    <xf numFmtId="4" fontId="30" fillId="4" borderId="2" xfId="66" applyNumberFormat="1" applyFont="1" applyFill="1" applyBorder="1" applyAlignment="1">
      <alignment horizontal="center" vertical="center" wrapText="1"/>
    </xf>
    <xf numFmtId="3" fontId="30" fillId="4" borderId="2" xfId="66" applyNumberFormat="1" applyFont="1" applyFill="1" applyBorder="1" applyAlignment="1">
      <alignment horizontal="right" vertical="center" wrapText="1"/>
    </xf>
    <xf numFmtId="4" fontId="30" fillId="4" borderId="2" xfId="66" applyNumberFormat="1" applyFont="1" applyFill="1" applyBorder="1" applyAlignment="1">
      <alignment horizontal="right" vertical="center" wrapText="1"/>
    </xf>
    <xf numFmtId="49" fontId="30" fillId="4" borderId="2" xfId="66" applyNumberFormat="1" applyFont="1" applyFill="1" applyBorder="1" applyAlignment="1">
      <alignment horizontal="justify" vertical="center" wrapText="1"/>
    </xf>
    <xf numFmtId="4" fontId="30" fillId="5" borderId="2" xfId="66" applyNumberFormat="1" applyFont="1" applyFill="1" applyBorder="1" applyAlignment="1">
      <alignment horizontal="center" vertical="center" wrapText="1"/>
    </xf>
    <xf numFmtId="3" fontId="30" fillId="5" borderId="2" xfId="66" applyNumberFormat="1" applyFont="1" applyFill="1" applyBorder="1" applyAlignment="1">
      <alignment horizontal="right" vertical="center" wrapText="1"/>
    </xf>
    <xf numFmtId="4" fontId="30" fillId="5" borderId="2" xfId="66" applyNumberFormat="1" applyFont="1" applyFill="1" applyBorder="1" applyAlignment="1">
      <alignment horizontal="right" vertical="center" wrapText="1"/>
    </xf>
    <xf numFmtId="49" fontId="30" fillId="5" borderId="2" xfId="66" applyNumberFormat="1" applyFont="1" applyFill="1" applyBorder="1" applyAlignment="1">
      <alignment horizontal="justify" vertical="center" wrapText="1"/>
    </xf>
    <xf numFmtId="4" fontId="30" fillId="2" borderId="2" xfId="66" applyNumberFormat="1" applyFont="1" applyFill="1" applyBorder="1" applyAlignment="1">
      <alignment horizontal="center" vertical="center" wrapText="1"/>
    </xf>
    <xf numFmtId="3" fontId="30" fillId="2" borderId="2" xfId="66" applyNumberFormat="1" applyFont="1" applyFill="1" applyBorder="1" applyAlignment="1">
      <alignment horizontal="right" vertical="center" wrapText="1"/>
    </xf>
    <xf numFmtId="4" fontId="30" fillId="2" borderId="2" xfId="66" applyNumberFormat="1" applyFont="1" applyFill="1" applyBorder="1" applyAlignment="1">
      <alignment horizontal="right" vertical="center" wrapText="1"/>
    </xf>
    <xf numFmtId="49" fontId="30" fillId="2" borderId="2" xfId="66" applyNumberFormat="1" applyFont="1" applyFill="1" applyBorder="1" applyAlignment="1">
      <alignment horizontal="justify" vertical="center" wrapText="1"/>
    </xf>
    <xf numFmtId="4" fontId="30" fillId="6" borderId="2" xfId="66" applyNumberFormat="1" applyFont="1" applyFill="1" applyBorder="1" applyAlignment="1">
      <alignment horizontal="center" vertical="center" wrapText="1"/>
    </xf>
    <xf numFmtId="3" fontId="30" fillId="6" borderId="2" xfId="66" applyNumberFormat="1" applyFont="1" applyFill="1" applyBorder="1" applyAlignment="1">
      <alignment horizontal="right" vertical="center" wrapText="1"/>
    </xf>
    <xf numFmtId="4" fontId="30" fillId="6" borderId="2" xfId="66" applyNumberFormat="1" applyFont="1" applyFill="1" applyBorder="1" applyAlignment="1">
      <alignment horizontal="right" vertical="center" wrapText="1"/>
    </xf>
    <xf numFmtId="49" fontId="30" fillId="6" borderId="2" xfId="66" applyNumberFormat="1" applyFont="1" applyFill="1" applyBorder="1" applyAlignment="1">
      <alignment horizontal="justify" vertical="center" wrapText="1"/>
    </xf>
    <xf numFmtId="4" fontId="30" fillId="0" borderId="2" xfId="66" applyNumberFormat="1" applyFont="1" applyBorder="1" applyAlignment="1">
      <alignment horizontal="center" vertical="center" wrapText="1"/>
    </xf>
    <xf numFmtId="3" fontId="30" fillId="0" borderId="2" xfId="66" applyNumberFormat="1" applyFont="1" applyBorder="1" applyAlignment="1">
      <alignment horizontal="right" vertical="center" wrapText="1"/>
    </xf>
    <xf numFmtId="4" fontId="30" fillId="0" borderId="2" xfId="66" applyNumberFormat="1" applyFont="1" applyBorder="1" applyAlignment="1">
      <alignment horizontal="right" vertical="center" wrapText="1"/>
    </xf>
    <xf numFmtId="49" fontId="30" fillId="0" borderId="2" xfId="66" applyNumberFormat="1" applyFont="1" applyBorder="1" applyAlignment="1">
      <alignment horizontal="justify" vertical="center" wrapText="1"/>
    </xf>
    <xf numFmtId="49" fontId="30" fillId="0" borderId="2" xfId="0" applyNumberFormat="1" applyFont="1" applyBorder="1" applyAlignment="1">
      <alignment horizontal="justify" vertical="center" wrapText="1"/>
    </xf>
    <xf numFmtId="0" fontId="30" fillId="2" borderId="2" xfId="66" applyFont="1" applyFill="1" applyBorder="1"/>
    <xf numFmtId="3" fontId="30" fillId="2" borderId="2" xfId="66" applyNumberFormat="1" applyFont="1" applyFill="1" applyBorder="1"/>
    <xf numFmtId="4" fontId="30" fillId="2" borderId="2" xfId="66" applyNumberFormat="1" applyFont="1" applyFill="1" applyBorder="1"/>
    <xf numFmtId="0" fontId="6" fillId="0" borderId="0" xfId="0" applyFont="1" applyFill="1" applyBorder="1" applyAlignment="1">
      <alignment horizontal="left" vertical="center"/>
    </xf>
    <xf numFmtId="0" fontId="10" fillId="4" borderId="2" xfId="0" applyFont="1" applyFill="1" applyBorder="1" applyAlignment="1">
      <alignment horizontal="justify" vertical="center" wrapText="1"/>
    </xf>
    <xf numFmtId="0" fontId="8" fillId="4" borderId="2" xfId="0" applyFont="1" applyFill="1" applyBorder="1" applyAlignment="1">
      <alignment horizontal="center" vertical="center" wrapText="1"/>
    </xf>
    <xf numFmtId="0" fontId="10" fillId="5" borderId="2" xfId="0" applyFont="1" applyFill="1" applyBorder="1" applyAlignment="1">
      <alignment horizontal="justify" vertical="center" wrapText="1"/>
    </xf>
    <xf numFmtId="0" fontId="8" fillId="5" borderId="2" xfId="0" applyFont="1" applyFill="1" applyBorder="1" applyAlignment="1">
      <alignment horizontal="center" vertical="center" wrapText="1"/>
    </xf>
    <xf numFmtId="0" fontId="10" fillId="2" borderId="2" xfId="0" applyFont="1" applyFill="1" applyBorder="1" applyAlignment="1">
      <alignment horizontal="justify" vertical="center" wrapText="1"/>
    </xf>
    <xf numFmtId="9" fontId="8" fillId="2" borderId="2" xfId="0" applyNumberFormat="1" applyFont="1" applyFill="1" applyBorder="1" applyAlignment="1">
      <alignment horizontal="center" vertical="center" wrapText="1"/>
    </xf>
    <xf numFmtId="9" fontId="8" fillId="6" borderId="2" xfId="0" applyNumberFormat="1" applyFont="1" applyFill="1" applyBorder="1" applyAlignment="1">
      <alignment horizontal="center" vertical="center" wrapText="1"/>
    </xf>
    <xf numFmtId="0" fontId="8" fillId="7" borderId="2" xfId="50" applyFont="1" applyFill="1" applyBorder="1" applyAlignment="1">
      <alignment horizontal="justify" vertical="center" wrapText="1"/>
    </xf>
    <xf numFmtId="3" fontId="8" fillId="0" borderId="2" xfId="0" applyNumberFormat="1" applyFont="1" applyBorder="1" applyAlignment="1">
      <alignment horizontal="right" vertical="center" wrapText="1"/>
    </xf>
    <xf numFmtId="9" fontId="8" fillId="0" borderId="2" xfId="0" applyNumberFormat="1" applyFont="1" applyFill="1" applyBorder="1" applyAlignment="1">
      <alignment horizontal="justify" vertical="center" wrapText="1"/>
    </xf>
    <xf numFmtId="4" fontId="8" fillId="0" borderId="2" xfId="0" applyNumberFormat="1" applyFont="1" applyBorder="1" applyAlignment="1">
      <alignment horizontal="center" vertical="center" wrapText="1"/>
    </xf>
    <xf numFmtId="4" fontId="8" fillId="0" borderId="2" xfId="0" applyNumberFormat="1" applyFont="1" applyBorder="1" applyAlignment="1">
      <alignment horizontal="right" vertical="center" wrapText="1"/>
    </xf>
    <xf numFmtId="49" fontId="8" fillId="0" borderId="2" xfId="0" applyNumberFormat="1" applyFont="1" applyBorder="1" applyAlignment="1">
      <alignment horizontal="justify" vertical="center" wrapText="1"/>
    </xf>
    <xf numFmtId="3" fontId="8" fillId="7" borderId="2" xfId="0" applyNumberFormat="1" applyFont="1" applyFill="1" applyBorder="1" applyAlignment="1">
      <alignment horizontal="center" vertical="center" wrapText="1"/>
    </xf>
    <xf numFmtId="9" fontId="8" fillId="7" borderId="2" xfId="0" applyNumberFormat="1" applyFont="1" applyFill="1" applyBorder="1" applyAlignment="1">
      <alignment horizontal="justify" vertical="center" wrapText="1"/>
    </xf>
    <xf numFmtId="49" fontId="8" fillId="2" borderId="2" xfId="50" applyNumberFormat="1" applyFont="1" applyFill="1" applyBorder="1" applyAlignment="1">
      <alignment horizontal="justify" vertical="center" wrapText="1"/>
    </xf>
    <xf numFmtId="0" fontId="8" fillId="2" borderId="2" xfId="0" applyFont="1" applyFill="1" applyBorder="1" applyAlignment="1">
      <alignment horizontal="center"/>
    </xf>
    <xf numFmtId="0" fontId="63" fillId="0" borderId="0" xfId="4" applyNumberFormat="1" applyFont="1" applyFill="1" applyBorder="1" applyAlignment="1">
      <alignment horizontal="left" vertical="center"/>
    </xf>
    <xf numFmtId="0" fontId="4" fillId="2" borderId="0" xfId="0" applyFont="1" applyFill="1" applyBorder="1"/>
    <xf numFmtId="49" fontId="7" fillId="3" borderId="5" xfId="0" applyNumberFormat="1" applyFont="1" applyFill="1" applyBorder="1" applyAlignment="1">
      <alignment vertical="center" wrapText="1"/>
    </xf>
    <xf numFmtId="49" fontId="7" fillId="4" borderId="2" xfId="0" applyNumberFormat="1" applyFont="1" applyFill="1" applyBorder="1" applyAlignment="1">
      <alignment horizontal="center" vertical="center" wrapText="1"/>
    </xf>
    <xf numFmtId="49" fontId="7" fillId="4" borderId="7" xfId="0" applyNumberFormat="1" applyFont="1" applyFill="1" applyBorder="1" applyAlignment="1">
      <alignment horizontal="justify" vertical="center" wrapText="1"/>
    </xf>
    <xf numFmtId="4" fontId="8" fillId="4" borderId="2" xfId="6" applyNumberFormat="1" applyFont="1" applyFill="1" applyBorder="1" applyAlignment="1">
      <alignment horizontal="center" vertical="center" wrapText="1"/>
    </xf>
    <xf numFmtId="3" fontId="8" fillId="4" borderId="2" xfId="6" applyNumberFormat="1" applyFont="1" applyFill="1" applyBorder="1" applyAlignment="1">
      <alignment horizontal="right" vertical="center" wrapText="1"/>
    </xf>
    <xf numFmtId="4" fontId="8" fillId="4" borderId="2" xfId="6" applyNumberFormat="1" applyFont="1" applyFill="1" applyBorder="1" applyAlignment="1">
      <alignment horizontal="right" vertical="center" wrapText="1"/>
    </xf>
    <xf numFmtId="4" fontId="10" fillId="4" borderId="2" xfId="24" applyNumberFormat="1" applyFont="1" applyFill="1" applyBorder="1" applyAlignment="1">
      <alignment horizontal="right" vertical="center" wrapText="1"/>
    </xf>
    <xf numFmtId="4" fontId="31" fillId="4" borderId="2" xfId="24" applyNumberFormat="1" applyFont="1" applyFill="1" applyBorder="1" applyAlignment="1">
      <alignment horizontal="right" vertical="center" wrapText="1"/>
    </xf>
    <xf numFmtId="0" fontId="8" fillId="4" borderId="2" xfId="6" applyFont="1" applyFill="1" applyBorder="1" applyAlignment="1">
      <alignment horizontal="justify" vertical="center" wrapText="1"/>
    </xf>
    <xf numFmtId="49" fontId="7" fillId="5" borderId="2" xfId="0" applyNumberFormat="1" applyFont="1" applyFill="1" applyBorder="1" applyAlignment="1">
      <alignment horizontal="center" vertical="center" wrapText="1"/>
    </xf>
    <xf numFmtId="49" fontId="7" fillId="5" borderId="7" xfId="0" applyNumberFormat="1" applyFont="1" applyFill="1" applyBorder="1" applyAlignment="1">
      <alignment horizontal="justify" vertical="center" wrapText="1"/>
    </xf>
    <xf numFmtId="4" fontId="8" fillId="5" borderId="2" xfId="6" applyNumberFormat="1" applyFont="1" applyFill="1" applyBorder="1" applyAlignment="1">
      <alignment horizontal="center" vertical="center" wrapText="1"/>
    </xf>
    <xf numFmtId="3" fontId="8" fillId="5" borderId="2" xfId="6" applyNumberFormat="1" applyFont="1" applyFill="1" applyBorder="1" applyAlignment="1">
      <alignment horizontal="right" vertical="center" wrapText="1"/>
    </xf>
    <xf numFmtId="4" fontId="8" fillId="5" borderId="2" xfId="6" applyNumberFormat="1" applyFont="1" applyFill="1" applyBorder="1" applyAlignment="1">
      <alignment horizontal="right" vertical="center" wrapText="1"/>
    </xf>
    <xf numFmtId="0" fontId="8" fillId="5" borderId="2" xfId="6" applyFont="1" applyFill="1" applyBorder="1" applyAlignment="1">
      <alignment horizontal="justify" vertical="center" wrapText="1"/>
    </xf>
    <xf numFmtId="0" fontId="10" fillId="11" borderId="2" xfId="0" applyFont="1" applyFill="1" applyBorder="1" applyAlignment="1">
      <alignment horizontal="justify" vertical="center" wrapText="1"/>
    </xf>
    <xf numFmtId="49" fontId="7" fillId="11" borderId="2" xfId="0" applyNumberFormat="1" applyFont="1" applyFill="1" applyBorder="1" applyAlignment="1">
      <alignment horizontal="center" vertical="center" wrapText="1"/>
    </xf>
    <xf numFmtId="49" fontId="7" fillId="11" borderId="2" xfId="0" applyNumberFormat="1" applyFont="1" applyFill="1" applyBorder="1" applyAlignment="1">
      <alignment horizontal="justify" vertical="center" wrapText="1"/>
    </xf>
    <xf numFmtId="49" fontId="7" fillId="11" borderId="7" xfId="0" applyNumberFormat="1" applyFont="1" applyFill="1" applyBorder="1" applyAlignment="1">
      <alignment horizontal="justify" vertical="center" wrapText="1"/>
    </xf>
    <xf numFmtId="4" fontId="8" fillId="11" borderId="2" xfId="6" applyNumberFormat="1" applyFont="1" applyFill="1" applyBorder="1" applyAlignment="1">
      <alignment horizontal="center" vertical="center" wrapText="1"/>
    </xf>
    <xf numFmtId="0" fontId="8" fillId="11" borderId="2" xfId="6" applyFont="1" applyFill="1" applyBorder="1" applyAlignment="1">
      <alignment horizontal="justify" vertical="center" wrapText="1"/>
    </xf>
    <xf numFmtId="0" fontId="10" fillId="6" borderId="2" xfId="0" applyFont="1" applyFill="1" applyBorder="1" applyAlignment="1">
      <alignment horizontal="right" vertical="center" wrapText="1"/>
    </xf>
    <xf numFmtId="0" fontId="8" fillId="0" borderId="2" xfId="0" applyFont="1" applyBorder="1" applyAlignment="1">
      <alignment horizontal="justify" vertical="center" wrapText="1"/>
    </xf>
    <xf numFmtId="4" fontId="8" fillId="11" borderId="2" xfId="0" applyNumberFormat="1" applyFont="1" applyFill="1" applyBorder="1" applyAlignment="1">
      <alignment horizontal="center" vertical="center" wrapText="1"/>
    </xf>
    <xf numFmtId="4" fontId="8" fillId="11" borderId="2" xfId="0" applyNumberFormat="1" applyFont="1" applyFill="1" applyBorder="1" applyAlignment="1">
      <alignment horizontal="right" vertical="center" wrapText="1"/>
    </xf>
    <xf numFmtId="0" fontId="8" fillId="11" borderId="2" xfId="7" applyFont="1" applyFill="1" applyBorder="1" applyAlignment="1">
      <alignment horizontal="justify" vertical="center" wrapText="1"/>
    </xf>
    <xf numFmtId="0" fontId="8" fillId="11" borderId="2" xfId="0" applyFont="1" applyFill="1" applyBorder="1" applyAlignment="1">
      <alignment horizontal="justify" vertical="center" wrapText="1"/>
    </xf>
    <xf numFmtId="4" fontId="10" fillId="6" borderId="2" xfId="24" applyNumberFormat="1" applyFont="1" applyFill="1" applyBorder="1" applyAlignment="1">
      <alignment horizontal="right" vertical="center" wrapText="1"/>
    </xf>
    <xf numFmtId="4" fontId="8" fillId="0" borderId="2" xfId="6" applyNumberFormat="1" applyFont="1" applyFill="1" applyBorder="1" applyAlignment="1">
      <alignment horizontal="right" vertical="center" wrapText="1"/>
    </xf>
    <xf numFmtId="4" fontId="8" fillId="0" borderId="2" xfId="6" applyNumberFormat="1" applyFont="1" applyFill="1" applyBorder="1" applyAlignment="1">
      <alignment horizontal="center" vertical="center" wrapText="1"/>
    </xf>
    <xf numFmtId="4" fontId="8" fillId="6" borderId="2" xfId="6" applyNumberFormat="1" applyFont="1" applyFill="1" applyBorder="1" applyAlignment="1">
      <alignment horizontal="center" vertical="center" wrapText="1"/>
    </xf>
    <xf numFmtId="0" fontId="10" fillId="0" borderId="2" xfId="0" applyFont="1" applyBorder="1" applyAlignment="1">
      <alignment horizontal="justify" vertical="center" wrapText="1"/>
    </xf>
    <xf numFmtId="0" fontId="10" fillId="0" borderId="2" xfId="0" applyFont="1" applyBorder="1" applyAlignment="1">
      <alignment vertical="center"/>
    </xf>
    <xf numFmtId="49" fontId="10" fillId="0" borderId="2" xfId="0" applyNumberFormat="1" applyFont="1" applyBorder="1" applyAlignment="1">
      <alignment horizontal="justify" vertical="center" wrapText="1"/>
    </xf>
    <xf numFmtId="0" fontId="8" fillId="6" borderId="2" xfId="7" applyFont="1" applyFill="1" applyBorder="1" applyAlignment="1">
      <alignment horizontal="justify" vertical="center" wrapText="1"/>
    </xf>
    <xf numFmtId="3" fontId="10" fillId="0" borderId="2" xfId="0" applyNumberFormat="1" applyFont="1" applyBorder="1" applyAlignment="1">
      <alignment horizontal="right" vertical="center" wrapText="1"/>
    </xf>
    <xf numFmtId="49" fontId="10" fillId="0" borderId="2" xfId="12" applyNumberFormat="1" applyFont="1" applyBorder="1" applyAlignment="1">
      <alignment horizontal="justify" vertical="center" wrapText="1"/>
    </xf>
    <xf numFmtId="49" fontId="8" fillId="7" borderId="2" xfId="0" applyNumberFormat="1" applyFont="1" applyFill="1" applyBorder="1" applyAlignment="1">
      <alignment horizontal="justify" vertical="center" wrapText="1"/>
    </xf>
    <xf numFmtId="3" fontId="8" fillId="0" borderId="2" xfId="7" applyNumberFormat="1" applyFont="1" applyFill="1" applyBorder="1" applyAlignment="1">
      <alignment horizontal="right" vertical="center" wrapText="1"/>
    </xf>
    <xf numFmtId="0" fontId="0" fillId="2" borderId="2" xfId="0" applyFill="1" applyBorder="1" applyAlignment="1">
      <alignment horizontal="justify" vertical="center" wrapText="1"/>
    </xf>
    <xf numFmtId="0" fontId="12" fillId="24" borderId="0" xfId="67" applyFont="1" applyFill="1" applyBorder="1"/>
    <xf numFmtId="0" fontId="66" fillId="24" borderId="0" xfId="67" applyFont="1" applyFill="1" applyBorder="1" applyAlignment="1">
      <alignment vertical="center"/>
    </xf>
    <xf numFmtId="1" fontId="12" fillId="24" borderId="0" xfId="67" applyNumberFormat="1" applyFont="1" applyFill="1" applyBorder="1"/>
    <xf numFmtId="0" fontId="66" fillId="0" borderId="0" xfId="67" applyFont="1" applyBorder="1" applyAlignment="1">
      <alignment vertical="center"/>
    </xf>
    <xf numFmtId="0" fontId="12" fillId="0" borderId="0" xfId="67" applyFont="1" applyBorder="1"/>
    <xf numFmtId="0" fontId="12" fillId="24" borderId="0" xfId="67" applyFont="1" applyFill="1" applyBorder="1" applyAlignment="1">
      <alignment horizontal="center"/>
    </xf>
    <xf numFmtId="0" fontId="32" fillId="0" borderId="0" xfId="67" applyFont="1"/>
    <xf numFmtId="0" fontId="32" fillId="24" borderId="0" xfId="67" applyFont="1" applyFill="1"/>
    <xf numFmtId="1" fontId="12" fillId="0" borderId="0" xfId="67" applyNumberFormat="1" applyFont="1" applyBorder="1"/>
    <xf numFmtId="0" fontId="67" fillId="22" borderId="2" xfId="23" applyFont="1" applyFill="1" applyBorder="1" applyAlignment="1">
      <alignment horizontal="center" vertical="center" wrapText="1"/>
    </xf>
    <xf numFmtId="0" fontId="67" fillId="22" borderId="2" xfId="67" applyFont="1" applyFill="1" applyBorder="1" applyAlignment="1">
      <alignment horizontal="center" vertical="center"/>
    </xf>
    <xf numFmtId="4" fontId="12" fillId="25" borderId="2" xfId="67" applyNumberFormat="1" applyFont="1" applyFill="1" applyBorder="1" applyAlignment="1">
      <alignment horizontal="center" vertical="center" wrapText="1"/>
    </xf>
    <xf numFmtId="0" fontId="12" fillId="25" borderId="2" xfId="67" applyFont="1" applyFill="1" applyBorder="1"/>
    <xf numFmtId="3" fontId="12" fillId="25" borderId="2" xfId="67" applyNumberFormat="1" applyFont="1" applyFill="1" applyBorder="1" applyAlignment="1">
      <alignment horizontal="right" vertical="center"/>
    </xf>
    <xf numFmtId="4" fontId="12" fillId="25" borderId="2" xfId="67" applyNumberFormat="1" applyFont="1" applyFill="1" applyBorder="1" applyAlignment="1">
      <alignment horizontal="right" vertical="center" wrapText="1"/>
    </xf>
    <xf numFmtId="0" fontId="12" fillId="25" borderId="2" xfId="67" applyFont="1" applyFill="1" applyBorder="1" applyAlignment="1">
      <alignment horizontal="left" vertical="center" wrapText="1"/>
    </xf>
    <xf numFmtId="0" fontId="12" fillId="25" borderId="2" xfId="67" applyFont="1" applyFill="1" applyBorder="1" applyAlignment="1">
      <alignment horizontal="justify" vertical="center" wrapText="1"/>
    </xf>
    <xf numFmtId="4" fontId="12" fillId="17" borderId="2" xfId="67" applyNumberFormat="1" applyFont="1" applyFill="1" applyBorder="1" applyAlignment="1">
      <alignment horizontal="center" vertical="center" wrapText="1"/>
    </xf>
    <xf numFmtId="0" fontId="12" fillId="17" borderId="2" xfId="67" applyFont="1" applyFill="1" applyBorder="1" applyAlignment="1">
      <alignment horizontal="center" vertical="center" wrapText="1"/>
    </xf>
    <xf numFmtId="3" fontId="12" fillId="17" borderId="2" xfId="67" applyNumberFormat="1" applyFont="1" applyFill="1" applyBorder="1" applyAlignment="1">
      <alignment horizontal="right" vertical="center"/>
    </xf>
    <xf numFmtId="4" fontId="12" fillId="17" borderId="2" xfId="67" applyNumberFormat="1" applyFont="1" applyFill="1" applyBorder="1" applyAlignment="1">
      <alignment horizontal="right" vertical="center" wrapText="1"/>
    </xf>
    <xf numFmtId="0" fontId="12" fillId="17" borderId="2" xfId="67" applyFont="1" applyFill="1" applyBorder="1" applyAlignment="1">
      <alignment horizontal="justify" vertical="center" wrapText="1"/>
    </xf>
    <xf numFmtId="4" fontId="32" fillId="26" borderId="2" xfId="67" applyNumberFormat="1" applyFont="1" applyFill="1" applyBorder="1" applyAlignment="1">
      <alignment horizontal="center" vertical="center" wrapText="1"/>
    </xf>
    <xf numFmtId="2" fontId="32" fillId="26" borderId="2" xfId="67" applyNumberFormat="1" applyFont="1" applyFill="1" applyBorder="1" applyAlignment="1">
      <alignment horizontal="center" vertical="center" wrapText="1"/>
    </xf>
    <xf numFmtId="0" fontId="12" fillId="26" borderId="2" xfId="67" applyFont="1" applyFill="1" applyBorder="1" applyAlignment="1">
      <alignment horizontal="center" vertical="center" wrapText="1"/>
    </xf>
    <xf numFmtId="3" fontId="12" fillId="26" borderId="2" xfId="67" applyNumberFormat="1" applyFont="1" applyFill="1" applyBorder="1" applyAlignment="1">
      <alignment horizontal="right" vertical="center"/>
    </xf>
    <xf numFmtId="4" fontId="12" fillId="26" borderId="2" xfId="67" applyNumberFormat="1" applyFont="1" applyFill="1" applyBorder="1" applyAlignment="1">
      <alignment horizontal="right" vertical="center" wrapText="1"/>
    </xf>
    <xf numFmtId="0" fontId="12" fillId="26" borderId="2" xfId="67" applyFont="1" applyFill="1" applyBorder="1" applyAlignment="1">
      <alignment horizontal="justify" vertical="center" wrapText="1"/>
    </xf>
    <xf numFmtId="4" fontId="12" fillId="27" borderId="2" xfId="67" applyNumberFormat="1" applyFont="1" applyFill="1" applyBorder="1" applyAlignment="1">
      <alignment horizontal="center" vertical="center" wrapText="1"/>
    </xf>
    <xf numFmtId="0" fontId="12" fillId="27" borderId="2" xfId="67" applyFont="1" applyFill="1" applyBorder="1" applyAlignment="1">
      <alignment horizontal="center" vertical="center" wrapText="1"/>
    </xf>
    <xf numFmtId="3" fontId="12" fillId="27" borderId="2" xfId="67" applyNumberFormat="1" applyFont="1" applyFill="1" applyBorder="1" applyAlignment="1">
      <alignment horizontal="right" vertical="center"/>
    </xf>
    <xf numFmtId="4" fontId="12" fillId="27" borderId="2" xfId="67" applyNumberFormat="1" applyFont="1" applyFill="1" applyBorder="1" applyAlignment="1">
      <alignment horizontal="right" vertical="center" wrapText="1"/>
    </xf>
    <xf numFmtId="0" fontId="12" fillId="27" borderId="2" xfId="67" applyFont="1" applyFill="1" applyBorder="1" applyAlignment="1">
      <alignment horizontal="justify" vertical="center" wrapText="1"/>
    </xf>
    <xf numFmtId="3" fontId="30" fillId="0" borderId="2" xfId="0" applyNumberFormat="1" applyFont="1" applyBorder="1" applyAlignment="1">
      <alignment horizontal="right" vertical="center" wrapText="1"/>
    </xf>
    <xf numFmtId="4" fontId="12" fillId="0" borderId="2" xfId="67" applyNumberFormat="1" applyFont="1" applyBorder="1" applyAlignment="1">
      <alignment horizontal="center" vertical="center" wrapText="1"/>
    </xf>
    <xf numFmtId="0" fontId="12" fillId="0" borderId="2" xfId="67" applyFont="1" applyBorder="1" applyAlignment="1">
      <alignment horizontal="center" vertical="center" wrapText="1"/>
    </xf>
    <xf numFmtId="3" fontId="12" fillId="0" borderId="2" xfId="67" applyNumberFormat="1" applyFont="1" applyBorder="1" applyAlignment="1">
      <alignment horizontal="right" vertical="center"/>
    </xf>
    <xf numFmtId="4" fontId="12" fillId="0" borderId="2" xfId="67" applyNumberFormat="1" applyFont="1" applyBorder="1" applyAlignment="1">
      <alignment horizontal="right" vertical="center" wrapText="1"/>
    </xf>
    <xf numFmtId="0" fontId="12" fillId="24" borderId="2" xfId="67" applyFont="1" applyFill="1" applyBorder="1" applyAlignment="1">
      <alignment horizontal="justify" vertical="center" wrapText="1"/>
    </xf>
    <xf numFmtId="0" fontId="10" fillId="4" borderId="2" xfId="31" applyFont="1" applyFill="1" applyBorder="1" applyAlignment="1">
      <alignment horizontal="left" vertical="center" wrapText="1"/>
    </xf>
    <xf numFmtId="0" fontId="32" fillId="25" borderId="2" xfId="67" applyFont="1" applyFill="1" applyBorder="1" applyAlignment="1">
      <alignment horizontal="justify" vertical="center" wrapText="1"/>
    </xf>
    <xf numFmtId="3" fontId="32" fillId="25" borderId="2" xfId="67" applyNumberFormat="1" applyFont="1" applyFill="1" applyBorder="1" applyAlignment="1">
      <alignment horizontal="center" vertical="center" wrapText="1"/>
    </xf>
    <xf numFmtId="49" fontId="32" fillId="25" borderId="2" xfId="67" applyNumberFormat="1" applyFont="1" applyFill="1" applyBorder="1" applyAlignment="1">
      <alignment horizontal="justify" vertical="center" wrapText="1"/>
    </xf>
    <xf numFmtId="0" fontId="12" fillId="25" borderId="2" xfId="67" applyFont="1" applyFill="1" applyBorder="1" applyAlignment="1">
      <alignment horizontal="center" vertical="center" wrapText="1"/>
    </xf>
    <xf numFmtId="3" fontId="12" fillId="28" borderId="2" xfId="67" applyNumberFormat="1" applyFont="1" applyFill="1" applyBorder="1" applyAlignment="1">
      <alignment horizontal="right" vertical="center"/>
    </xf>
    <xf numFmtId="4" fontId="12" fillId="28" borderId="2" xfId="67" applyNumberFormat="1" applyFont="1" applyFill="1" applyBorder="1" applyAlignment="1">
      <alignment horizontal="right" vertical="center" wrapText="1"/>
    </xf>
    <xf numFmtId="0" fontId="12" fillId="28" borderId="2" xfId="67" applyFont="1" applyFill="1" applyBorder="1" applyAlignment="1">
      <alignment horizontal="center" vertical="center" wrapText="1"/>
    </xf>
    <xf numFmtId="0" fontId="12" fillId="28" borderId="2" xfId="67" applyFont="1" applyFill="1" applyBorder="1" applyAlignment="1">
      <alignment horizontal="justify" vertical="center" wrapText="1"/>
    </xf>
    <xf numFmtId="0" fontId="10" fillId="5" borderId="2" xfId="31" applyFont="1" applyFill="1" applyBorder="1" applyAlignment="1">
      <alignment horizontal="left" vertical="center" wrapText="1"/>
    </xf>
    <xf numFmtId="0" fontId="32" fillId="17" borderId="2" xfId="67" applyFont="1" applyFill="1" applyBorder="1" applyAlignment="1">
      <alignment horizontal="justify" vertical="center" wrapText="1"/>
    </xf>
    <xf numFmtId="3" fontId="32" fillId="17" borderId="2" xfId="67" applyNumberFormat="1" applyFont="1" applyFill="1" applyBorder="1" applyAlignment="1">
      <alignment horizontal="center" vertical="center" wrapText="1"/>
    </xf>
    <xf numFmtId="49" fontId="32" fillId="17" borderId="2" xfId="67" applyNumberFormat="1" applyFont="1" applyFill="1" applyBorder="1" applyAlignment="1">
      <alignment horizontal="justify" vertical="center" wrapText="1"/>
    </xf>
    <xf numFmtId="49" fontId="12" fillId="26" borderId="2" xfId="67" applyNumberFormat="1" applyFont="1" applyFill="1" applyBorder="1" applyAlignment="1">
      <alignment horizontal="left" vertical="center" wrapText="1"/>
    </xf>
    <xf numFmtId="4" fontId="12" fillId="26" borderId="2" xfId="67" applyNumberFormat="1" applyFont="1" applyFill="1" applyBorder="1" applyAlignment="1">
      <alignment horizontal="center" vertical="center" wrapText="1"/>
    </xf>
    <xf numFmtId="2" fontId="12" fillId="26" borderId="2" xfId="67" applyNumberFormat="1" applyFont="1" applyFill="1" applyBorder="1" applyAlignment="1">
      <alignment horizontal="center" vertical="center" wrapText="1"/>
    </xf>
    <xf numFmtId="3" fontId="12" fillId="27" borderId="2" xfId="67" applyNumberFormat="1" applyFont="1" applyFill="1" applyBorder="1" applyAlignment="1">
      <alignment horizontal="center" vertical="center" wrapText="1"/>
    </xf>
    <xf numFmtId="3" fontId="12" fillId="27" borderId="2" xfId="67" applyNumberFormat="1" applyFont="1" applyFill="1" applyBorder="1" applyAlignment="1">
      <alignment horizontal="justify" vertical="center" wrapText="1"/>
    </xf>
    <xf numFmtId="179" fontId="12" fillId="27" borderId="2" xfId="67" applyNumberFormat="1" applyFont="1" applyFill="1" applyBorder="1" applyAlignment="1">
      <alignment horizontal="justify" vertical="center" wrapText="1"/>
    </xf>
    <xf numFmtId="3" fontId="12" fillId="27" borderId="2" xfId="68" applyNumberFormat="1" applyFont="1" applyFill="1" applyBorder="1" applyAlignment="1" applyProtection="1">
      <alignment horizontal="center" vertical="center" wrapText="1"/>
    </xf>
    <xf numFmtId="3" fontId="12" fillId="27" borderId="2" xfId="68" applyNumberFormat="1" applyFont="1" applyFill="1" applyBorder="1" applyAlignment="1" applyProtection="1">
      <alignment horizontal="right" vertical="center" wrapText="1"/>
    </xf>
    <xf numFmtId="4" fontId="12" fillId="27" borderId="2" xfId="68" applyNumberFormat="1" applyFont="1" applyFill="1" applyBorder="1" applyAlignment="1" applyProtection="1">
      <alignment horizontal="right" vertical="center" wrapText="1"/>
    </xf>
    <xf numFmtId="181" fontId="12" fillId="27" borderId="2" xfId="67" applyNumberFormat="1" applyFont="1" applyFill="1" applyBorder="1" applyAlignment="1">
      <alignment horizontal="justify" vertical="center" wrapText="1"/>
    </xf>
    <xf numFmtId="3" fontId="12" fillId="24" borderId="2" xfId="67" applyNumberFormat="1" applyFont="1" applyFill="1" applyBorder="1" applyAlignment="1">
      <alignment horizontal="justify" vertical="center" wrapText="1"/>
    </xf>
    <xf numFmtId="3" fontId="12" fillId="24" borderId="2" xfId="67" applyNumberFormat="1" applyFont="1" applyFill="1" applyBorder="1" applyAlignment="1">
      <alignment horizontal="center" vertical="center" wrapText="1"/>
    </xf>
    <xf numFmtId="179" fontId="32" fillId="24" borderId="2" xfId="67" applyNumberFormat="1" applyFont="1" applyFill="1" applyBorder="1" applyAlignment="1">
      <alignment horizontal="justify" vertical="center" wrapText="1"/>
    </xf>
    <xf numFmtId="179" fontId="12" fillId="24" borderId="2" xfId="67" applyNumberFormat="1" applyFont="1" applyFill="1" applyBorder="1" applyAlignment="1">
      <alignment horizontal="justify" vertical="center" wrapText="1"/>
    </xf>
    <xf numFmtId="4" fontId="12" fillId="24" borderId="2" xfId="67" applyNumberFormat="1" applyFont="1" applyFill="1" applyBorder="1" applyAlignment="1">
      <alignment horizontal="center" vertical="center" wrapText="1"/>
    </xf>
    <xf numFmtId="3" fontId="12" fillId="24" borderId="2" xfId="68" applyNumberFormat="1" applyFont="1" applyFill="1" applyBorder="1" applyAlignment="1" applyProtection="1">
      <alignment horizontal="right" vertical="center" wrapText="1"/>
    </xf>
    <xf numFmtId="4" fontId="12" fillId="24" borderId="2" xfId="68" applyNumberFormat="1" applyFont="1" applyFill="1" applyBorder="1" applyAlignment="1" applyProtection="1">
      <alignment horizontal="right" vertical="center" wrapText="1"/>
    </xf>
    <xf numFmtId="4" fontId="12" fillId="24" borderId="2" xfId="67" applyNumberFormat="1" applyFont="1" applyFill="1" applyBorder="1" applyAlignment="1">
      <alignment horizontal="right" vertical="center" wrapText="1"/>
    </xf>
    <xf numFmtId="4" fontId="12" fillId="0" borderId="2" xfId="68" applyNumberFormat="1" applyFont="1" applyFill="1" applyBorder="1" applyAlignment="1" applyProtection="1">
      <alignment horizontal="justify" vertical="center" wrapText="1"/>
    </xf>
    <xf numFmtId="3" fontId="12" fillId="26" borderId="2" xfId="67" applyNumberFormat="1" applyFont="1" applyFill="1" applyBorder="1" applyAlignment="1">
      <alignment horizontal="justify" vertical="center" wrapText="1"/>
    </xf>
    <xf numFmtId="3" fontId="12" fillId="26" borderId="2" xfId="67" applyNumberFormat="1" applyFont="1" applyFill="1" applyBorder="1" applyAlignment="1">
      <alignment horizontal="center" vertical="center" wrapText="1"/>
    </xf>
    <xf numFmtId="179" fontId="12" fillId="26" borderId="2" xfId="67" applyNumberFormat="1" applyFont="1" applyFill="1" applyBorder="1" applyAlignment="1">
      <alignment horizontal="justify" vertical="center" wrapText="1"/>
    </xf>
    <xf numFmtId="3" fontId="12" fillId="26" borderId="2" xfId="68" applyNumberFormat="1" applyFont="1" applyFill="1" applyBorder="1" applyAlignment="1" applyProtection="1">
      <alignment horizontal="right" vertical="center" wrapText="1"/>
    </xf>
    <xf numFmtId="4" fontId="12" fillId="26" borderId="2" xfId="68" applyNumberFormat="1" applyFont="1" applyFill="1" applyBorder="1" applyAlignment="1" applyProtection="1">
      <alignment horizontal="right" vertical="center" wrapText="1"/>
    </xf>
    <xf numFmtId="4" fontId="12" fillId="26" borderId="2" xfId="68" applyNumberFormat="1" applyFont="1" applyFill="1" applyBorder="1" applyAlignment="1" applyProtection="1">
      <alignment horizontal="justify" vertical="center" wrapText="1"/>
    </xf>
    <xf numFmtId="3" fontId="12" fillId="0" borderId="2" xfId="67" applyNumberFormat="1" applyFont="1" applyBorder="1" applyAlignment="1">
      <alignment horizontal="justify" vertical="center" wrapText="1"/>
    </xf>
    <xf numFmtId="3" fontId="12" fillId="0" borderId="2" xfId="67" applyNumberFormat="1" applyFont="1" applyBorder="1" applyAlignment="1">
      <alignment horizontal="center" vertical="center" wrapText="1"/>
    </xf>
    <xf numFmtId="179" fontId="12" fillId="0" borderId="2" xfId="67" applyNumberFormat="1" applyFont="1" applyBorder="1" applyAlignment="1">
      <alignment horizontal="justify" vertical="center" wrapText="1"/>
    </xf>
    <xf numFmtId="3" fontId="12" fillId="0" borderId="2" xfId="67" applyNumberFormat="1" applyFont="1" applyBorder="1" applyAlignment="1" applyProtection="1">
      <alignment horizontal="right" vertical="center" wrapText="1"/>
    </xf>
    <xf numFmtId="4" fontId="12" fillId="0" borderId="2" xfId="67" applyNumberFormat="1" applyFont="1" applyBorder="1" applyAlignment="1" applyProtection="1">
      <alignment horizontal="right" vertical="center" wrapText="1"/>
    </xf>
    <xf numFmtId="0" fontId="12" fillId="0" borderId="2" xfId="67" applyFont="1" applyBorder="1" applyAlignment="1">
      <alignment horizontal="justify" vertical="center" wrapText="1"/>
    </xf>
    <xf numFmtId="165" fontId="12" fillId="24" borderId="2" xfId="67" applyNumberFormat="1" applyFont="1" applyFill="1" applyBorder="1" applyAlignment="1">
      <alignment horizontal="justify" vertical="center" wrapText="1"/>
    </xf>
    <xf numFmtId="3" fontId="12" fillId="24" borderId="2" xfId="67" applyNumberFormat="1" applyFont="1" applyFill="1" applyBorder="1" applyAlignment="1">
      <alignment horizontal="right" vertical="center" wrapText="1"/>
    </xf>
    <xf numFmtId="3" fontId="12" fillId="26" borderId="2" xfId="67" applyNumberFormat="1" applyFont="1" applyFill="1" applyBorder="1" applyAlignment="1" applyProtection="1">
      <alignment horizontal="right" vertical="center" wrapText="1"/>
    </xf>
    <xf numFmtId="4" fontId="12" fillId="26" borderId="2" xfId="67" applyNumberFormat="1" applyFont="1" applyFill="1" applyBorder="1" applyAlignment="1" applyProtection="1">
      <alignment horizontal="right" vertical="center" wrapText="1"/>
    </xf>
    <xf numFmtId="165" fontId="12" fillId="26" borderId="2" xfId="67" applyNumberFormat="1" applyFont="1" applyFill="1" applyBorder="1" applyAlignment="1">
      <alignment horizontal="justify" vertical="center" wrapText="1"/>
    </xf>
    <xf numFmtId="3" fontId="12" fillId="27" borderId="2" xfId="68" applyNumberFormat="1" applyFont="1" applyFill="1" applyBorder="1" applyAlignment="1" applyProtection="1">
      <alignment horizontal="justify" vertical="center" wrapText="1"/>
    </xf>
    <xf numFmtId="181" fontId="12" fillId="24" borderId="2" xfId="67" applyNumberFormat="1" applyFont="1" applyFill="1" applyBorder="1" applyAlignment="1">
      <alignment horizontal="justify" vertical="center" wrapText="1"/>
    </xf>
    <xf numFmtId="3" fontId="12" fillId="0" borderId="2" xfId="68" applyNumberFormat="1" applyFont="1" applyBorder="1" applyAlignment="1" applyProtection="1">
      <alignment horizontal="right" vertical="center" wrapText="1"/>
    </xf>
    <xf numFmtId="4" fontId="12" fillId="0" borderId="2" xfId="68" applyNumberFormat="1" applyFont="1" applyBorder="1" applyAlignment="1" applyProtection="1">
      <alignment horizontal="right" vertical="center" wrapText="1"/>
    </xf>
    <xf numFmtId="181" fontId="12" fillId="0" borderId="2" xfId="67" applyNumberFormat="1" applyFont="1" applyBorder="1" applyAlignment="1">
      <alignment horizontal="justify" vertical="center" wrapText="1"/>
    </xf>
    <xf numFmtId="179" fontId="32" fillId="0" borderId="2" xfId="67" applyNumberFormat="1" applyFont="1" applyBorder="1" applyAlignment="1">
      <alignment horizontal="justify" vertical="center" wrapText="1"/>
    </xf>
    <xf numFmtId="0" fontId="7" fillId="22" borderId="2" xfId="67" applyFont="1" applyFill="1" applyBorder="1" applyAlignment="1">
      <alignment horizontal="left" vertical="center" wrapText="1"/>
    </xf>
    <xf numFmtId="0" fontId="7" fillId="22" borderId="2" xfId="67" applyFont="1" applyFill="1" applyBorder="1" applyAlignment="1">
      <alignment horizontal="justify" vertical="center" wrapText="1"/>
    </xf>
    <xf numFmtId="3" fontId="7" fillId="22" borderId="2" xfId="67" applyNumberFormat="1" applyFont="1" applyFill="1" applyBorder="1" applyAlignment="1">
      <alignment horizontal="center" vertical="center" wrapText="1"/>
    </xf>
    <xf numFmtId="3" fontId="7" fillId="22" borderId="2" xfId="67" applyNumberFormat="1" applyFont="1" applyFill="1" applyBorder="1" applyAlignment="1">
      <alignment horizontal="justify" vertical="center" wrapText="1"/>
    </xf>
    <xf numFmtId="179" fontId="7" fillId="22" borderId="2" xfId="67" applyNumberFormat="1" applyFont="1" applyFill="1" applyBorder="1" applyAlignment="1">
      <alignment horizontal="justify" vertical="center" wrapText="1"/>
    </xf>
    <xf numFmtId="4" fontId="7" fillId="22" borderId="2" xfId="67" applyNumberFormat="1" applyFont="1" applyFill="1" applyBorder="1" applyAlignment="1">
      <alignment horizontal="center" vertical="center" wrapText="1"/>
    </xf>
    <xf numFmtId="3" fontId="7" fillId="22" borderId="2" xfId="68" applyNumberFormat="1" applyFont="1" applyFill="1" applyBorder="1" applyAlignment="1" applyProtection="1">
      <alignment horizontal="right" vertical="center" wrapText="1"/>
    </xf>
    <xf numFmtId="4" fontId="7" fillId="22" borderId="2" xfId="68" applyNumberFormat="1" applyFont="1" applyFill="1" applyBorder="1" applyAlignment="1" applyProtection="1">
      <alignment horizontal="right" vertical="center" wrapText="1"/>
    </xf>
    <xf numFmtId="4" fontId="7" fillId="22" borderId="2" xfId="67" applyNumberFormat="1" applyFont="1" applyFill="1" applyBorder="1" applyAlignment="1">
      <alignment horizontal="right" vertical="center" wrapText="1"/>
    </xf>
    <xf numFmtId="180" fontId="7" fillId="22" borderId="2" xfId="67" applyNumberFormat="1" applyFont="1" applyFill="1" applyBorder="1" applyAlignment="1">
      <alignment horizontal="justify" vertical="center" wrapText="1"/>
    </xf>
    <xf numFmtId="181" fontId="7" fillId="22" borderId="2" xfId="67" applyNumberFormat="1" applyFont="1" applyFill="1" applyBorder="1" applyAlignment="1">
      <alignment horizontal="justify" vertical="center" wrapText="1"/>
    </xf>
    <xf numFmtId="49" fontId="10" fillId="6" borderId="2" xfId="25" applyNumberFormat="1" applyFont="1" applyFill="1" applyBorder="1" applyAlignment="1">
      <alignment horizontal="center" vertical="center" wrapText="1"/>
    </xf>
    <xf numFmtId="3" fontId="10" fillId="6" borderId="2" xfId="25" applyNumberFormat="1" applyFont="1" applyFill="1" applyBorder="1" applyAlignment="1">
      <alignment horizontal="right" vertical="center" wrapText="1"/>
    </xf>
    <xf numFmtId="49" fontId="10" fillId="4" borderId="2" xfId="6" applyNumberFormat="1" applyFont="1" applyFill="1" applyBorder="1" applyAlignment="1">
      <alignment horizontal="justify" vertical="center" wrapText="1"/>
    </xf>
    <xf numFmtId="49" fontId="10" fillId="5" borderId="2" xfId="6" applyNumberFormat="1" applyFont="1" applyFill="1" applyBorder="1" applyAlignment="1">
      <alignment horizontal="justify" vertical="center" wrapText="1"/>
    </xf>
    <xf numFmtId="2" fontId="8" fillId="2" borderId="2" xfId="25" applyNumberFormat="1" applyFont="1" applyFill="1" applyBorder="1" applyAlignment="1">
      <alignment horizontal="left" vertical="center" wrapText="1"/>
    </xf>
    <xf numFmtId="2" fontId="10" fillId="2" borderId="2" xfId="6" applyNumberFormat="1" applyFont="1" applyFill="1" applyBorder="1" applyAlignment="1">
      <alignment horizontal="justify" vertical="center" wrapText="1"/>
    </xf>
    <xf numFmtId="49" fontId="10" fillId="2" borderId="2" xfId="6" applyNumberFormat="1" applyFont="1" applyFill="1" applyBorder="1" applyAlignment="1">
      <alignment horizontal="justify" vertical="center" wrapText="1"/>
    </xf>
    <xf numFmtId="4" fontId="10" fillId="0" borderId="2" xfId="4" applyNumberFormat="1" applyFont="1" applyFill="1" applyBorder="1" applyAlignment="1">
      <alignment horizontal="center" vertical="center" wrapText="1"/>
    </xf>
    <xf numFmtId="2" fontId="10" fillId="0" borderId="2" xfId="4" applyNumberFormat="1" applyFont="1" applyFill="1" applyBorder="1" applyAlignment="1">
      <alignment horizontal="center" vertical="center" wrapText="1"/>
    </xf>
    <xf numFmtId="0" fontId="10" fillId="0" borderId="2" xfId="26" applyFont="1" applyFill="1" applyBorder="1" applyAlignment="1">
      <alignment horizontal="justify" vertical="center" wrapText="1"/>
    </xf>
    <xf numFmtId="2" fontId="10" fillId="6" borderId="2" xfId="14" applyNumberFormat="1" applyFont="1" applyFill="1" applyBorder="1" applyAlignment="1">
      <alignment horizontal="center" vertical="center" wrapText="1"/>
    </xf>
    <xf numFmtId="4" fontId="10" fillId="6" borderId="2" xfId="14" applyNumberFormat="1" applyFont="1" applyFill="1" applyBorder="1" applyAlignment="1">
      <alignment horizontal="center" vertical="center" wrapText="1"/>
    </xf>
    <xf numFmtId="3" fontId="10" fillId="6" borderId="2" xfId="14" applyNumberFormat="1" applyFont="1" applyFill="1" applyBorder="1" applyAlignment="1">
      <alignment horizontal="right" vertical="center" wrapText="1"/>
    </xf>
    <xf numFmtId="4" fontId="10" fillId="6" borderId="2" xfId="14" applyNumberFormat="1" applyFont="1" applyFill="1" applyBorder="1" applyAlignment="1">
      <alignment horizontal="right" vertical="center" wrapText="1"/>
    </xf>
    <xf numFmtId="3" fontId="10" fillId="0" borderId="2" xfId="26" applyNumberFormat="1" applyFont="1" applyFill="1" applyBorder="1" applyAlignment="1">
      <alignment horizontal="right" vertical="center" wrapText="1"/>
    </xf>
    <xf numFmtId="4" fontId="10" fillId="0" borderId="2" xfId="26" applyNumberFormat="1" applyFont="1" applyFill="1" applyBorder="1" applyAlignment="1">
      <alignment horizontal="right" vertical="center" wrapText="1"/>
    </xf>
    <xf numFmtId="4" fontId="10" fillId="0" borderId="2" xfId="14" applyNumberFormat="1" applyFont="1" applyFill="1" applyBorder="1" applyAlignment="1">
      <alignment horizontal="right" vertical="center" wrapText="1"/>
    </xf>
    <xf numFmtId="49" fontId="10" fillId="2" borderId="2" xfId="32" applyNumberFormat="1" applyFont="1" applyFill="1" applyBorder="1" applyAlignment="1">
      <alignment horizontal="justify" vertical="center" wrapText="1"/>
    </xf>
    <xf numFmtId="3" fontId="3" fillId="0" borderId="0" xfId="12" applyNumberFormat="1" applyFont="1" applyFill="1" applyBorder="1" applyAlignment="1">
      <alignment horizontal="center" vertical="center"/>
    </xf>
    <xf numFmtId="3" fontId="3" fillId="0" borderId="0" xfId="12" applyNumberFormat="1" applyFont="1" applyFill="1" applyBorder="1" applyAlignment="1"/>
    <xf numFmtId="3" fontId="8" fillId="4" borderId="2" xfId="12" applyNumberFormat="1" applyFont="1" applyFill="1" applyBorder="1" applyAlignment="1">
      <alignment horizontal="center" vertical="center" wrapText="1"/>
    </xf>
    <xf numFmtId="3" fontId="59" fillId="4" borderId="2" xfId="12" applyNumberFormat="1" applyFont="1" applyFill="1" applyBorder="1" applyAlignment="1">
      <alignment horizontal="center" vertical="center" wrapText="1"/>
    </xf>
    <xf numFmtId="0" fontId="8" fillId="4" borderId="2" xfId="12" applyFont="1" applyFill="1" applyBorder="1" applyAlignment="1">
      <alignment horizontal="center" vertical="center" wrapText="1"/>
    </xf>
    <xf numFmtId="0" fontId="8" fillId="4" borderId="2" xfId="12" applyFont="1" applyFill="1" applyBorder="1" applyAlignment="1">
      <alignment horizontal="justify" vertical="center" wrapText="1"/>
    </xf>
    <xf numFmtId="3" fontId="8" fillId="5" borderId="2" xfId="12" applyNumberFormat="1" applyFont="1" applyFill="1" applyBorder="1" applyAlignment="1">
      <alignment horizontal="center" vertical="center" wrapText="1"/>
    </xf>
    <xf numFmtId="3" fontId="59" fillId="5" borderId="2" xfId="12" applyNumberFormat="1" applyFont="1" applyFill="1" applyBorder="1" applyAlignment="1">
      <alignment horizontal="center" vertical="center" wrapText="1"/>
    </xf>
    <xf numFmtId="4" fontId="59" fillId="5" borderId="2" xfId="12" applyNumberFormat="1" applyFont="1" applyFill="1" applyBorder="1" applyAlignment="1">
      <alignment horizontal="right" vertical="center" wrapText="1"/>
    </xf>
    <xf numFmtId="0" fontId="8" fillId="5" borderId="2" xfId="12" applyFont="1" applyFill="1" applyBorder="1" applyAlignment="1">
      <alignment horizontal="center" vertical="center" wrapText="1"/>
    </xf>
    <xf numFmtId="0" fontId="8" fillId="5" borderId="2" xfId="12" applyFont="1" applyFill="1" applyBorder="1" applyAlignment="1">
      <alignment horizontal="justify" vertical="center" wrapText="1"/>
    </xf>
    <xf numFmtId="3" fontId="59" fillId="2" borderId="2" xfId="12" applyNumberFormat="1" applyFont="1" applyFill="1" applyBorder="1" applyAlignment="1">
      <alignment horizontal="center" vertical="center" wrapText="1"/>
    </xf>
    <xf numFmtId="4" fontId="59" fillId="2" borderId="2" xfId="12" applyNumberFormat="1" applyFont="1" applyFill="1" applyBorder="1" applyAlignment="1">
      <alignment horizontal="right" vertical="center" wrapText="1"/>
    </xf>
    <xf numFmtId="0" fontId="8" fillId="6" borderId="2" xfId="12" applyFont="1" applyFill="1" applyBorder="1" applyAlignment="1">
      <alignment horizontal="center" vertical="center" wrapText="1"/>
    </xf>
    <xf numFmtId="3" fontId="8" fillId="6" borderId="2" xfId="17" applyNumberFormat="1" applyFont="1" applyFill="1" applyBorder="1" applyAlignment="1">
      <alignment horizontal="right" vertical="center" wrapText="1"/>
    </xf>
    <xf numFmtId="3" fontId="59" fillId="6" borderId="2" xfId="12" applyNumberFormat="1" applyFont="1" applyFill="1" applyBorder="1" applyAlignment="1">
      <alignment horizontal="right" vertical="center" wrapText="1"/>
    </xf>
    <xf numFmtId="4" fontId="59" fillId="6" borderId="2" xfId="12" applyNumberFormat="1" applyFont="1" applyFill="1" applyBorder="1" applyAlignment="1">
      <alignment horizontal="right" vertical="center" wrapText="1"/>
    </xf>
    <xf numFmtId="4" fontId="8" fillId="6" borderId="2" xfId="43" applyNumberFormat="1" applyFont="1" applyFill="1" applyBorder="1" applyAlignment="1">
      <alignment horizontal="right" vertical="center" wrapText="1"/>
    </xf>
    <xf numFmtId="1" fontId="8" fillId="6" borderId="2" xfId="12" applyNumberFormat="1" applyFont="1" applyFill="1" applyBorder="1" applyAlignment="1">
      <alignment horizontal="right" vertical="center" wrapText="1"/>
    </xf>
    <xf numFmtId="1" fontId="8" fillId="0" borderId="2" xfId="12" applyNumberFormat="1" applyFont="1" applyFill="1" applyBorder="1" applyAlignment="1">
      <alignment horizontal="center" vertical="center" wrapText="1"/>
    </xf>
    <xf numFmtId="3" fontId="8" fillId="0" borderId="2" xfId="14" applyNumberFormat="1" applyFont="1" applyBorder="1" applyAlignment="1">
      <alignment horizontal="right" vertical="center" wrapText="1"/>
    </xf>
    <xf numFmtId="3" fontId="59" fillId="7" borderId="2" xfId="12" applyNumberFormat="1" applyFont="1" applyFill="1" applyBorder="1" applyAlignment="1">
      <alignment horizontal="right" vertical="center" wrapText="1"/>
    </xf>
    <xf numFmtId="4" fontId="59" fillId="7" borderId="2" xfId="43" applyNumberFormat="1" applyFont="1" applyFill="1" applyBorder="1" applyAlignment="1">
      <alignment horizontal="right" vertical="center" wrapText="1"/>
    </xf>
    <xf numFmtId="3" fontId="59" fillId="0" borderId="2" xfId="12" applyNumberFormat="1" applyFont="1" applyFill="1" applyBorder="1" applyAlignment="1">
      <alignment horizontal="right" vertical="center" wrapText="1"/>
    </xf>
    <xf numFmtId="4" fontId="8" fillId="0" borderId="2" xfId="43" applyNumberFormat="1" applyFont="1" applyFill="1" applyBorder="1" applyAlignment="1">
      <alignment horizontal="right" vertical="center" wrapText="1"/>
    </xf>
    <xf numFmtId="1" fontId="8" fillId="0" borderId="2" xfId="12" applyNumberFormat="1" applyFont="1" applyFill="1" applyBorder="1" applyAlignment="1">
      <alignment horizontal="right" vertical="center" wrapText="1"/>
    </xf>
    <xf numFmtId="3" fontId="71" fillId="0" borderId="2" xfId="12" applyNumberFormat="1" applyFont="1" applyFill="1" applyBorder="1" applyAlignment="1">
      <alignment horizontal="right" vertical="center" wrapText="1"/>
    </xf>
    <xf numFmtId="3" fontId="71" fillId="0" borderId="2" xfId="14" applyNumberFormat="1" applyFont="1" applyBorder="1" applyAlignment="1">
      <alignment horizontal="right" vertical="center" wrapText="1"/>
    </xf>
    <xf numFmtId="3" fontId="71" fillId="7" borderId="2" xfId="14" applyNumberFormat="1" applyFont="1" applyFill="1" applyBorder="1" applyAlignment="1">
      <alignment horizontal="right" vertical="center" wrapText="1"/>
    </xf>
    <xf numFmtId="3" fontId="71" fillId="7" borderId="2" xfId="12" applyNumberFormat="1" applyFont="1" applyFill="1" applyBorder="1" applyAlignment="1">
      <alignment horizontal="right" vertical="center" wrapText="1"/>
    </xf>
    <xf numFmtId="4" fontId="8" fillId="0" borderId="2" xfId="14" applyNumberFormat="1" applyFont="1" applyBorder="1" applyAlignment="1">
      <alignment horizontal="center" vertical="center" wrapText="1"/>
    </xf>
    <xf numFmtId="3" fontId="8" fillId="0" borderId="2" xfId="14" applyNumberFormat="1" applyFont="1" applyFill="1" applyBorder="1" applyAlignment="1">
      <alignment horizontal="right" vertical="center" wrapText="1"/>
    </xf>
    <xf numFmtId="3" fontId="71" fillId="0" borderId="2" xfId="14" applyNumberFormat="1" applyFont="1" applyFill="1" applyBorder="1" applyAlignment="1">
      <alignment horizontal="right" vertical="center" wrapText="1"/>
    </xf>
    <xf numFmtId="1" fontId="8" fillId="0" borderId="2" xfId="14" applyNumberFormat="1" applyFont="1" applyFill="1" applyBorder="1" applyAlignment="1">
      <alignment horizontal="right" vertical="center" wrapText="1"/>
    </xf>
    <xf numFmtId="4" fontId="8" fillId="7" borderId="2" xfId="14" applyNumberFormat="1" applyFont="1" applyFill="1" applyBorder="1" applyAlignment="1">
      <alignment horizontal="center" vertical="center" wrapText="1"/>
    </xf>
    <xf numFmtId="2" fontId="8" fillId="0" borderId="2" xfId="14" applyNumberFormat="1" applyFont="1" applyFill="1" applyBorder="1" applyAlignment="1">
      <alignment horizontal="justify" vertical="center" wrapText="1"/>
    </xf>
    <xf numFmtId="4" fontId="59" fillId="0" borderId="2" xfId="12" applyNumberFormat="1" applyFont="1" applyFill="1" applyBorder="1" applyAlignment="1">
      <alignment horizontal="right" vertical="center" wrapText="1"/>
    </xf>
    <xf numFmtId="43" fontId="73" fillId="7" borderId="2" xfId="1" applyFont="1" applyFill="1" applyBorder="1" applyAlignment="1">
      <alignment horizontal="right" vertical="center" wrapText="1"/>
    </xf>
    <xf numFmtId="39" fontId="8" fillId="2" borderId="2" xfId="16" applyNumberFormat="1" applyFont="1" applyFill="1" applyBorder="1" applyAlignment="1">
      <alignment horizontal="right" vertical="center" wrapText="1"/>
    </xf>
    <xf numFmtId="0" fontId="4" fillId="7" borderId="0" xfId="27" applyFont="1" applyFill="1" applyBorder="1"/>
    <xf numFmtId="0" fontId="6" fillId="0" borderId="0" xfId="24" applyFont="1" applyFill="1" applyBorder="1" applyAlignment="1">
      <alignment vertical="center"/>
    </xf>
    <xf numFmtId="49" fontId="6" fillId="7" borderId="0" xfId="27" applyNumberFormat="1" applyFont="1" applyFill="1" applyBorder="1" applyAlignment="1">
      <alignment horizontal="left" vertical="center"/>
    </xf>
    <xf numFmtId="0" fontId="6" fillId="7" borderId="0" xfId="27" applyFont="1" applyFill="1" applyBorder="1" applyAlignment="1">
      <alignment vertical="center"/>
    </xf>
    <xf numFmtId="0" fontId="6" fillId="0" borderId="0" xfId="31" applyFont="1" applyFill="1" applyBorder="1" applyAlignment="1">
      <alignment horizontal="left" vertical="center"/>
    </xf>
    <xf numFmtId="49" fontId="4" fillId="7" borderId="0" xfId="27" applyNumberFormat="1" applyFont="1" applyFill="1" applyBorder="1" applyAlignment="1">
      <alignment horizontal="left" vertical="center"/>
    </xf>
    <xf numFmtId="49" fontId="3" fillId="7" borderId="0" xfId="27" applyNumberFormat="1" applyFont="1" applyFill="1" applyBorder="1" applyAlignment="1">
      <alignment horizontal="left" vertical="center"/>
    </xf>
    <xf numFmtId="0" fontId="3" fillId="7" borderId="0" xfId="27" applyFont="1" applyFill="1" applyBorder="1" applyAlignment="1"/>
    <xf numFmtId="0" fontId="7" fillId="3" borderId="2" xfId="19" applyFont="1" applyFill="1" applyBorder="1" applyAlignment="1">
      <alignment horizontal="center" vertical="center" wrapText="1"/>
    </xf>
    <xf numFmtId="4" fontId="8" fillId="4" borderId="7" xfId="19" applyNumberFormat="1" applyFont="1" applyFill="1" applyBorder="1" applyAlignment="1">
      <alignment horizontal="center" vertical="center" wrapText="1"/>
    </xf>
    <xf numFmtId="3" fontId="8" fillId="4" borderId="2" xfId="19" applyNumberFormat="1" applyFont="1" applyFill="1" applyBorder="1" applyAlignment="1">
      <alignment horizontal="right" vertical="center" wrapText="1"/>
    </xf>
    <xf numFmtId="4" fontId="8" fillId="4" borderId="2" xfId="19" applyNumberFormat="1" applyFont="1" applyFill="1" applyBorder="1" applyAlignment="1">
      <alignment horizontal="right" vertical="center" wrapText="1"/>
    </xf>
    <xf numFmtId="4" fontId="8" fillId="4" borderId="7" xfId="6" applyNumberFormat="1" applyFont="1" applyFill="1" applyBorder="1" applyAlignment="1">
      <alignment horizontal="right" vertical="center" textRotation="90" wrapText="1"/>
    </xf>
    <xf numFmtId="0" fontId="8" fillId="4" borderId="2" xfId="19" applyFont="1" applyFill="1" applyBorder="1" applyAlignment="1">
      <alignment horizontal="center" vertical="center" wrapText="1"/>
    </xf>
    <xf numFmtId="0" fontId="8" fillId="4" borderId="7" xfId="19" applyFont="1" applyFill="1" applyBorder="1" applyAlignment="1">
      <alignment horizontal="center" vertical="center" textRotation="90" wrapText="1"/>
    </xf>
    <xf numFmtId="4" fontId="8" fillId="5" borderId="7" xfId="19" applyNumberFormat="1" applyFont="1" applyFill="1" applyBorder="1" applyAlignment="1">
      <alignment horizontal="center" vertical="center" wrapText="1"/>
    </xf>
    <xf numFmtId="3" fontId="8" fillId="5" borderId="2" xfId="19" applyNumberFormat="1" applyFont="1" applyFill="1" applyBorder="1" applyAlignment="1">
      <alignment horizontal="right" vertical="center" wrapText="1"/>
    </xf>
    <xf numFmtId="4" fontId="8" fillId="5" borderId="2" xfId="19" applyNumberFormat="1" applyFont="1" applyFill="1" applyBorder="1" applyAlignment="1">
      <alignment horizontal="right" vertical="center" wrapText="1"/>
    </xf>
    <xf numFmtId="4" fontId="8" fillId="5" borderId="7" xfId="6" applyNumberFormat="1" applyFont="1" applyFill="1" applyBorder="1" applyAlignment="1">
      <alignment horizontal="right" vertical="center" textRotation="90" wrapText="1"/>
    </xf>
    <xf numFmtId="0" fontId="8" fillId="5" borderId="2" xfId="19" applyFont="1" applyFill="1" applyBorder="1" applyAlignment="1">
      <alignment horizontal="center" vertical="center" wrapText="1"/>
    </xf>
    <xf numFmtId="0" fontId="8" fillId="5" borderId="7" xfId="19" applyFont="1" applyFill="1" applyBorder="1" applyAlignment="1">
      <alignment horizontal="center" vertical="center" textRotation="90" wrapText="1"/>
    </xf>
    <xf numFmtId="4" fontId="8" fillId="2" borderId="7" xfId="19" applyNumberFormat="1" applyFont="1" applyFill="1" applyBorder="1" applyAlignment="1">
      <alignment horizontal="center" vertical="center" wrapText="1"/>
    </xf>
    <xf numFmtId="3" fontId="8" fillId="2" borderId="2" xfId="19" applyNumberFormat="1" applyFont="1" applyFill="1" applyBorder="1" applyAlignment="1">
      <alignment horizontal="right" vertical="center" wrapText="1"/>
    </xf>
    <xf numFmtId="4" fontId="8" fillId="2" borderId="2" xfId="19" applyNumberFormat="1" applyFont="1" applyFill="1" applyBorder="1" applyAlignment="1">
      <alignment horizontal="right" vertical="center" wrapText="1"/>
    </xf>
    <xf numFmtId="4" fontId="8" fillId="2" borderId="7" xfId="6" applyNumberFormat="1" applyFont="1" applyFill="1" applyBorder="1" applyAlignment="1">
      <alignment horizontal="right" vertical="center" textRotation="90" wrapText="1"/>
    </xf>
    <xf numFmtId="4" fontId="8" fillId="2" borderId="2" xfId="6" applyNumberFormat="1" applyFont="1" applyFill="1" applyBorder="1" applyAlignment="1">
      <alignment horizontal="right" vertical="center" wrapText="1"/>
    </xf>
    <xf numFmtId="0" fontId="8" fillId="2" borderId="2" xfId="19" applyFont="1" applyFill="1" applyBorder="1" applyAlignment="1">
      <alignment horizontal="center" vertical="center" wrapText="1"/>
    </xf>
    <xf numFmtId="0" fontId="8" fillId="2" borderId="7" xfId="19" applyFont="1" applyFill="1" applyBorder="1" applyAlignment="1">
      <alignment horizontal="center" vertical="center" textRotation="90" wrapText="1"/>
    </xf>
    <xf numFmtId="4" fontId="8" fillId="6" borderId="7" xfId="19" applyNumberFormat="1" applyFont="1" applyFill="1" applyBorder="1" applyAlignment="1">
      <alignment horizontal="center" vertical="center" wrapText="1"/>
    </xf>
    <xf numFmtId="3" fontId="8" fillId="6" borderId="2" xfId="19" applyNumberFormat="1" applyFont="1" applyFill="1" applyBorder="1" applyAlignment="1">
      <alignment horizontal="right" vertical="center" wrapText="1"/>
    </xf>
    <xf numFmtId="4" fontId="8" fillId="6" borderId="2" xfId="19" applyNumberFormat="1" applyFont="1" applyFill="1" applyBorder="1" applyAlignment="1">
      <alignment horizontal="right" vertical="center" wrapText="1"/>
    </xf>
    <xf numFmtId="4" fontId="8" fillId="6" borderId="7" xfId="6" applyNumberFormat="1" applyFont="1" applyFill="1" applyBorder="1" applyAlignment="1">
      <alignment horizontal="right" vertical="center" textRotation="90" wrapText="1"/>
    </xf>
    <xf numFmtId="0" fontId="8" fillId="6" borderId="2" xfId="19" applyFont="1" applyFill="1" applyBorder="1" applyAlignment="1">
      <alignment horizontal="center" vertical="center" wrapText="1"/>
    </xf>
    <xf numFmtId="0" fontId="8" fillId="6" borderId="7" xfId="19" applyFont="1" applyFill="1" applyBorder="1" applyAlignment="1">
      <alignment horizontal="center" vertical="center" textRotation="90" wrapText="1"/>
    </xf>
    <xf numFmtId="4" fontId="8" fillId="0" borderId="7" xfId="19" applyNumberFormat="1" applyFont="1" applyFill="1" applyBorder="1" applyAlignment="1">
      <alignment horizontal="center" vertical="center" wrapText="1"/>
    </xf>
    <xf numFmtId="3" fontId="8" fillId="0" borderId="2" xfId="19" applyNumberFormat="1" applyFont="1" applyFill="1" applyBorder="1" applyAlignment="1">
      <alignment horizontal="right" vertical="center" wrapText="1"/>
    </xf>
    <xf numFmtId="4" fontId="8" fillId="0" borderId="2" xfId="19" applyNumberFormat="1" applyFont="1" applyFill="1" applyBorder="1" applyAlignment="1">
      <alignment horizontal="right" vertical="center" wrapText="1"/>
    </xf>
    <xf numFmtId="4" fontId="8" fillId="0" borderId="7" xfId="6" applyNumberFormat="1" applyFont="1" applyFill="1" applyBorder="1" applyAlignment="1">
      <alignment horizontal="right" vertical="center" textRotation="90" wrapText="1"/>
    </xf>
    <xf numFmtId="0" fontId="8" fillId="0" borderId="2" xfId="19" applyFont="1" applyFill="1" applyBorder="1" applyAlignment="1">
      <alignment horizontal="center" vertical="center" wrapText="1"/>
    </xf>
    <xf numFmtId="0" fontId="8" fillId="0" borderId="7" xfId="19" applyFont="1" applyFill="1" applyBorder="1" applyAlignment="1">
      <alignment horizontal="center" vertical="center" textRotation="90" wrapText="1"/>
    </xf>
    <xf numFmtId="49" fontId="10" fillId="6" borderId="2" xfId="24" applyNumberFormat="1" applyFont="1" applyFill="1" applyBorder="1" applyAlignment="1">
      <alignment horizontal="justify" vertical="center" wrapText="1"/>
    </xf>
    <xf numFmtId="49" fontId="10" fillId="0" borderId="2" xfId="24" applyNumberFormat="1" applyFont="1" applyFill="1" applyBorder="1" applyAlignment="1">
      <alignment horizontal="justify" vertical="center" wrapText="1"/>
    </xf>
    <xf numFmtId="49" fontId="30" fillId="5" borderId="2" xfId="0" applyNumberFormat="1" applyFont="1" applyFill="1" applyBorder="1" applyAlignment="1">
      <alignment horizontal="justify" vertical="center" wrapText="1"/>
    </xf>
    <xf numFmtId="49" fontId="30" fillId="2" borderId="2" xfId="0" applyNumberFormat="1" applyFont="1" applyFill="1" applyBorder="1" applyAlignment="1">
      <alignment horizontal="justify" vertical="center" wrapText="1"/>
    </xf>
    <xf numFmtId="49" fontId="10" fillId="6" borderId="1" xfId="0" applyNumberFormat="1" applyFont="1" applyFill="1" applyBorder="1" applyAlignment="1">
      <alignment horizontal="justify" vertical="center" wrapText="1"/>
    </xf>
    <xf numFmtId="49" fontId="10" fillId="4" borderId="2" xfId="14" applyNumberFormat="1" applyFont="1" applyFill="1" applyBorder="1" applyAlignment="1">
      <alignment horizontal="justify" vertical="center" wrapText="1"/>
    </xf>
    <xf numFmtId="49" fontId="10" fillId="5" borderId="2" xfId="14" applyNumberFormat="1" applyFont="1" applyFill="1" applyBorder="1" applyAlignment="1">
      <alignment horizontal="justify" vertical="center" wrapText="1"/>
    </xf>
    <xf numFmtId="49" fontId="10" fillId="2" borderId="2" xfId="14" applyNumberFormat="1" applyFont="1" applyFill="1" applyBorder="1" applyAlignment="1">
      <alignment horizontal="justify" vertical="center" wrapText="1"/>
    </xf>
    <xf numFmtId="0" fontId="8" fillId="0" borderId="1" xfId="24" applyFont="1" applyFill="1" applyBorder="1" applyAlignment="1">
      <alignment horizontal="justify" vertical="center" wrapText="1"/>
    </xf>
    <xf numFmtId="4" fontId="8" fillId="0" borderId="7" xfId="6" applyNumberFormat="1" applyFont="1" applyFill="1" applyBorder="1" applyAlignment="1">
      <alignment horizontal="right" vertical="center" wrapText="1"/>
    </xf>
    <xf numFmtId="0" fontId="8" fillId="2" borderId="7" xfId="19" applyFont="1" applyFill="1" applyBorder="1" applyAlignment="1">
      <alignment horizontal="center" vertical="center" wrapText="1"/>
    </xf>
    <xf numFmtId="0" fontId="8" fillId="2" borderId="2" xfId="31" applyFont="1" applyFill="1" applyBorder="1" applyAlignment="1">
      <alignment horizontal="center"/>
    </xf>
    <xf numFmtId="3" fontId="8" fillId="2" borderId="2" xfId="31" applyNumberFormat="1" applyFont="1" applyFill="1" applyBorder="1" applyAlignment="1">
      <alignment horizontal="center"/>
    </xf>
    <xf numFmtId="4" fontId="8" fillId="4" borderId="2" xfId="27" applyNumberFormat="1" applyFont="1" applyFill="1" applyBorder="1" applyAlignment="1">
      <alignment horizontal="center" vertical="center" wrapText="1"/>
    </xf>
    <xf numFmtId="3" fontId="8" fillId="4" borderId="2" xfId="27" applyNumberFormat="1" applyFont="1" applyFill="1" applyBorder="1" applyAlignment="1">
      <alignment horizontal="center" vertical="center" wrapText="1"/>
    </xf>
    <xf numFmtId="4" fontId="8" fillId="4" borderId="2" xfId="27" applyNumberFormat="1" applyFont="1" applyFill="1" applyBorder="1" applyAlignment="1">
      <alignment horizontal="right" vertical="center" wrapText="1"/>
    </xf>
    <xf numFmtId="3" fontId="8" fillId="4" borderId="2" xfId="27" applyNumberFormat="1" applyFont="1" applyFill="1" applyBorder="1" applyAlignment="1">
      <alignment horizontal="center" vertical="center"/>
    </xf>
    <xf numFmtId="0" fontId="8" fillId="4" borderId="2" xfId="27" applyFont="1" applyFill="1" applyBorder="1" applyAlignment="1">
      <alignment horizontal="justify" vertical="center" wrapText="1"/>
    </xf>
    <xf numFmtId="4" fontId="8" fillId="5" borderId="2" xfId="27" applyNumberFormat="1" applyFont="1" applyFill="1" applyBorder="1" applyAlignment="1">
      <alignment horizontal="center" vertical="center" wrapText="1"/>
    </xf>
    <xf numFmtId="3" fontId="8" fillId="5" borderId="2" xfId="27" applyNumberFormat="1" applyFont="1" applyFill="1" applyBorder="1" applyAlignment="1">
      <alignment horizontal="right" vertical="center"/>
    </xf>
    <xf numFmtId="3" fontId="8" fillId="5" borderId="2" xfId="27" applyNumberFormat="1" applyFont="1" applyFill="1" applyBorder="1" applyAlignment="1">
      <alignment horizontal="justify" vertical="center" wrapText="1"/>
    </xf>
    <xf numFmtId="3" fontId="8" fillId="2" borderId="2" xfId="27" applyNumberFormat="1" applyFont="1" applyFill="1" applyBorder="1" applyAlignment="1">
      <alignment horizontal="right" vertical="center"/>
    </xf>
    <xf numFmtId="3" fontId="8" fillId="2" borderId="2" xfId="27" applyNumberFormat="1" applyFont="1" applyFill="1" applyBorder="1" applyAlignment="1">
      <alignment horizontal="justify" vertical="center" wrapText="1"/>
    </xf>
    <xf numFmtId="3" fontId="8" fillId="6" borderId="2" xfId="27" applyNumberFormat="1" applyFont="1" applyFill="1" applyBorder="1" applyAlignment="1">
      <alignment horizontal="right" vertical="center"/>
    </xf>
    <xf numFmtId="0" fontId="8" fillId="6" borderId="2" xfId="27" applyFont="1" applyFill="1" applyBorder="1" applyAlignment="1">
      <alignment horizontal="justify" vertical="center" wrapText="1"/>
    </xf>
    <xf numFmtId="4" fontId="8" fillId="7" borderId="2" xfId="27" applyNumberFormat="1" applyFont="1" applyFill="1" applyBorder="1" applyAlignment="1">
      <alignment horizontal="center" vertical="center" wrapText="1"/>
    </xf>
    <xf numFmtId="3" fontId="8" fillId="7" borderId="2" xfId="27" applyNumberFormat="1" applyFont="1" applyFill="1" applyBorder="1" applyAlignment="1">
      <alignment horizontal="right" vertical="center" wrapText="1"/>
    </xf>
    <xf numFmtId="3" fontId="8" fillId="7" borderId="2" xfId="27" applyNumberFormat="1" applyFont="1" applyFill="1" applyBorder="1" applyAlignment="1">
      <alignment horizontal="center" vertical="center" wrapText="1"/>
    </xf>
    <xf numFmtId="3" fontId="8" fillId="7" borderId="2" xfId="27" applyNumberFormat="1" applyFont="1" applyFill="1" applyBorder="1" applyAlignment="1">
      <alignment horizontal="right" vertical="center"/>
    </xf>
    <xf numFmtId="4" fontId="10" fillId="7" borderId="2" xfId="19" applyNumberFormat="1" applyFont="1" applyFill="1" applyBorder="1" applyAlignment="1">
      <alignment horizontal="right" vertical="center" wrapText="1" readingOrder="1"/>
    </xf>
    <xf numFmtId="4" fontId="8" fillId="7" borderId="2" xfId="8" applyNumberFormat="1" applyFont="1" applyFill="1" applyBorder="1" applyAlignment="1">
      <alignment horizontal="right" vertical="center" wrapText="1"/>
    </xf>
    <xf numFmtId="49" fontId="10" fillId="7" borderId="2" xfId="14" applyNumberFormat="1" applyFont="1" applyFill="1" applyBorder="1" applyAlignment="1">
      <alignment horizontal="justify" vertical="center" wrapText="1"/>
    </xf>
    <xf numFmtId="0" fontId="8" fillId="7" borderId="2" xfId="27" applyFont="1" applyFill="1" applyBorder="1" applyAlignment="1">
      <alignment horizontal="justify" vertical="center" wrapText="1"/>
    </xf>
    <xf numFmtId="0" fontId="10" fillId="5" borderId="2" xfId="19" applyFont="1" applyFill="1" applyBorder="1" applyAlignment="1">
      <alignment horizontal="justify" vertical="center" wrapText="1"/>
    </xf>
    <xf numFmtId="3" fontId="10" fillId="5" borderId="2" xfId="19" applyNumberFormat="1" applyFont="1" applyFill="1" applyBorder="1" applyAlignment="1">
      <alignment horizontal="right" vertical="center" wrapText="1"/>
    </xf>
    <xf numFmtId="49" fontId="10" fillId="5" borderId="2" xfId="19" applyNumberFormat="1" applyFont="1" applyFill="1" applyBorder="1" applyAlignment="1">
      <alignment horizontal="justify" vertical="center" wrapText="1"/>
    </xf>
    <xf numFmtId="165" fontId="8" fillId="5" borderId="2" xfId="27" applyNumberFormat="1" applyFont="1" applyFill="1" applyBorder="1" applyAlignment="1">
      <alignment horizontal="right" vertical="center" wrapText="1"/>
    </xf>
    <xf numFmtId="4" fontId="8" fillId="5" borderId="2" xfId="16" applyNumberFormat="1" applyFont="1" applyFill="1" applyBorder="1" applyAlignment="1">
      <alignment horizontal="right" vertical="center" wrapText="1"/>
    </xf>
    <xf numFmtId="0" fontId="8" fillId="5" borderId="2" xfId="27" applyFont="1" applyFill="1" applyBorder="1" applyAlignment="1">
      <alignment horizontal="justify" vertical="center" wrapText="1"/>
    </xf>
    <xf numFmtId="0" fontId="10" fillId="2" borderId="2" xfId="19" applyFont="1" applyFill="1" applyBorder="1" applyAlignment="1">
      <alignment horizontal="justify" vertical="center" wrapText="1"/>
    </xf>
    <xf numFmtId="3" fontId="10" fillId="2" borderId="2" xfId="19" applyNumberFormat="1" applyFont="1" applyFill="1" applyBorder="1" applyAlignment="1">
      <alignment horizontal="right" vertical="center" wrapText="1"/>
    </xf>
    <xf numFmtId="49" fontId="10" fillId="2" borderId="2" xfId="19" applyNumberFormat="1" applyFont="1" applyFill="1" applyBorder="1" applyAlignment="1">
      <alignment horizontal="justify" vertical="center" wrapText="1"/>
    </xf>
    <xf numFmtId="0" fontId="8" fillId="2" borderId="2" xfId="27" applyFont="1" applyFill="1" applyBorder="1" applyAlignment="1">
      <alignment horizontal="justify" vertical="center" wrapText="1"/>
    </xf>
    <xf numFmtId="0" fontId="10" fillId="6" borderId="2" xfId="19" applyFont="1" applyFill="1" applyBorder="1" applyAlignment="1">
      <alignment horizontal="justify" vertical="center" wrapText="1"/>
    </xf>
    <xf numFmtId="0" fontId="10" fillId="6" borderId="1" xfId="19" applyFont="1" applyFill="1" applyBorder="1" applyAlignment="1">
      <alignment horizontal="justify" vertical="center" wrapText="1"/>
    </xf>
    <xf numFmtId="3" fontId="10" fillId="6" borderId="2" xfId="19" applyNumberFormat="1" applyFont="1" applyFill="1" applyBorder="1" applyAlignment="1">
      <alignment horizontal="right" vertical="center" wrapText="1"/>
    </xf>
    <xf numFmtId="3" fontId="8" fillId="7" borderId="2" xfId="19" applyNumberFormat="1" applyFont="1" applyFill="1" applyBorder="1" applyAlignment="1">
      <alignment horizontal="justify" vertical="center" wrapText="1"/>
    </xf>
    <xf numFmtId="49" fontId="8" fillId="7" borderId="2" xfId="19" applyNumberFormat="1" applyFont="1" applyFill="1" applyBorder="1" applyAlignment="1">
      <alignment horizontal="justify" vertical="center" wrapText="1"/>
    </xf>
    <xf numFmtId="3" fontId="23" fillId="7" borderId="2" xfId="19" applyNumberFormat="1" applyFont="1" applyFill="1" applyBorder="1" applyAlignment="1">
      <alignment horizontal="center" vertical="center" wrapText="1"/>
    </xf>
    <xf numFmtId="49" fontId="8" fillId="7" borderId="2" xfId="19" applyNumberFormat="1" applyFont="1" applyFill="1" applyBorder="1" applyAlignment="1">
      <alignment horizontal="center" vertical="center" wrapText="1"/>
    </xf>
    <xf numFmtId="4" fontId="8" fillId="7" borderId="2" xfId="16" applyNumberFormat="1" applyFont="1" applyFill="1" applyBorder="1" applyAlignment="1">
      <alignment horizontal="right" vertical="center" wrapText="1"/>
    </xf>
    <xf numFmtId="4" fontId="8" fillId="7" borderId="2" xfId="19" applyNumberFormat="1" applyFont="1" applyFill="1" applyBorder="1" applyAlignment="1">
      <alignment horizontal="right" vertical="center" wrapText="1" readingOrder="1"/>
    </xf>
    <xf numFmtId="0" fontId="10" fillId="7" borderId="1" xfId="19" applyFont="1" applyFill="1" applyBorder="1" applyAlignment="1">
      <alignment horizontal="justify" vertical="center" wrapText="1"/>
    </xf>
    <xf numFmtId="3" fontId="8" fillId="7" borderId="2" xfId="19" applyNumberFormat="1" applyFont="1" applyFill="1" applyBorder="1" applyAlignment="1">
      <alignment horizontal="center" vertical="center" wrapText="1"/>
    </xf>
    <xf numFmtId="3" fontId="8" fillId="7" borderId="2" xfId="27" applyNumberFormat="1" applyFont="1" applyFill="1" applyBorder="1" applyAlignment="1">
      <alignment horizontal="center" vertical="center"/>
    </xf>
    <xf numFmtId="0" fontId="8" fillId="2" borderId="2" xfId="27" applyFont="1" applyFill="1" applyBorder="1" applyAlignment="1">
      <alignment horizontal="center" vertical="center" wrapText="1"/>
    </xf>
    <xf numFmtId="3" fontId="8" fillId="2" borderId="2" xfId="27" applyNumberFormat="1"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right"/>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0" fontId="7" fillId="3" borderId="2" xfId="0" applyFont="1" applyFill="1" applyBorder="1" applyAlignment="1">
      <alignment horizontal="center" vertical="center" textRotation="90" wrapText="1"/>
    </xf>
    <xf numFmtId="0" fontId="7" fillId="3" borderId="1" xfId="0" applyFont="1" applyFill="1" applyBorder="1" applyAlignment="1">
      <alignment horizontal="center" vertical="center" textRotation="90" wrapText="1"/>
    </xf>
    <xf numFmtId="0" fontId="7" fillId="3" borderId="6" xfId="0" applyFont="1" applyFill="1" applyBorder="1" applyAlignment="1">
      <alignment horizontal="center" vertical="center" textRotation="90" wrapText="1"/>
    </xf>
    <xf numFmtId="0" fontId="7" fillId="3" borderId="7" xfId="0" applyFont="1" applyFill="1" applyBorder="1" applyAlignment="1">
      <alignment horizontal="center" vertical="center" textRotation="90" wrapText="1"/>
    </xf>
    <xf numFmtId="49" fontId="7" fillId="3" borderId="3" xfId="0" applyNumberFormat="1" applyFont="1" applyFill="1" applyBorder="1" applyAlignment="1">
      <alignment horizontal="center" vertical="center" wrapText="1"/>
    </xf>
    <xf numFmtId="49" fontId="7" fillId="3" borderId="4" xfId="0" applyNumberFormat="1"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6" applyFont="1" applyFill="1" applyBorder="1" applyAlignment="1">
      <alignment horizontal="center" vertical="center" textRotation="90" wrapText="1"/>
    </xf>
    <xf numFmtId="0" fontId="7" fillId="3" borderId="6" xfId="6" applyFont="1" applyFill="1" applyBorder="1" applyAlignment="1">
      <alignment horizontal="center" vertical="center" textRotation="90" wrapText="1"/>
    </xf>
    <xf numFmtId="0" fontId="7" fillId="3" borderId="7" xfId="6" applyFont="1" applyFill="1" applyBorder="1" applyAlignment="1">
      <alignment horizontal="center" vertical="center" textRotation="90" wrapText="1"/>
    </xf>
    <xf numFmtId="0" fontId="7" fillId="3" borderId="2" xfId="6" applyFont="1" applyFill="1" applyBorder="1" applyAlignment="1">
      <alignment horizontal="center" vertical="center" wrapText="1"/>
    </xf>
    <xf numFmtId="0" fontId="7" fillId="3" borderId="1" xfId="6" applyFont="1" applyFill="1" applyBorder="1" applyAlignment="1">
      <alignment horizontal="center" vertical="center" wrapText="1"/>
    </xf>
    <xf numFmtId="0" fontId="7" fillId="3" borderId="6" xfId="6"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49" fontId="8" fillId="0" borderId="7" xfId="0" applyNumberFormat="1" applyFont="1" applyFill="1" applyBorder="1" applyAlignment="1">
      <alignment horizontal="left" vertical="center" wrapText="1"/>
    </xf>
    <xf numFmtId="0" fontId="8" fillId="0" borderId="1" xfId="7" applyFont="1" applyFill="1" applyBorder="1" applyAlignment="1">
      <alignment horizontal="left" vertical="center" wrapText="1"/>
    </xf>
    <xf numFmtId="0" fontId="8" fillId="0" borderId="6" xfId="7" applyFont="1" applyFill="1" applyBorder="1" applyAlignment="1">
      <alignment horizontal="left" vertical="center" wrapText="1"/>
    </xf>
    <xf numFmtId="0" fontId="8" fillId="0" borderId="7" xfId="7" applyFont="1" applyFill="1" applyBorder="1" applyAlignment="1">
      <alignment horizontal="left" vertical="center" wrapText="1"/>
    </xf>
    <xf numFmtId="0" fontId="13" fillId="0" borderId="0" xfId="11" applyFont="1" applyAlignment="1">
      <alignment horizontal="center"/>
    </xf>
    <xf numFmtId="0" fontId="13" fillId="0" borderId="0" xfId="11" applyFont="1" applyAlignment="1">
      <alignment horizontal="center" vertical="justify"/>
    </xf>
    <xf numFmtId="0" fontId="13" fillId="0" borderId="0" xfId="12" applyFont="1" applyFill="1" applyBorder="1" applyAlignment="1">
      <alignment horizontal="center"/>
    </xf>
    <xf numFmtId="0" fontId="13" fillId="0" borderId="0" xfId="12" applyFont="1" applyFill="1" applyBorder="1" applyAlignment="1">
      <alignment horizontal="left" vertical="center"/>
    </xf>
    <xf numFmtId="0" fontId="13" fillId="0" borderId="8" xfId="11" applyFont="1" applyBorder="1" applyAlignment="1">
      <alignment horizontal="left" vertical="center"/>
    </xf>
    <xf numFmtId="0" fontId="15" fillId="3" borderId="2" xfId="11" applyFont="1" applyFill="1" applyBorder="1" applyAlignment="1">
      <alignment horizontal="center" vertical="center" wrapText="1"/>
    </xf>
    <xf numFmtId="0" fontId="8" fillId="3" borderId="2" xfId="11" applyFont="1" applyFill="1" applyBorder="1" applyAlignment="1">
      <alignment horizontal="center" vertical="center" wrapText="1"/>
    </xf>
    <xf numFmtId="49" fontId="15" fillId="2" borderId="2" xfId="11" applyNumberFormat="1" applyFont="1" applyFill="1" applyBorder="1" applyAlignment="1">
      <alignment horizontal="center" vertical="center" wrapText="1"/>
    </xf>
    <xf numFmtId="166" fontId="15" fillId="2" borderId="2" xfId="11" applyNumberFormat="1" applyFont="1" applyFill="1" applyBorder="1" applyAlignment="1">
      <alignment horizontal="center" vertical="center" wrapText="1"/>
    </xf>
    <xf numFmtId="166" fontId="15" fillId="3" borderId="2" xfId="11" applyNumberFormat="1" applyFont="1" applyFill="1" applyBorder="1" applyAlignment="1">
      <alignment horizontal="center" vertical="center" wrapText="1"/>
    </xf>
    <xf numFmtId="49" fontId="15" fillId="3" borderId="1" xfId="11" applyNumberFormat="1" applyFont="1" applyFill="1" applyBorder="1" applyAlignment="1">
      <alignment horizontal="center" vertical="center" textRotation="90" wrapText="1"/>
    </xf>
    <xf numFmtId="49" fontId="15" fillId="3" borderId="6" xfId="11" applyNumberFormat="1" applyFont="1" applyFill="1" applyBorder="1" applyAlignment="1">
      <alignment horizontal="center" vertical="center" textRotation="90" wrapText="1"/>
    </xf>
    <xf numFmtId="49" fontId="15" fillId="3" borderId="7" xfId="11" applyNumberFormat="1" applyFont="1" applyFill="1" applyBorder="1" applyAlignment="1">
      <alignment horizontal="center" vertical="center" textRotation="90" wrapText="1"/>
    </xf>
    <xf numFmtId="166" fontId="15" fillId="3" borderId="2" xfId="11" applyNumberFormat="1" applyFont="1" applyFill="1" applyBorder="1" applyAlignment="1" applyProtection="1">
      <alignment horizontal="center" vertical="center" wrapText="1"/>
      <protection locked="0"/>
    </xf>
    <xf numFmtId="0" fontId="16" fillId="0" borderId="1" xfId="12" applyFont="1" applyBorder="1" applyAlignment="1">
      <alignment horizontal="center" vertical="center" wrapText="1"/>
    </xf>
    <xf numFmtId="0" fontId="16" fillId="0" borderId="7" xfId="12" applyFont="1" applyBorder="1" applyAlignment="1">
      <alignment horizontal="center" vertical="center" wrapText="1"/>
    </xf>
    <xf numFmtId="0" fontId="16" fillId="0" borderId="1" xfId="12" applyFont="1" applyBorder="1" applyAlignment="1">
      <alignment horizontal="justify" vertical="top" wrapText="1"/>
    </xf>
    <xf numFmtId="0" fontId="16" fillId="0" borderId="7" xfId="12" applyFont="1" applyBorder="1" applyAlignment="1">
      <alignment horizontal="justify" vertical="top" wrapText="1"/>
    </xf>
    <xf numFmtId="49" fontId="16" fillId="0" borderId="1" xfId="12" applyNumberFormat="1" applyFont="1" applyFill="1" applyBorder="1" applyAlignment="1">
      <alignment horizontal="justify" vertical="top" wrapText="1"/>
    </xf>
    <xf numFmtId="49" fontId="16" fillId="0" borderId="7" xfId="12" applyNumberFormat="1" applyFont="1" applyFill="1" applyBorder="1" applyAlignment="1">
      <alignment horizontal="justify" vertical="top" wrapText="1"/>
    </xf>
    <xf numFmtId="4" fontId="16" fillId="0" borderId="1" xfId="12" applyNumberFormat="1" applyFont="1" applyFill="1" applyBorder="1" applyAlignment="1">
      <alignment horizontal="center" vertical="center" wrapText="1"/>
    </xf>
    <xf numFmtId="4" fontId="16" fillId="0" borderId="7" xfId="12" applyNumberFormat="1" applyFont="1" applyFill="1" applyBorder="1" applyAlignment="1">
      <alignment horizontal="center" vertical="center" wrapText="1"/>
    </xf>
    <xf numFmtId="4" fontId="15" fillId="3" borderId="2" xfId="11" applyNumberFormat="1" applyFont="1" applyFill="1" applyBorder="1" applyAlignment="1">
      <alignment horizontal="center" vertical="center" textRotation="90" wrapText="1"/>
    </xf>
    <xf numFmtId="2" fontId="15" fillId="2" borderId="2" xfId="11" applyNumberFormat="1" applyFont="1" applyFill="1" applyBorder="1" applyAlignment="1">
      <alignment horizontal="center" vertical="center" textRotation="90" wrapText="1"/>
    </xf>
    <xf numFmtId="3" fontId="15" fillId="2" borderId="2" xfId="11" applyNumberFormat="1" applyFont="1" applyFill="1" applyBorder="1" applyAlignment="1">
      <alignment horizontal="center" vertical="center" textRotation="90" wrapText="1"/>
    </xf>
    <xf numFmtId="0" fontId="15" fillId="3" borderId="1" xfId="11" applyFont="1" applyFill="1" applyBorder="1" applyAlignment="1">
      <alignment horizontal="center" vertical="center" wrapText="1"/>
    </xf>
    <xf numFmtId="0" fontId="15" fillId="3" borderId="6" xfId="11" applyFont="1" applyFill="1" applyBorder="1" applyAlignment="1">
      <alignment horizontal="center" vertical="center" wrapText="1"/>
    </xf>
    <xf numFmtId="0" fontId="15" fillId="3" borderId="7" xfId="11" applyFont="1" applyFill="1" applyBorder="1" applyAlignment="1">
      <alignment horizontal="center" vertical="center" wrapText="1"/>
    </xf>
    <xf numFmtId="3" fontId="15" fillId="2" borderId="2" xfId="11" applyNumberFormat="1" applyFont="1" applyFill="1" applyBorder="1" applyAlignment="1">
      <alignment horizontal="center" vertical="center" wrapText="1"/>
    </xf>
    <xf numFmtId="2" fontId="15" fillId="3" borderId="2" xfId="11" applyNumberFormat="1" applyFont="1" applyFill="1" applyBorder="1" applyAlignment="1">
      <alignment horizontal="center" vertical="center" wrapText="1"/>
    </xf>
    <xf numFmtId="0" fontId="16" fillId="0" borderId="1" xfId="12" applyFont="1" applyFill="1" applyBorder="1" applyAlignment="1">
      <alignment horizontal="left" vertical="center" wrapText="1"/>
    </xf>
    <xf numFmtId="0" fontId="16" fillId="0" borderId="6" xfId="12" applyFont="1" applyFill="1" applyBorder="1" applyAlignment="1">
      <alignment horizontal="left" vertical="center" wrapText="1"/>
    </xf>
    <xf numFmtId="0" fontId="16" fillId="0" borderId="7" xfId="12" applyFont="1" applyFill="1" applyBorder="1" applyAlignment="1">
      <alignment horizontal="left" vertical="center" wrapText="1"/>
    </xf>
    <xf numFmtId="0" fontId="16" fillId="0" borderId="1" xfId="12" applyFont="1" applyFill="1" applyBorder="1" applyAlignment="1">
      <alignment horizontal="center" vertical="center" wrapText="1"/>
    </xf>
    <xf numFmtId="0" fontId="16" fillId="0" borderId="7" xfId="12" applyFont="1" applyFill="1" applyBorder="1" applyAlignment="1">
      <alignment horizontal="center" vertical="center" wrapText="1"/>
    </xf>
    <xf numFmtId="0" fontId="16" fillId="7" borderId="1" xfId="12" applyFont="1" applyFill="1" applyBorder="1" applyAlignment="1">
      <alignment horizontal="justify" vertical="top" wrapText="1"/>
    </xf>
    <xf numFmtId="0" fontId="16" fillId="7" borderId="7" xfId="12" applyFont="1" applyFill="1" applyBorder="1" applyAlignment="1">
      <alignment horizontal="justify" vertical="top" wrapText="1"/>
    </xf>
    <xf numFmtId="49" fontId="16" fillId="0" borderId="1" xfId="12" applyNumberFormat="1" applyFont="1" applyBorder="1" applyAlignment="1">
      <alignment horizontal="justify" vertical="top" wrapText="1"/>
    </xf>
    <xf numFmtId="49" fontId="16" fillId="0" borderId="7" xfId="12" applyNumberFormat="1" applyFont="1" applyBorder="1" applyAlignment="1">
      <alignment horizontal="justify" vertical="top" wrapText="1"/>
    </xf>
    <xf numFmtId="0" fontId="16" fillId="0" borderId="6" xfId="12" applyFont="1" applyFill="1" applyBorder="1" applyAlignment="1">
      <alignment horizontal="center" vertical="center" wrapText="1"/>
    </xf>
    <xf numFmtId="0" fontId="16" fillId="0" borderId="6" xfId="12" applyFont="1" applyBorder="1" applyAlignment="1">
      <alignment horizontal="justify" vertical="top" wrapText="1"/>
    </xf>
    <xf numFmtId="49" fontId="16" fillId="0" borderId="9" xfId="12" applyNumberFormat="1" applyFont="1" applyFill="1" applyBorder="1" applyAlignment="1">
      <alignment horizontal="justify" vertical="top" wrapText="1"/>
    </xf>
    <xf numFmtId="49" fontId="16" fillId="0" borderId="10" xfId="12" applyNumberFormat="1" applyFont="1" applyFill="1" applyBorder="1" applyAlignment="1">
      <alignment horizontal="justify" vertical="top" wrapText="1"/>
    </xf>
    <xf numFmtId="4" fontId="16" fillId="0" borderId="2" xfId="12" applyNumberFormat="1" applyFont="1" applyFill="1" applyBorder="1" applyAlignment="1">
      <alignment horizontal="center" vertical="center" wrapText="1"/>
    </xf>
    <xf numFmtId="49" fontId="16" fillId="0" borderId="9" xfId="12" applyNumberFormat="1" applyFont="1" applyBorder="1" applyAlignment="1">
      <alignment horizontal="justify" vertical="top" wrapText="1"/>
    </xf>
    <xf numFmtId="49" fontId="16" fillId="0" borderId="10" xfId="12" applyNumberFormat="1" applyFont="1" applyBorder="1" applyAlignment="1">
      <alignment horizontal="justify" vertical="top" wrapText="1"/>
    </xf>
    <xf numFmtId="0" fontId="24" fillId="0" borderId="0" xfId="18" applyFont="1" applyAlignment="1">
      <alignment horizontal="center"/>
    </xf>
    <xf numFmtId="0" fontId="23" fillId="0" borderId="0" xfId="18" applyFont="1" applyAlignment="1"/>
    <xf numFmtId="0" fontId="7" fillId="2" borderId="1" xfId="19" applyFont="1" applyFill="1" applyBorder="1" applyAlignment="1">
      <alignment horizontal="center" vertical="center" wrapText="1"/>
    </xf>
    <xf numFmtId="0" fontId="7" fillId="2" borderId="6" xfId="19" applyFont="1" applyFill="1" applyBorder="1" applyAlignment="1">
      <alignment horizontal="center" vertical="center" wrapText="1"/>
    </xf>
    <xf numFmtId="0" fontId="7" fillId="2" borderId="13" xfId="19" applyFont="1" applyFill="1" applyBorder="1" applyAlignment="1">
      <alignment horizontal="center" vertical="center" wrapText="1"/>
    </xf>
    <xf numFmtId="49" fontId="7" fillId="3" borderId="1" xfId="19" applyNumberFormat="1" applyFont="1" applyFill="1" applyBorder="1" applyAlignment="1">
      <alignment horizontal="center" vertical="center" wrapText="1"/>
    </xf>
    <xf numFmtId="49" fontId="7" fillId="3" borderId="6" xfId="19" applyNumberFormat="1" applyFont="1" applyFill="1" applyBorder="1" applyAlignment="1">
      <alignment horizontal="center" vertical="center" wrapText="1"/>
    </xf>
    <xf numFmtId="49" fontId="7" fillId="3" borderId="13" xfId="19" applyNumberFormat="1" applyFont="1" applyFill="1" applyBorder="1" applyAlignment="1">
      <alignment horizontal="center" vertical="center" wrapText="1"/>
    </xf>
    <xf numFmtId="49" fontId="7" fillId="3" borderId="12" xfId="19" applyNumberFormat="1" applyFont="1" applyFill="1" applyBorder="1" applyAlignment="1">
      <alignment horizontal="center" vertical="center" wrapText="1"/>
    </xf>
    <xf numFmtId="0" fontId="7" fillId="3" borderId="1" xfId="19" applyFont="1" applyFill="1" applyBorder="1" applyAlignment="1">
      <alignment horizontal="center" vertical="center" textRotation="90" wrapText="1"/>
    </xf>
    <xf numFmtId="0" fontId="7" fillId="3" borderId="6" xfId="19" applyFont="1" applyFill="1" applyBorder="1" applyAlignment="1">
      <alignment horizontal="center" vertical="center" textRotation="90" wrapText="1"/>
    </xf>
    <xf numFmtId="0" fontId="7" fillId="3" borderId="1" xfId="19" applyFont="1" applyFill="1" applyBorder="1" applyAlignment="1">
      <alignment horizontal="center" vertical="center" wrapText="1"/>
    </xf>
    <xf numFmtId="0" fontId="7" fillId="3" borderId="6" xfId="19" applyFont="1" applyFill="1" applyBorder="1" applyAlignment="1">
      <alignment horizontal="center" vertical="center" wrapText="1"/>
    </xf>
    <xf numFmtId="49" fontId="7" fillId="3" borderId="3" xfId="19" applyNumberFormat="1" applyFont="1" applyFill="1" applyBorder="1" applyAlignment="1">
      <alignment horizontal="center" vertical="center" wrapText="1"/>
    </xf>
    <xf numFmtId="49" fontId="7" fillId="3" borderId="4" xfId="19" applyNumberFormat="1" applyFont="1" applyFill="1" applyBorder="1" applyAlignment="1">
      <alignment horizontal="center" vertical="center" wrapText="1"/>
    </xf>
    <xf numFmtId="49" fontId="7" fillId="3" borderId="5" xfId="19" applyNumberFormat="1" applyFont="1" applyFill="1" applyBorder="1" applyAlignment="1">
      <alignment horizontal="center" vertical="center" wrapText="1"/>
    </xf>
    <xf numFmtId="0" fontId="7" fillId="3" borderId="3" xfId="19" applyFont="1" applyFill="1" applyBorder="1" applyAlignment="1">
      <alignment horizontal="center" vertical="center" wrapText="1"/>
    </xf>
    <xf numFmtId="0" fontId="7" fillId="3" borderId="4" xfId="19" applyFont="1" applyFill="1" applyBorder="1" applyAlignment="1">
      <alignment horizontal="center" vertical="center" wrapText="1"/>
    </xf>
    <xf numFmtId="0" fontId="7" fillId="3" borderId="5" xfId="19" applyFont="1" applyFill="1" applyBorder="1" applyAlignment="1">
      <alignment horizontal="center" vertical="center" wrapText="1"/>
    </xf>
    <xf numFmtId="49" fontId="8" fillId="0" borderId="22" xfId="10" applyNumberFormat="1" applyFont="1" applyFill="1" applyBorder="1" applyAlignment="1">
      <alignment horizontal="justify" vertical="center" wrapText="1"/>
    </xf>
    <xf numFmtId="49" fontId="23" fillId="0" borderId="23" xfId="18" applyNumberFormat="1" applyFont="1" applyFill="1" applyBorder="1" applyAlignment="1">
      <alignment horizontal="justify" vertical="center" wrapText="1"/>
    </xf>
    <xf numFmtId="49" fontId="10" fillId="0" borderId="21" xfId="18" applyNumberFormat="1" applyFont="1" applyFill="1" applyBorder="1" applyAlignment="1">
      <alignment horizontal="justify" vertical="center" wrapText="1"/>
    </xf>
    <xf numFmtId="49" fontId="10" fillId="0" borderId="24" xfId="18" applyNumberFormat="1" applyFont="1" applyFill="1" applyBorder="1" applyAlignment="1">
      <alignment horizontal="justify" vertical="center" wrapText="1"/>
    </xf>
    <xf numFmtId="49" fontId="7" fillId="2" borderId="3" xfId="19" applyNumberFormat="1" applyFont="1" applyFill="1" applyBorder="1" applyAlignment="1">
      <alignment horizontal="center" vertical="center" wrapText="1"/>
    </xf>
    <xf numFmtId="49" fontId="7" fillId="2" borderId="4" xfId="19" applyNumberFormat="1" applyFont="1" applyFill="1" applyBorder="1" applyAlignment="1">
      <alignment horizontal="center" vertical="center" wrapText="1"/>
    </xf>
    <xf numFmtId="49" fontId="7" fillId="2" borderId="5" xfId="19" applyNumberFormat="1" applyFont="1" applyFill="1" applyBorder="1" applyAlignment="1">
      <alignment horizontal="center" vertical="center" wrapText="1"/>
    </xf>
    <xf numFmtId="0" fontId="33" fillId="0" borderId="0" xfId="12" applyFont="1" applyFill="1" applyBorder="1" applyAlignment="1">
      <alignment horizontal="center"/>
    </xf>
    <xf numFmtId="0" fontId="33" fillId="0" borderId="0" xfId="12" applyFont="1" applyFill="1" applyBorder="1" applyAlignment="1">
      <alignment horizontal="right"/>
    </xf>
    <xf numFmtId="49" fontId="7" fillId="2" borderId="2" xfId="6" applyNumberFormat="1" applyFont="1" applyFill="1" applyBorder="1" applyAlignment="1">
      <alignment horizontal="center" vertical="center" wrapText="1"/>
    </xf>
    <xf numFmtId="49" fontId="7" fillId="2" borderId="1" xfId="6" applyNumberFormat="1" applyFont="1" applyFill="1" applyBorder="1" applyAlignment="1">
      <alignment horizontal="center" vertical="center" wrapText="1"/>
    </xf>
    <xf numFmtId="49" fontId="7" fillId="3" borderId="2" xfId="6" applyNumberFormat="1" applyFont="1" applyFill="1" applyBorder="1" applyAlignment="1">
      <alignment horizontal="center" vertical="center" wrapText="1"/>
    </xf>
    <xf numFmtId="49" fontId="7" fillId="3" borderId="1" xfId="6" applyNumberFormat="1" applyFont="1" applyFill="1" applyBorder="1" applyAlignment="1">
      <alignment horizontal="center" vertical="center" wrapText="1"/>
    </xf>
    <xf numFmtId="0" fontId="7" fillId="3" borderId="2" xfId="6" applyFont="1" applyFill="1" applyBorder="1" applyAlignment="1">
      <alignment horizontal="center" vertical="center" textRotation="90" wrapText="1"/>
    </xf>
    <xf numFmtId="0" fontId="7" fillId="3" borderId="7" xfId="6" applyFont="1" applyFill="1" applyBorder="1" applyAlignment="1">
      <alignment horizontal="center" vertical="center" wrapText="1"/>
    </xf>
    <xf numFmtId="0" fontId="7" fillId="2" borderId="1" xfId="6" applyFont="1" applyFill="1" applyBorder="1" applyAlignment="1">
      <alignment horizontal="center" vertical="center" wrapText="1"/>
    </xf>
    <xf numFmtId="0" fontId="7" fillId="2" borderId="6" xfId="6" applyFont="1" applyFill="1" applyBorder="1" applyAlignment="1">
      <alignment horizontal="center" vertical="center" wrapText="1"/>
    </xf>
    <xf numFmtId="49" fontId="7" fillId="3" borderId="2" xfId="6" applyNumberFormat="1" applyFont="1" applyFill="1" applyBorder="1" applyAlignment="1">
      <alignment horizontal="center" vertical="center"/>
    </xf>
    <xf numFmtId="49" fontId="7" fillId="2" borderId="2" xfId="6" applyNumberFormat="1" applyFont="1" applyFill="1" applyBorder="1" applyAlignment="1">
      <alignment horizontal="center" vertical="center"/>
    </xf>
    <xf numFmtId="0" fontId="10" fillId="0" borderId="1" xfId="30" applyFont="1" applyBorder="1" applyAlignment="1">
      <alignment horizontal="center" vertical="center" wrapText="1"/>
    </xf>
    <xf numFmtId="0" fontId="10" fillId="0" borderId="7" xfId="30" applyFont="1" applyBorder="1" applyAlignment="1">
      <alignment horizontal="center" vertical="center" wrapText="1"/>
    </xf>
    <xf numFmtId="0" fontId="7" fillId="22" borderId="1" xfId="23" applyFont="1" applyFill="1" applyBorder="1" applyAlignment="1">
      <alignment horizontal="center" vertical="center" wrapText="1"/>
    </xf>
    <xf numFmtId="0" fontId="7" fillId="22" borderId="6" xfId="23" applyFont="1" applyFill="1" applyBorder="1" applyAlignment="1">
      <alignment horizontal="center" vertical="center" wrapText="1"/>
    </xf>
    <xf numFmtId="0" fontId="7" fillId="22" borderId="7" xfId="23" applyFont="1" applyFill="1" applyBorder="1" applyAlignment="1">
      <alignment horizontal="center" vertical="center" wrapText="1"/>
    </xf>
    <xf numFmtId="0" fontId="10" fillId="0" borderId="1" xfId="30" applyFont="1" applyBorder="1" applyAlignment="1">
      <alignment horizontal="left" vertical="center" wrapText="1"/>
    </xf>
    <xf numFmtId="0" fontId="1" fillId="0" borderId="7" xfId="30" applyBorder="1" applyAlignment="1">
      <alignment horizontal="left" vertical="center" wrapText="1"/>
    </xf>
    <xf numFmtId="0" fontId="10" fillId="0" borderId="1" xfId="30" applyFont="1" applyBorder="1" applyAlignment="1">
      <alignment horizontal="justify" vertical="center" wrapText="1"/>
    </xf>
    <xf numFmtId="0" fontId="1" fillId="0" borderId="7" xfId="30" applyBorder="1" applyAlignment="1">
      <alignment horizontal="justify" vertical="center" wrapText="1"/>
    </xf>
    <xf numFmtId="0" fontId="10" fillId="0" borderId="1" xfId="30" applyFont="1" applyFill="1" applyBorder="1" applyAlignment="1">
      <alignment horizontal="justify" vertical="center" wrapText="1"/>
    </xf>
    <xf numFmtId="0" fontId="0" fillId="0" borderId="7" xfId="0" applyBorder="1" applyAlignment="1">
      <alignment horizontal="justify" vertical="center" wrapText="1"/>
    </xf>
    <xf numFmtId="0" fontId="3" fillId="0" borderId="0" xfId="34" applyFont="1" applyFill="1" applyBorder="1" applyAlignment="1">
      <alignment horizontal="center"/>
    </xf>
    <xf numFmtId="0" fontId="7" fillId="2" borderId="1" xfId="11" applyFont="1" applyFill="1" applyBorder="1" applyAlignment="1">
      <alignment horizontal="center" vertical="center" wrapText="1"/>
    </xf>
    <xf numFmtId="0" fontId="7" fillId="2" borderId="6" xfId="11" applyFont="1" applyFill="1" applyBorder="1" applyAlignment="1">
      <alignment horizontal="center" vertical="center" wrapText="1"/>
    </xf>
    <xf numFmtId="0" fontId="7" fillId="2" borderId="7" xfId="11" applyFont="1" applyFill="1" applyBorder="1" applyAlignment="1">
      <alignment horizontal="center" vertical="center" wrapText="1"/>
    </xf>
    <xf numFmtId="49" fontId="7" fillId="2" borderId="2" xfId="11" applyNumberFormat="1" applyFont="1" applyFill="1" applyBorder="1" applyAlignment="1">
      <alignment horizontal="justify" vertical="center" wrapText="1"/>
    </xf>
    <xf numFmtId="3" fontId="7" fillId="2" borderId="2" xfId="11" applyNumberFormat="1" applyFont="1" applyFill="1" applyBorder="1" applyAlignment="1">
      <alignment horizontal="center" vertical="center" wrapText="1"/>
    </xf>
    <xf numFmtId="0" fontId="7" fillId="3" borderId="2" xfId="11" applyFont="1" applyFill="1" applyBorder="1" applyAlignment="1">
      <alignment horizontal="center" vertical="center" wrapText="1"/>
    </xf>
    <xf numFmtId="2" fontId="7" fillId="3" borderId="2" xfId="11" applyNumberFormat="1" applyFont="1" applyFill="1" applyBorder="1" applyAlignment="1">
      <alignment horizontal="center" vertical="center" wrapText="1"/>
    </xf>
    <xf numFmtId="0" fontId="7" fillId="3" borderId="1" xfId="35" applyFont="1" applyFill="1" applyBorder="1" applyAlignment="1">
      <alignment horizontal="center" vertical="center" textRotation="90" wrapText="1"/>
    </xf>
    <xf numFmtId="0" fontId="7" fillId="3" borderId="6" xfId="35" applyFont="1" applyFill="1" applyBorder="1" applyAlignment="1">
      <alignment horizontal="center" vertical="center" textRotation="90" wrapText="1"/>
    </xf>
    <xf numFmtId="0" fontId="7" fillId="3" borderId="7" xfId="35" applyFont="1" applyFill="1" applyBorder="1" applyAlignment="1">
      <alignment horizontal="center" vertical="center" textRotation="90" wrapText="1"/>
    </xf>
    <xf numFmtId="49" fontId="7" fillId="2" borderId="2" xfId="11" applyNumberFormat="1" applyFont="1" applyFill="1" applyBorder="1" applyAlignment="1">
      <alignment horizontal="center" vertical="center" wrapText="1"/>
    </xf>
    <xf numFmtId="166" fontId="7" fillId="3" borderId="2" xfId="11" applyNumberFormat="1" applyFont="1" applyFill="1" applyBorder="1" applyAlignment="1">
      <alignment horizontal="center" vertical="center" wrapText="1"/>
    </xf>
    <xf numFmtId="166" fontId="7" fillId="3" borderId="2" xfId="11" applyNumberFormat="1" applyFont="1" applyFill="1" applyBorder="1" applyAlignment="1" applyProtection="1">
      <alignment horizontal="center" vertical="center" wrapText="1"/>
      <protection locked="0"/>
    </xf>
    <xf numFmtId="166" fontId="7" fillId="2" borderId="2" xfId="11" applyNumberFormat="1" applyFont="1" applyFill="1" applyBorder="1" applyAlignment="1">
      <alignment horizontal="center" vertical="center" wrapText="1"/>
    </xf>
    <xf numFmtId="49" fontId="7" fillId="3" borderId="1" xfId="11" applyNumberFormat="1" applyFont="1" applyFill="1" applyBorder="1" applyAlignment="1">
      <alignment horizontal="center" vertical="center" textRotation="90" wrapText="1"/>
    </xf>
    <xf numFmtId="49" fontId="7" fillId="3" borderId="6" xfId="11" applyNumberFormat="1" applyFont="1" applyFill="1" applyBorder="1" applyAlignment="1">
      <alignment horizontal="center" vertical="center" textRotation="90" wrapText="1"/>
    </xf>
    <xf numFmtId="49" fontId="7" fillId="3" borderId="7" xfId="11" applyNumberFormat="1" applyFont="1" applyFill="1" applyBorder="1" applyAlignment="1">
      <alignment horizontal="center" vertical="center" textRotation="90" wrapText="1"/>
    </xf>
    <xf numFmtId="3" fontId="42" fillId="0" borderId="2" xfId="37" applyNumberFormat="1" applyFont="1" applyFill="1" applyBorder="1" applyAlignment="1">
      <alignment horizontal="justify" vertical="center"/>
    </xf>
    <xf numFmtId="1" fontId="42" fillId="0" borderId="2" xfId="37" applyNumberFormat="1" applyFont="1" applyFill="1" applyBorder="1" applyAlignment="1">
      <alignment horizontal="justify" vertical="center" wrapText="1"/>
    </xf>
    <xf numFmtId="1" fontId="42" fillId="0" borderId="1" xfId="14" applyNumberFormat="1" applyFont="1" applyFill="1" applyBorder="1" applyAlignment="1">
      <alignment horizontal="justify" vertical="center" wrapText="1"/>
    </xf>
    <xf numFmtId="1" fontId="42" fillId="0" borderId="6" xfId="14" applyNumberFormat="1" applyFont="1" applyFill="1" applyBorder="1" applyAlignment="1">
      <alignment horizontal="justify" vertical="center" wrapText="1"/>
    </xf>
    <xf numFmtId="1" fontId="42" fillId="0" borderId="7" xfId="14" applyNumberFormat="1" applyFont="1" applyFill="1" applyBorder="1" applyAlignment="1">
      <alignment horizontal="justify" vertical="center" wrapText="1"/>
    </xf>
    <xf numFmtId="1" fontId="8" fillId="0" borderId="1" xfId="14" applyNumberFormat="1" applyFont="1" applyFill="1" applyBorder="1" applyAlignment="1">
      <alignment horizontal="center" vertical="center" wrapText="1"/>
    </xf>
    <xf numFmtId="1" fontId="8" fillId="0" borderId="6" xfId="14" applyNumberFormat="1" applyFont="1" applyFill="1" applyBorder="1" applyAlignment="1">
      <alignment horizontal="center" vertical="center" wrapText="1"/>
    </xf>
    <xf numFmtId="1" fontId="8" fillId="0" borderId="7" xfId="14" applyNumberFormat="1" applyFont="1" applyFill="1" applyBorder="1" applyAlignment="1">
      <alignment horizontal="center" vertical="center" wrapText="1"/>
    </xf>
    <xf numFmtId="0" fontId="10" fillId="0" borderId="1" xfId="54" applyFont="1" applyFill="1" applyBorder="1" applyAlignment="1">
      <alignment horizontal="center" vertical="center" wrapText="1"/>
    </xf>
    <xf numFmtId="0" fontId="10" fillId="0" borderId="6" xfId="54" applyFont="1" applyFill="1" applyBorder="1" applyAlignment="1">
      <alignment horizontal="center" vertical="center" wrapText="1"/>
    </xf>
    <xf numFmtId="0" fontId="10" fillId="0" borderId="7" xfId="54" applyFont="1" applyFill="1" applyBorder="1" applyAlignment="1">
      <alignment horizontal="center" vertical="center" wrapText="1"/>
    </xf>
    <xf numFmtId="49" fontId="8" fillId="0" borderId="1" xfId="11" applyNumberFormat="1" applyFont="1" applyFill="1" applyBorder="1" applyAlignment="1">
      <alignment horizontal="center" vertical="center" wrapText="1"/>
    </xf>
    <xf numFmtId="49" fontId="8" fillId="0" borderId="6" xfId="11" applyNumberFormat="1" applyFont="1" applyFill="1" applyBorder="1" applyAlignment="1">
      <alignment horizontal="center" vertical="center" wrapText="1"/>
    </xf>
    <xf numFmtId="49" fontId="8" fillId="0" borderId="7" xfId="11" applyNumberFormat="1" applyFont="1" applyFill="1" applyBorder="1" applyAlignment="1">
      <alignment horizontal="center" vertical="center" wrapText="1"/>
    </xf>
    <xf numFmtId="1" fontId="8" fillId="0" borderId="1" xfId="11" applyNumberFormat="1" applyFont="1" applyFill="1" applyBorder="1" applyAlignment="1">
      <alignment horizontal="center" vertical="center" wrapText="1"/>
    </xf>
    <xf numFmtId="1" fontId="8" fillId="0" borderId="6" xfId="11" applyNumberFormat="1" applyFont="1" applyFill="1" applyBorder="1" applyAlignment="1">
      <alignment horizontal="center" vertical="center" wrapText="1"/>
    </xf>
    <xf numFmtId="1" fontId="8" fillId="0" borderId="7" xfId="11" applyNumberFormat="1" applyFont="1" applyFill="1" applyBorder="1" applyAlignment="1">
      <alignment horizontal="center" vertical="center" wrapText="1"/>
    </xf>
    <xf numFmtId="3" fontId="42" fillId="0" borderId="2" xfId="14" applyNumberFormat="1" applyFont="1" applyFill="1" applyBorder="1" applyAlignment="1">
      <alignment horizontal="justify" vertical="center" wrapText="1"/>
    </xf>
    <xf numFmtId="49" fontId="8" fillId="0" borderId="1" xfId="11" applyNumberFormat="1" applyFont="1" applyFill="1" applyBorder="1" applyAlignment="1">
      <alignment horizontal="justify" vertical="center" wrapText="1"/>
    </xf>
    <xf numFmtId="49" fontId="8" fillId="0" borderId="6" xfId="11" applyNumberFormat="1" applyFont="1" applyFill="1" applyBorder="1" applyAlignment="1">
      <alignment horizontal="justify" vertical="center" wrapText="1"/>
    </xf>
    <xf numFmtId="49" fontId="8" fillId="0" borderId="7" xfId="11" applyNumberFormat="1" applyFont="1" applyFill="1" applyBorder="1" applyAlignment="1">
      <alignment horizontal="justify" vertical="center" wrapText="1"/>
    </xf>
    <xf numFmtId="1" fontId="8" fillId="0" borderId="2" xfId="11" applyNumberFormat="1" applyFont="1" applyFill="1" applyBorder="1" applyAlignment="1">
      <alignment horizontal="justify" vertical="center" wrapText="1"/>
    </xf>
    <xf numFmtId="0" fontId="8" fillId="0" borderId="1" xfId="11" applyFont="1" applyFill="1" applyBorder="1" applyAlignment="1">
      <alignment horizontal="justify" vertical="center" wrapText="1"/>
    </xf>
    <xf numFmtId="0" fontId="8" fillId="0" borderId="7" xfId="11" applyFont="1" applyFill="1" applyBorder="1" applyAlignment="1">
      <alignment horizontal="justify" vertical="center" wrapText="1"/>
    </xf>
    <xf numFmtId="0" fontId="8" fillId="0" borderId="1" xfId="11" applyNumberFormat="1" applyFont="1" applyFill="1" applyBorder="1" applyAlignment="1">
      <alignment horizontal="justify" vertical="center" wrapText="1"/>
    </xf>
    <xf numFmtId="0" fontId="8" fillId="0" borderId="7" xfId="11" applyNumberFormat="1" applyFont="1" applyFill="1" applyBorder="1" applyAlignment="1">
      <alignment horizontal="justify" vertical="center" wrapText="1"/>
    </xf>
    <xf numFmtId="0" fontId="3" fillId="0" borderId="0" xfId="57" applyFont="1" applyFill="1" applyBorder="1" applyAlignment="1">
      <alignment horizontal="center"/>
    </xf>
    <xf numFmtId="0" fontId="7" fillId="2" borderId="1" xfId="12" applyFont="1" applyFill="1" applyBorder="1" applyAlignment="1">
      <alignment horizontal="center" vertical="center" wrapText="1"/>
    </xf>
    <xf numFmtId="0" fontId="7" fillId="2" borderId="6" xfId="12" applyFont="1" applyFill="1" applyBorder="1" applyAlignment="1">
      <alignment horizontal="center" vertical="center" wrapText="1"/>
    </xf>
    <xf numFmtId="0" fontId="7" fillId="2" borderId="7" xfId="12" applyFont="1" applyFill="1" applyBorder="1" applyAlignment="1">
      <alignment horizontal="center" vertical="center" wrapText="1"/>
    </xf>
    <xf numFmtId="49" fontId="7" fillId="3" borderId="2" xfId="12" applyNumberFormat="1" applyFont="1" applyFill="1" applyBorder="1" applyAlignment="1">
      <alignment horizontal="center" vertical="center" wrapText="1"/>
    </xf>
    <xf numFmtId="49" fontId="7" fillId="2" borderId="2" xfId="12" applyNumberFormat="1" applyFont="1" applyFill="1" applyBorder="1" applyAlignment="1">
      <alignment horizontal="center" vertical="center" wrapText="1"/>
    </xf>
    <xf numFmtId="49" fontId="7" fillId="3" borderId="1" xfId="12" applyNumberFormat="1" applyFont="1" applyFill="1" applyBorder="1" applyAlignment="1">
      <alignment horizontal="center" vertical="center" wrapText="1"/>
    </xf>
    <xf numFmtId="49" fontId="7" fillId="3" borderId="6" xfId="12" applyNumberFormat="1" applyFont="1" applyFill="1" applyBorder="1" applyAlignment="1">
      <alignment horizontal="center" vertical="center" wrapText="1"/>
    </xf>
    <xf numFmtId="49" fontId="7" fillId="3" borderId="7" xfId="12" applyNumberFormat="1" applyFont="1" applyFill="1" applyBorder="1" applyAlignment="1">
      <alignment horizontal="center" vertical="center" wrapText="1"/>
    </xf>
    <xf numFmtId="0" fontId="7" fillId="3" borderId="2" xfId="12" applyFont="1" applyFill="1" applyBorder="1" applyAlignment="1">
      <alignment horizontal="center" vertical="center" textRotation="90" wrapText="1"/>
    </xf>
    <xf numFmtId="0" fontId="7" fillId="3" borderId="1" xfId="12" applyFont="1" applyFill="1" applyBorder="1" applyAlignment="1">
      <alignment horizontal="center" vertical="center" textRotation="90" wrapText="1"/>
    </xf>
    <xf numFmtId="0" fontId="7" fillId="3" borderId="6" xfId="12" applyFont="1" applyFill="1" applyBorder="1" applyAlignment="1">
      <alignment horizontal="center" vertical="center" textRotation="90" wrapText="1"/>
    </xf>
    <xf numFmtId="0" fontId="7" fillId="3" borderId="7" xfId="12" applyFont="1" applyFill="1" applyBorder="1" applyAlignment="1">
      <alignment horizontal="center" vertical="center" textRotation="90" wrapText="1"/>
    </xf>
    <xf numFmtId="0" fontId="43" fillId="3" borderId="2" xfId="12" applyFont="1" applyFill="1" applyBorder="1" applyAlignment="1">
      <alignment horizontal="center" vertical="center" wrapText="1"/>
    </xf>
    <xf numFmtId="0" fontId="7" fillId="3" borderId="2" xfId="12" applyFont="1" applyFill="1" applyBorder="1" applyAlignment="1">
      <alignment horizontal="center" vertical="center" wrapText="1"/>
    </xf>
    <xf numFmtId="49" fontId="7" fillId="3" borderId="3" xfId="12" applyNumberFormat="1" applyFont="1" applyFill="1" applyBorder="1" applyAlignment="1">
      <alignment horizontal="center" vertical="center" wrapText="1"/>
    </xf>
    <xf numFmtId="49" fontId="7" fillId="3" borderId="4" xfId="12" applyNumberFormat="1" applyFont="1" applyFill="1" applyBorder="1" applyAlignment="1">
      <alignment horizontal="center" vertical="center" wrapText="1"/>
    </xf>
    <xf numFmtId="49" fontId="7" fillId="3" borderId="5" xfId="12" applyNumberFormat="1" applyFont="1" applyFill="1" applyBorder="1" applyAlignment="1">
      <alignment horizontal="center" vertical="center" wrapText="1"/>
    </xf>
    <xf numFmtId="49" fontId="8" fillId="0" borderId="1" xfId="10" applyNumberFormat="1" applyFont="1" applyFill="1" applyBorder="1" applyAlignment="1">
      <alignment horizontal="justify" vertical="center" wrapText="1"/>
    </xf>
    <xf numFmtId="49" fontId="8" fillId="0" borderId="7" xfId="10" applyNumberFormat="1" applyFont="1" applyFill="1" applyBorder="1" applyAlignment="1">
      <alignment horizontal="justify" vertical="center" wrapText="1"/>
    </xf>
    <xf numFmtId="49" fontId="10" fillId="0" borderId="2" xfId="31" applyNumberFormat="1" applyFont="1" applyFill="1" applyBorder="1" applyAlignment="1">
      <alignment horizontal="justify" vertical="center" wrapText="1"/>
    </xf>
    <xf numFmtId="0" fontId="10" fillId="0" borderId="2" xfId="31" applyFont="1" applyFill="1" applyBorder="1" applyAlignment="1">
      <alignment horizontal="justify" vertical="center" wrapText="1"/>
    </xf>
    <xf numFmtId="49" fontId="8" fillId="0" borderId="2" xfId="31" applyNumberFormat="1" applyFont="1" applyFill="1" applyBorder="1" applyAlignment="1">
      <alignment horizontal="justify" vertical="center" wrapText="1"/>
    </xf>
    <xf numFmtId="0" fontId="8" fillId="0" borderId="2" xfId="31" applyFont="1" applyFill="1" applyBorder="1" applyAlignment="1">
      <alignment horizontal="justify" vertical="center" wrapText="1"/>
    </xf>
    <xf numFmtId="0" fontId="3" fillId="0" borderId="0" xfId="11" applyFont="1" applyAlignment="1">
      <alignment horizontal="center"/>
    </xf>
    <xf numFmtId="0" fontId="7" fillId="2" borderId="7" xfId="6" applyFont="1" applyFill="1" applyBorder="1" applyAlignment="1">
      <alignment horizontal="center" vertical="center" wrapText="1"/>
    </xf>
    <xf numFmtId="0" fontId="7" fillId="22" borderId="1" xfId="23" applyFont="1" applyFill="1" applyBorder="1" applyAlignment="1">
      <alignment horizontal="center" vertical="center" textRotation="90" wrapText="1"/>
    </xf>
    <xf numFmtId="0" fontId="7" fillId="22" borderId="6" xfId="23" applyFont="1" applyFill="1" applyBorder="1" applyAlignment="1">
      <alignment horizontal="center" vertical="center" textRotation="90" wrapText="1"/>
    </xf>
    <xf numFmtId="0" fontId="7" fillId="22" borderId="7" xfId="23" applyFont="1" applyFill="1" applyBorder="1" applyAlignment="1">
      <alignment horizontal="center" vertical="center" textRotation="90" wrapText="1"/>
    </xf>
    <xf numFmtId="0" fontId="7" fillId="3" borderId="2" xfId="6" applyFont="1" applyFill="1" applyBorder="1" applyAlignment="1">
      <alignment horizontal="justify" vertical="center" wrapText="1"/>
    </xf>
    <xf numFmtId="49" fontId="10" fillId="0" borderId="1" xfId="0" applyNumberFormat="1" applyFont="1" applyFill="1" applyBorder="1" applyAlignment="1">
      <alignment horizontal="justify" vertical="center" wrapText="1"/>
    </xf>
    <xf numFmtId="0" fontId="3" fillId="0" borderId="0" xfId="11" applyFont="1" applyAlignment="1">
      <alignment horizontal="center" vertical="center"/>
    </xf>
    <xf numFmtId="0" fontId="3" fillId="0" borderId="0" xfId="6" applyFont="1" applyFill="1" applyBorder="1" applyAlignment="1">
      <alignment horizontal="center"/>
    </xf>
    <xf numFmtId="0" fontId="3" fillId="0" borderId="0" xfId="6" applyFont="1" applyFill="1" applyBorder="1" applyAlignment="1">
      <alignment horizontal="right"/>
    </xf>
    <xf numFmtId="0" fontId="56" fillId="3" borderId="2" xfId="6" applyFont="1" applyFill="1" applyBorder="1" applyAlignment="1">
      <alignment horizontal="center" vertical="center" wrapText="1"/>
    </xf>
    <xf numFmtId="49" fontId="7" fillId="3" borderId="3" xfId="6" applyNumberFormat="1" applyFont="1" applyFill="1" applyBorder="1" applyAlignment="1">
      <alignment horizontal="center" vertical="center" wrapText="1"/>
    </xf>
    <xf numFmtId="49" fontId="7" fillId="3" borderId="4" xfId="6" applyNumberFormat="1" applyFont="1" applyFill="1" applyBorder="1" applyAlignment="1">
      <alignment horizontal="center" vertical="center" wrapText="1"/>
    </xf>
    <xf numFmtId="49" fontId="7" fillId="3" borderId="5" xfId="6" applyNumberFormat="1" applyFont="1" applyFill="1" applyBorder="1" applyAlignment="1">
      <alignment horizontal="center" vertical="center" wrapText="1"/>
    </xf>
    <xf numFmtId="0" fontId="3" fillId="0" borderId="0" xfId="12" applyFont="1" applyFill="1" applyBorder="1" applyAlignment="1">
      <alignment horizontal="center"/>
    </xf>
    <xf numFmtId="49" fontId="7" fillId="3" borderId="2" xfId="34" applyNumberFormat="1" applyFont="1" applyFill="1" applyBorder="1" applyAlignment="1">
      <alignment horizontal="center" vertical="center" wrapText="1"/>
    </xf>
    <xf numFmtId="0" fontId="7" fillId="3" borderId="2" xfId="34" applyFont="1" applyFill="1" applyBorder="1" applyAlignment="1">
      <alignment horizontal="center" vertical="center" wrapText="1"/>
    </xf>
    <xf numFmtId="0" fontId="7" fillId="3" borderId="2" xfId="34" applyFont="1" applyFill="1" applyBorder="1" applyAlignment="1">
      <alignment horizontal="center" vertical="center" textRotation="90" wrapText="1"/>
    </xf>
    <xf numFmtId="49" fontId="7" fillId="3" borderId="2" xfId="34" applyNumberFormat="1" applyFont="1" applyFill="1" applyBorder="1" applyAlignment="1">
      <alignment horizontal="center" vertical="center"/>
    </xf>
    <xf numFmtId="49" fontId="7" fillId="3" borderId="3" xfId="34" applyNumberFormat="1" applyFont="1" applyFill="1" applyBorder="1" applyAlignment="1">
      <alignment horizontal="center" vertical="center" wrapText="1"/>
    </xf>
    <xf numFmtId="49" fontId="7" fillId="3" borderId="4" xfId="34" applyNumberFormat="1" applyFont="1" applyFill="1" applyBorder="1" applyAlignment="1">
      <alignment horizontal="center" vertical="center" wrapText="1"/>
    </xf>
    <xf numFmtId="49" fontId="7" fillId="3" borderId="5" xfId="34" applyNumberFormat="1" applyFont="1" applyFill="1" applyBorder="1" applyAlignment="1">
      <alignment horizontal="center" vertical="center" wrapText="1"/>
    </xf>
    <xf numFmtId="0" fontId="7" fillId="3" borderId="1" xfId="6" applyFont="1" applyFill="1" applyBorder="1" applyAlignment="1">
      <alignment horizontal="center" vertical="center" textRotation="180" wrapText="1"/>
    </xf>
    <xf numFmtId="0" fontId="7" fillId="3" borderId="6" xfId="6" applyFont="1" applyFill="1" applyBorder="1" applyAlignment="1">
      <alignment horizontal="center" vertical="center" textRotation="180" wrapText="1"/>
    </xf>
    <xf numFmtId="0" fontId="7" fillId="3" borderId="7" xfId="6" applyFont="1" applyFill="1" applyBorder="1" applyAlignment="1">
      <alignment horizontal="center" vertical="center" textRotation="180" wrapText="1"/>
    </xf>
    <xf numFmtId="0" fontId="3" fillId="0" borderId="0" xfId="12" applyFont="1" applyFill="1" applyBorder="1" applyAlignment="1">
      <alignment horizontal="right"/>
    </xf>
    <xf numFmtId="0" fontId="7"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4" fontId="8" fillId="0" borderId="7" xfId="0" applyNumberFormat="1" applyFont="1" applyFill="1" applyBorder="1" applyAlignment="1">
      <alignment horizontal="center" vertical="center" wrapText="1"/>
    </xf>
    <xf numFmtId="4" fontId="29" fillId="0" borderId="1" xfId="0" applyNumberFormat="1" applyFont="1" applyFill="1" applyBorder="1" applyAlignment="1">
      <alignment horizontal="center" vertical="center" wrapText="1"/>
    </xf>
    <xf numFmtId="4" fontId="29" fillId="0" borderId="7" xfId="0" applyNumberFormat="1" applyFont="1" applyFill="1" applyBorder="1" applyAlignment="1">
      <alignment horizontal="center" vertical="center" wrapText="1"/>
    </xf>
    <xf numFmtId="49" fontId="8" fillId="0" borderId="1" xfId="65" applyNumberFormat="1" applyFont="1" applyFill="1" applyBorder="1" applyAlignment="1">
      <alignment horizontal="justify" vertical="center" wrapText="1"/>
    </xf>
    <xf numFmtId="49" fontId="8" fillId="0" borderId="7" xfId="65" applyNumberFormat="1" applyFont="1" applyFill="1" applyBorder="1" applyAlignment="1">
      <alignment horizontal="justify" vertical="center" wrapText="1"/>
    </xf>
    <xf numFmtId="49" fontId="10" fillId="0" borderId="7" xfId="0" applyNumberFormat="1" applyFont="1" applyFill="1" applyBorder="1" applyAlignment="1">
      <alignment horizontal="justify" vertical="center" wrapText="1"/>
    </xf>
    <xf numFmtId="49" fontId="8" fillId="0" borderId="1" xfId="0" applyNumberFormat="1" applyFont="1" applyFill="1" applyBorder="1" applyAlignment="1">
      <alignment horizontal="justify" vertical="center" wrapText="1"/>
    </xf>
    <xf numFmtId="49" fontId="8" fillId="0" borderId="7" xfId="0" applyNumberFormat="1" applyFont="1" applyFill="1" applyBorder="1" applyAlignment="1">
      <alignment horizontal="justify" vertical="center" wrapText="1"/>
    </xf>
    <xf numFmtId="0" fontId="60" fillId="0" borderId="0" xfId="0" applyFont="1" applyFill="1" applyBorder="1" applyAlignment="1">
      <alignment horizontal="center" vertical="center"/>
    </xf>
    <xf numFmtId="0" fontId="6" fillId="0" borderId="0" xfId="5" applyFont="1" applyFill="1" applyBorder="1" applyAlignment="1">
      <alignment horizontal="left" vertical="center"/>
    </xf>
    <xf numFmtId="49" fontId="7"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textRotation="90" wrapText="1"/>
    </xf>
    <xf numFmtId="0" fontId="7" fillId="2" borderId="1" xfId="0" applyFont="1" applyFill="1" applyBorder="1" applyAlignment="1">
      <alignment horizontal="center" vertical="center" textRotation="90" wrapText="1"/>
    </xf>
    <xf numFmtId="0" fontId="7" fillId="2" borderId="6" xfId="0" applyFont="1" applyFill="1" applyBorder="1" applyAlignment="1">
      <alignment horizontal="center" vertical="center" textRotation="90" wrapText="1"/>
    </xf>
    <xf numFmtId="0" fontId="7" fillId="2" borderId="7" xfId="0" applyFont="1" applyFill="1" applyBorder="1" applyAlignment="1">
      <alignment horizontal="center" vertical="center" textRotation="90" wrapText="1"/>
    </xf>
    <xf numFmtId="49" fontId="7" fillId="2" borderId="3"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0" fontId="7" fillId="2" borderId="2" xfId="6" applyFont="1" applyFill="1" applyBorder="1" applyAlignment="1">
      <alignment horizontal="center" vertical="center" wrapText="1"/>
    </xf>
    <xf numFmtId="0" fontId="7" fillId="2" borderId="1" xfId="6" applyFont="1" applyFill="1" applyBorder="1" applyAlignment="1">
      <alignment horizontal="center" vertical="center" textRotation="90" wrapText="1"/>
    </xf>
    <xf numFmtId="0" fontId="7" fillId="2" borderId="6" xfId="6" applyFont="1" applyFill="1" applyBorder="1" applyAlignment="1">
      <alignment horizontal="center" vertical="center" textRotation="90" wrapText="1"/>
    </xf>
    <xf numFmtId="0" fontId="7" fillId="2" borderId="7" xfId="6" applyFont="1" applyFill="1" applyBorder="1" applyAlignment="1">
      <alignment horizontal="center" vertical="center" textRotation="90" wrapText="1"/>
    </xf>
    <xf numFmtId="44" fontId="7" fillId="2" borderId="2" xfId="32" applyFont="1" applyFill="1" applyBorder="1" applyAlignment="1">
      <alignment horizontal="center" vertical="center" wrapText="1"/>
    </xf>
    <xf numFmtId="0" fontId="7" fillId="22" borderId="2" xfId="23" applyFont="1" applyFill="1" applyBorder="1" applyAlignment="1">
      <alignment horizontal="center" vertical="center" textRotation="90" wrapText="1"/>
    </xf>
    <xf numFmtId="0" fontId="3" fillId="0" borderId="0" xfId="66" applyFont="1" applyFill="1" applyBorder="1" applyAlignment="1">
      <alignment horizontal="center"/>
    </xf>
    <xf numFmtId="0" fontId="7" fillId="2" borderId="1" xfId="66" applyFont="1" applyFill="1" applyBorder="1" applyAlignment="1">
      <alignment horizontal="center" vertical="center" wrapText="1"/>
    </xf>
    <xf numFmtId="0" fontId="7" fillId="2" borderId="6" xfId="66" applyFont="1" applyFill="1" applyBorder="1" applyAlignment="1">
      <alignment horizontal="center" vertical="center" wrapText="1"/>
    </xf>
    <xf numFmtId="49" fontId="7" fillId="2" borderId="2" xfId="66" applyNumberFormat="1" applyFont="1" applyFill="1" applyBorder="1" applyAlignment="1">
      <alignment horizontal="center" vertical="center" wrapText="1"/>
    </xf>
    <xf numFmtId="49" fontId="7" fillId="2" borderId="1" xfId="66" applyNumberFormat="1" applyFont="1" applyFill="1" applyBorder="1" applyAlignment="1">
      <alignment horizontal="center" vertical="center" wrapText="1"/>
    </xf>
    <xf numFmtId="49" fontId="7" fillId="2" borderId="6" xfId="66" applyNumberFormat="1" applyFont="1" applyFill="1" applyBorder="1" applyAlignment="1">
      <alignment horizontal="center" vertical="center" wrapText="1"/>
    </xf>
    <xf numFmtId="0" fontId="7" fillId="2" borderId="2" xfId="66" applyFont="1" applyFill="1" applyBorder="1" applyAlignment="1">
      <alignment horizontal="center" vertical="center" textRotation="90" wrapText="1"/>
    </xf>
    <xf numFmtId="0" fontId="7" fillId="2" borderId="1" xfId="66" applyFont="1" applyFill="1" applyBorder="1" applyAlignment="1">
      <alignment horizontal="center" vertical="center" textRotation="90" wrapText="1"/>
    </xf>
    <xf numFmtId="0" fontId="7" fillId="2" borderId="6" xfId="66" applyFont="1" applyFill="1" applyBorder="1" applyAlignment="1">
      <alignment horizontal="center" vertical="center" textRotation="90" wrapText="1"/>
    </xf>
    <xf numFmtId="0" fontId="7" fillId="2" borderId="2" xfId="66" applyFont="1" applyFill="1" applyBorder="1" applyAlignment="1">
      <alignment horizontal="center" vertical="center" wrapText="1"/>
    </xf>
    <xf numFmtId="49" fontId="7" fillId="2" borderId="3" xfId="66" applyNumberFormat="1" applyFont="1" applyFill="1" applyBorder="1" applyAlignment="1">
      <alignment horizontal="center" vertical="center" wrapText="1"/>
    </xf>
    <xf numFmtId="49" fontId="7" fillId="2" borderId="4" xfId="66" applyNumberFormat="1" applyFont="1" applyFill="1" applyBorder="1" applyAlignment="1">
      <alignment horizontal="center" vertical="center" wrapText="1"/>
    </xf>
    <xf numFmtId="49" fontId="7" fillId="2" borderId="5" xfId="66" applyNumberFormat="1" applyFont="1" applyFill="1" applyBorder="1" applyAlignment="1">
      <alignment horizontal="center" vertical="center" wrapText="1"/>
    </xf>
    <xf numFmtId="0" fontId="0" fillId="0" borderId="7" xfId="0" applyBorder="1" applyAlignment="1">
      <alignment horizontal="center" vertical="center" textRotation="90" wrapText="1"/>
    </xf>
    <xf numFmtId="0" fontId="7" fillId="2" borderId="2" xfId="6" applyFont="1" applyFill="1" applyBorder="1" applyAlignment="1">
      <alignment horizontal="center" vertical="center" textRotation="90" wrapText="1"/>
    </xf>
    <xf numFmtId="0" fontId="0" fillId="0" borderId="4" xfId="0" applyBorder="1" applyAlignment="1">
      <alignment horizontal="center" vertical="center" wrapText="1"/>
    </xf>
    <xf numFmtId="0" fontId="65" fillId="24" borderId="0" xfId="67" applyFont="1" applyFill="1" applyBorder="1" applyAlignment="1">
      <alignment horizontal="center" wrapText="1"/>
    </xf>
    <xf numFmtId="0" fontId="12" fillId="24" borderId="0" xfId="67" applyFont="1" applyFill="1" applyBorder="1" applyAlignment="1">
      <alignment horizontal="center"/>
    </xf>
    <xf numFmtId="49" fontId="67" fillId="22" borderId="2" xfId="67" applyNumberFormat="1" applyFont="1" applyFill="1" applyBorder="1" applyAlignment="1">
      <alignment horizontal="center" vertical="center" wrapText="1"/>
    </xf>
    <xf numFmtId="0" fontId="67" fillId="22" borderId="2" xfId="67" applyFont="1" applyFill="1" applyBorder="1" applyAlignment="1">
      <alignment horizontal="center" vertical="center" wrapText="1"/>
    </xf>
    <xf numFmtId="0" fontId="67" fillId="22" borderId="2" xfId="67" applyFont="1" applyFill="1" applyBorder="1" applyAlignment="1">
      <alignment horizontal="center" vertical="center" textRotation="90" wrapText="1"/>
    </xf>
    <xf numFmtId="0" fontId="67" fillId="22" borderId="2" xfId="23" applyFont="1" applyFill="1" applyBorder="1" applyAlignment="1">
      <alignment horizontal="center" vertical="center" wrapText="1"/>
    </xf>
    <xf numFmtId="49" fontId="67" fillId="22" borderId="2" xfId="67" applyNumberFormat="1" applyFont="1" applyFill="1" applyBorder="1" applyAlignment="1">
      <alignment horizontal="center" vertical="center"/>
    </xf>
    <xf numFmtId="0" fontId="0" fillId="0" borderId="7" xfId="0" applyFill="1" applyBorder="1" applyAlignment="1">
      <alignment horizontal="justify" vertical="center" wrapText="1"/>
    </xf>
    <xf numFmtId="49" fontId="10" fillId="0" borderId="1" xfId="26" applyNumberFormat="1" applyFont="1" applyFill="1" applyBorder="1" applyAlignment="1">
      <alignment horizontal="justify" vertical="center" wrapText="1"/>
    </xf>
    <xf numFmtId="49" fontId="8" fillId="0" borderId="2" xfId="6" applyNumberFormat="1" applyFont="1" applyFill="1" applyBorder="1" applyAlignment="1">
      <alignment horizontal="left" vertical="center" wrapText="1"/>
    </xf>
    <xf numFmtId="49" fontId="10" fillId="0" borderId="2" xfId="25" applyNumberFormat="1" applyFont="1" applyFill="1" applyBorder="1" applyAlignment="1">
      <alignment horizontal="justify" vertical="center" wrapText="1"/>
    </xf>
    <xf numFmtId="49" fontId="10" fillId="0" borderId="2" xfId="4" applyNumberFormat="1" applyFont="1" applyFill="1" applyBorder="1" applyAlignment="1">
      <alignment horizontal="justify" vertical="center" wrapText="1"/>
    </xf>
    <xf numFmtId="0" fontId="8" fillId="0" borderId="2" xfId="6" applyFont="1" applyFill="1" applyBorder="1" applyAlignment="1">
      <alignment horizontal="left" vertical="center" wrapText="1"/>
    </xf>
    <xf numFmtId="49" fontId="10" fillId="0" borderId="2" xfId="6" applyNumberFormat="1" applyFont="1" applyFill="1" applyBorder="1" applyAlignment="1">
      <alignment horizontal="justify" vertical="center" wrapText="1"/>
    </xf>
    <xf numFmtId="0" fontId="70" fillId="0" borderId="0" xfId="12" applyFont="1" applyFill="1" applyBorder="1" applyAlignment="1">
      <alignment horizontal="center"/>
    </xf>
    <xf numFmtId="2" fontId="8" fillId="0" borderId="2" xfId="14" applyNumberFormat="1" applyFont="1" applyFill="1" applyBorder="1" applyAlignment="1">
      <alignment horizontal="justify" vertical="center" wrapText="1"/>
    </xf>
    <xf numFmtId="0" fontId="72" fillId="0" borderId="7" xfId="0" applyFont="1" applyBorder="1" applyAlignment="1">
      <alignment horizontal="justify" vertical="center" wrapText="1"/>
    </xf>
    <xf numFmtId="4" fontId="8" fillId="7" borderId="2" xfId="14" applyNumberFormat="1" applyFont="1" applyFill="1" applyBorder="1" applyAlignment="1">
      <alignment horizontal="center" vertical="center" wrapText="1"/>
    </xf>
    <xf numFmtId="0" fontId="8" fillId="0" borderId="2" xfId="12" applyFont="1" applyFill="1" applyBorder="1" applyAlignment="1">
      <alignment horizontal="justify" vertical="center" wrapText="1"/>
    </xf>
    <xf numFmtId="0" fontId="3" fillId="7" borderId="0" xfId="27" applyFont="1" applyFill="1" applyBorder="1" applyAlignment="1">
      <alignment horizontal="center"/>
    </xf>
    <xf numFmtId="0" fontId="7" fillId="2" borderId="7" xfId="19" applyFont="1" applyFill="1" applyBorder="1" applyAlignment="1">
      <alignment horizontal="center" vertical="center" wrapText="1"/>
    </xf>
    <xf numFmtId="49" fontId="7" fillId="3" borderId="2" xfId="19" applyNumberFormat="1" applyFont="1" applyFill="1" applyBorder="1" applyAlignment="1">
      <alignment horizontal="center" vertical="center" wrapText="1"/>
    </xf>
    <xf numFmtId="49" fontId="7" fillId="2" borderId="2" xfId="19" applyNumberFormat="1" applyFont="1" applyFill="1" applyBorder="1" applyAlignment="1">
      <alignment horizontal="center" vertical="center" wrapText="1"/>
    </xf>
    <xf numFmtId="49" fontId="7" fillId="3" borderId="7" xfId="19" applyNumberFormat="1" applyFont="1" applyFill="1" applyBorder="1" applyAlignment="1">
      <alignment horizontal="center" vertical="center" wrapText="1"/>
    </xf>
    <xf numFmtId="0" fontId="7" fillId="3" borderId="2" xfId="19" applyFont="1" applyFill="1" applyBorder="1" applyAlignment="1">
      <alignment horizontal="center" vertical="center" textRotation="90" wrapText="1"/>
    </xf>
    <xf numFmtId="0" fontId="7" fillId="3" borderId="7" xfId="19" applyFont="1" applyFill="1" applyBorder="1" applyAlignment="1">
      <alignment horizontal="center" vertical="center" textRotation="90" wrapText="1"/>
    </xf>
    <xf numFmtId="0" fontId="7" fillId="3" borderId="2" xfId="19" applyFont="1" applyFill="1" applyBorder="1" applyAlignment="1">
      <alignment horizontal="center" vertical="center" wrapText="1"/>
    </xf>
    <xf numFmtId="0" fontId="6" fillId="7" borderId="0" xfId="27" applyFont="1" applyFill="1" applyBorder="1" applyAlignment="1">
      <alignment horizontal="left" vertical="center"/>
    </xf>
  </cellXfs>
  <cellStyles count="69">
    <cellStyle name="Excel Built-in Normal" xfId="60"/>
    <cellStyle name="Millares" xfId="1" builtinId="3"/>
    <cellStyle name="Millares 12" xfId="17"/>
    <cellStyle name="Millares 21" xfId="21"/>
    <cellStyle name="Millares 3" xfId="68"/>
    <cellStyle name="Millares 4" xfId="56"/>
    <cellStyle name="Moneda" xfId="2" builtinId="4"/>
    <cellStyle name="Moneda 13" xfId="32"/>
    <cellStyle name="Moneda 2" xfId="16"/>
    <cellStyle name="Moneda 4" xfId="43"/>
    <cellStyle name="Moneda 4 2 4" xfId="33"/>
    <cellStyle name="Normal" xfId="0" builtinId="0"/>
    <cellStyle name="Normal 10" xfId="12"/>
    <cellStyle name="Normal 10 2" xfId="41"/>
    <cellStyle name="Normal 10 3" xfId="15"/>
    <cellStyle name="Normal 17" xfId="6"/>
    <cellStyle name="Normal 2 10 21" xfId="62"/>
    <cellStyle name="Normal 2 14" xfId="23"/>
    <cellStyle name="Normal 2 14 4" xfId="27"/>
    <cellStyle name="Normal 2 2" xfId="14"/>
    <cellStyle name="Normal 2 2 10" xfId="40"/>
    <cellStyle name="Normal 2 2 2" xfId="55"/>
    <cellStyle name="Normal 2 3 19 2" xfId="34"/>
    <cellStyle name="Normal 2 33 14 2" xfId="26"/>
    <cellStyle name="Normal 24 2" xfId="37"/>
    <cellStyle name="Normal 25" xfId="24"/>
    <cellStyle name="Normal 26 2 3 2" xfId="29"/>
    <cellStyle name="Normal 27 2 2 2" xfId="64"/>
    <cellStyle name="Normal 27 2 3 3" xfId="22"/>
    <cellStyle name="Normal 28" xfId="20"/>
    <cellStyle name="Normal 3" xfId="63"/>
    <cellStyle name="Normal 3 2 3" xfId="61"/>
    <cellStyle name="Normal 3 2 4" xfId="11"/>
    <cellStyle name="Normal 3 20" xfId="66"/>
    <cellStyle name="Normal 31" xfId="35"/>
    <cellStyle name="Normal 32 2" xfId="54"/>
    <cellStyle name="Normal 33" xfId="10"/>
    <cellStyle name="Normal 33 2 2" xfId="42"/>
    <cellStyle name="Normal 34" xfId="65"/>
    <cellStyle name="Normal 34 3 2" xfId="44"/>
    <cellStyle name="Normal 35 3 2" xfId="39"/>
    <cellStyle name="Normal 36 2" xfId="50"/>
    <cellStyle name="Normal 38 3" xfId="31"/>
    <cellStyle name="Normal 38 4" xfId="9"/>
    <cellStyle name="Normal 39 2" xfId="36"/>
    <cellStyle name="Normal 4" xfId="5"/>
    <cellStyle name="Normal 4 10" xfId="7"/>
    <cellStyle name="Normal 4 18" xfId="53"/>
    <cellStyle name="Normal 41 2" xfId="46"/>
    <cellStyle name="Normal 45 3" xfId="49"/>
    <cellStyle name="Normal 47 2" xfId="47"/>
    <cellStyle name="Normal 48 2" xfId="45"/>
    <cellStyle name="Normal 49 2" xfId="48"/>
    <cellStyle name="Normal 51" xfId="51"/>
    <cellStyle name="Normal 53" xfId="57"/>
    <cellStyle name="Normal 53 2" xfId="58"/>
    <cellStyle name="Normal 54 4" xfId="19"/>
    <cellStyle name="Normal 54 5 2" xfId="30"/>
    <cellStyle name="Normal 55" xfId="18"/>
    <cellStyle name="Normal 56" xfId="59"/>
    <cellStyle name="Normal 57" xfId="67"/>
    <cellStyle name="Normal 59" xfId="28"/>
    <cellStyle name="Normal 6 15" xfId="52"/>
    <cellStyle name="Porcentaje" xfId="3" builtinId="5"/>
    <cellStyle name="Porcentaje 2 2" xfId="13"/>
    <cellStyle name="Porcentual 2" xfId="8"/>
    <cellStyle name="Porcentual 6 2" xfId="38"/>
    <cellStyle name="Texto explicativo" xfId="4" builtinId="53"/>
    <cellStyle name="Texto explicativo 2"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0.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222251</xdr:rowOff>
    </xdr:from>
    <xdr:to>
      <xdr:col>0</xdr:col>
      <xdr:colOff>1087566</xdr:colOff>
      <xdr:row>5</xdr:row>
      <xdr:rowOff>66675</xdr:rowOff>
    </xdr:to>
    <xdr:pic>
      <xdr:nvPicPr>
        <xdr:cNvPr id="4" name="Imagen 3" descr="D:\DESCARGAS\el_salvador_78790\el-salvador.png">
          <a:extLst>
            <a:ext uri="{FF2B5EF4-FFF2-40B4-BE49-F238E27FC236}">
              <a16:creationId xmlns="" xmlns:a16="http://schemas.microsoft.com/office/drawing/2014/main" id="{A12C3812-9766-4E28-8938-BD4AFB5093A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22251"/>
          <a:ext cx="1087566" cy="1015999"/>
        </a:xfrm>
        <a:prstGeom prst="rect">
          <a:avLst/>
        </a:prstGeom>
        <a:noFill/>
        <a:ln w="9525">
          <a:noFill/>
          <a:miter lim="800000"/>
          <a:headEnd/>
          <a:tailEnd/>
        </a:ln>
      </xdr:spPr>
    </xdr:pic>
    <xdr:clientData/>
  </xdr:twoCellAnchor>
  <xdr:twoCellAnchor editAs="oneCell">
    <xdr:from>
      <xdr:col>40</xdr:col>
      <xdr:colOff>119063</xdr:colOff>
      <xdr:row>0</xdr:row>
      <xdr:rowOff>23813</xdr:rowOff>
    </xdr:from>
    <xdr:to>
      <xdr:col>42</xdr:col>
      <xdr:colOff>612774</xdr:colOff>
      <xdr:row>7</xdr:row>
      <xdr:rowOff>44450</xdr:rowOff>
    </xdr:to>
    <xdr:pic>
      <xdr:nvPicPr>
        <xdr:cNvPr id="5" name="Imagen 4">
          <a:extLst>
            <a:ext uri="{FF2B5EF4-FFF2-40B4-BE49-F238E27FC236}">
              <a16:creationId xmlns="" xmlns:a16="http://schemas.microsoft.com/office/drawing/2014/main" id="{7072AE09-94D9-49B6-89AA-95184F382F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884938" y="23813"/>
          <a:ext cx="3084511" cy="13541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103909</xdr:colOff>
      <xdr:row>0</xdr:row>
      <xdr:rowOff>222252</xdr:rowOff>
    </xdr:from>
    <xdr:to>
      <xdr:col>1</xdr:col>
      <xdr:colOff>48475</xdr:colOff>
      <xdr:row>5</xdr:row>
      <xdr:rowOff>66676</xdr:rowOff>
    </xdr:to>
    <xdr:pic>
      <xdr:nvPicPr>
        <xdr:cNvPr id="4" name="Imagen 3" descr="D:\DESCARGAS\el_salvador_78790\el-salvador.png">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909" y="222252"/>
          <a:ext cx="1106616" cy="1044574"/>
        </a:xfrm>
        <a:prstGeom prst="rect">
          <a:avLst/>
        </a:prstGeom>
        <a:noFill/>
        <a:ln w="9525">
          <a:noFill/>
          <a:miter lim="800000"/>
          <a:headEnd/>
          <a:tailEnd/>
        </a:ln>
      </xdr:spPr>
    </xdr:pic>
    <xdr:clientData/>
  </xdr:twoCellAnchor>
  <xdr:twoCellAnchor editAs="oneCell">
    <xdr:from>
      <xdr:col>38</xdr:col>
      <xdr:colOff>384522</xdr:colOff>
      <xdr:row>0</xdr:row>
      <xdr:rowOff>0</xdr:rowOff>
    </xdr:from>
    <xdr:to>
      <xdr:col>42</xdr:col>
      <xdr:colOff>59734</xdr:colOff>
      <xdr:row>7</xdr:row>
      <xdr:rowOff>50300</xdr:rowOff>
    </xdr:to>
    <xdr:pic>
      <xdr:nvPicPr>
        <xdr:cNvPr id="5" name="Imagen 4">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12097" y="0"/>
          <a:ext cx="3047062" cy="1383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39</xdr:col>
      <xdr:colOff>180975</xdr:colOff>
      <xdr:row>0</xdr:row>
      <xdr:rowOff>0</xdr:rowOff>
    </xdr:from>
    <xdr:to>
      <xdr:col>42</xdr:col>
      <xdr:colOff>647702</xdr:colOff>
      <xdr:row>8</xdr:row>
      <xdr:rowOff>161925</xdr:rowOff>
    </xdr:to>
    <xdr:pic>
      <xdr:nvPicPr>
        <xdr:cNvPr id="4"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23550" y="0"/>
          <a:ext cx="2752727"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114300</xdr:colOff>
      <xdr:row>4</xdr:row>
      <xdr:rowOff>171450</xdr:rowOff>
    </xdr:to>
    <xdr:pic>
      <xdr:nvPicPr>
        <xdr:cNvPr id="5" name="Imagen 3" descr="D:\DESCARGAS\el_salvador_78790\el-salvad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4478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38</xdr:col>
      <xdr:colOff>408214</xdr:colOff>
      <xdr:row>1</xdr:row>
      <xdr:rowOff>68036</xdr:rowOff>
    </xdr:from>
    <xdr:to>
      <xdr:col>42</xdr:col>
      <xdr:colOff>127712</xdr:colOff>
      <xdr:row>7</xdr:row>
      <xdr:rowOff>85726</xdr:rowOff>
    </xdr:to>
    <xdr:pic>
      <xdr:nvPicPr>
        <xdr:cNvPr id="4" name="Imagen 3">
          <a:extLst>
            <a:ext uri="{FF2B5EF4-FFF2-40B4-BE49-F238E27FC236}">
              <a16:creationId xmlns:a16="http://schemas.microsoft.com/office/drawing/2014/main" xmlns="" id="{7072AE09-94D9-49B6-89AA-95184F382F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59989" y="344261"/>
          <a:ext cx="3300898" cy="1160690"/>
        </a:xfrm>
        <a:prstGeom prst="rect">
          <a:avLst/>
        </a:prstGeom>
      </xdr:spPr>
    </xdr:pic>
    <xdr:clientData/>
  </xdr:twoCellAnchor>
  <xdr:twoCellAnchor>
    <xdr:from>
      <xdr:col>0</xdr:col>
      <xdr:colOff>63089</xdr:colOff>
      <xdr:row>1</xdr:row>
      <xdr:rowOff>207106</xdr:rowOff>
    </xdr:from>
    <xdr:to>
      <xdr:col>0</xdr:col>
      <xdr:colOff>979715</xdr:colOff>
      <xdr:row>5</xdr:row>
      <xdr:rowOff>108857</xdr:rowOff>
    </xdr:to>
    <xdr:pic>
      <xdr:nvPicPr>
        <xdr:cNvPr id="5" name="Imagen 4" descr="D:\DESCARGAS\el_salvador_78790\el-salvador.png">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089" y="483331"/>
          <a:ext cx="916626" cy="1006651"/>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182562</xdr:rowOff>
    </xdr:from>
    <xdr:to>
      <xdr:col>0</xdr:col>
      <xdr:colOff>1083468</xdr:colOff>
      <xdr:row>4</xdr:row>
      <xdr:rowOff>230187</xdr:rowOff>
    </xdr:to>
    <xdr:pic>
      <xdr:nvPicPr>
        <xdr:cNvPr id="4" name="Imagen 3" descr="D:\DESCARGAS\el_salvador_78790\el-salvador.png">
          <a:extLst>
            <a:ext uri="{FF2B5EF4-FFF2-40B4-BE49-F238E27FC236}">
              <a16:creationId xmlns="" xmlns:a16="http://schemas.microsoft.com/office/drawing/2014/main" id="{A12C3812-9766-4E28-8938-BD4AFB5093A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82562"/>
          <a:ext cx="1083468" cy="1171575"/>
        </a:xfrm>
        <a:prstGeom prst="rect">
          <a:avLst/>
        </a:prstGeom>
        <a:noFill/>
        <a:ln w="9525">
          <a:noFill/>
          <a:miter lim="800000"/>
          <a:headEnd/>
          <a:tailEnd/>
        </a:ln>
      </xdr:spPr>
    </xdr:pic>
    <xdr:clientData/>
  </xdr:twoCellAnchor>
  <xdr:twoCellAnchor editAs="oneCell">
    <xdr:from>
      <xdr:col>38</xdr:col>
      <xdr:colOff>476252</xdr:colOff>
      <xdr:row>0</xdr:row>
      <xdr:rowOff>59532</xdr:rowOff>
    </xdr:from>
    <xdr:to>
      <xdr:col>41</xdr:col>
      <xdr:colOff>881064</xdr:colOff>
      <xdr:row>5</xdr:row>
      <xdr:rowOff>64294</xdr:rowOff>
    </xdr:to>
    <xdr:pic>
      <xdr:nvPicPr>
        <xdr:cNvPr id="5" name="Imagen 4">
          <a:extLst>
            <a:ext uri="{FF2B5EF4-FFF2-40B4-BE49-F238E27FC236}">
              <a16:creationId xmlns="" xmlns:a16="http://schemas.microsoft.com/office/drawing/2014/main" id="{7072AE09-94D9-49B6-89AA-95184F382F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517477" y="59532"/>
          <a:ext cx="2690812" cy="95726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71438</xdr:rowOff>
    </xdr:from>
    <xdr:to>
      <xdr:col>0</xdr:col>
      <xdr:colOff>1017420</xdr:colOff>
      <xdr:row>6</xdr:row>
      <xdr:rowOff>71046</xdr:rowOff>
    </xdr:to>
    <xdr:pic>
      <xdr:nvPicPr>
        <xdr:cNvPr id="3" name="Imagen 3"/>
        <xdr:cNvPicPr/>
      </xdr:nvPicPr>
      <xdr:blipFill>
        <a:blip xmlns:r="http://schemas.openxmlformats.org/officeDocument/2006/relationships" r:embed="rId1"/>
        <a:stretch/>
      </xdr:blipFill>
      <xdr:spPr>
        <a:xfrm>
          <a:off x="0" y="71438"/>
          <a:ext cx="1017420" cy="1142608"/>
        </a:xfrm>
        <a:prstGeom prst="rect">
          <a:avLst/>
        </a:prstGeom>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83572</xdr:colOff>
      <xdr:row>0</xdr:row>
      <xdr:rowOff>132671</xdr:rowOff>
    </xdr:from>
    <xdr:to>
      <xdr:col>0</xdr:col>
      <xdr:colOff>1083470</xdr:colOff>
      <xdr:row>4</xdr:row>
      <xdr:rowOff>188632</xdr:rowOff>
    </xdr:to>
    <xdr:pic>
      <xdr:nvPicPr>
        <xdr:cNvPr id="4" name="Imagen 3" descr="D:\DESCARGAS\el_salvador_78790\el-salvado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572" y="132671"/>
          <a:ext cx="999898" cy="970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130403</xdr:colOff>
      <xdr:row>0</xdr:row>
      <xdr:rowOff>0</xdr:rowOff>
    </xdr:from>
    <xdr:to>
      <xdr:col>42</xdr:col>
      <xdr:colOff>291424</xdr:colOff>
      <xdr:row>5</xdr:row>
      <xdr:rowOff>93362</xdr:rowOff>
    </xdr:to>
    <xdr:pic>
      <xdr:nvPicPr>
        <xdr:cNvPr id="5"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257478" y="0"/>
          <a:ext cx="2485121" cy="1045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222251</xdr:rowOff>
    </xdr:from>
    <xdr:to>
      <xdr:col>0</xdr:col>
      <xdr:colOff>1087566</xdr:colOff>
      <xdr:row>5</xdr:row>
      <xdr:rowOff>66675</xdr:rowOff>
    </xdr:to>
    <xdr:pic>
      <xdr:nvPicPr>
        <xdr:cNvPr id="4" name="Imagen 3" descr="D:\DESCARGAS\el_salvador_78790\el-salvador.png">
          <a:extLst>
            <a:ext uri="{FF2B5EF4-FFF2-40B4-BE49-F238E27FC236}">
              <a16:creationId xmlns:a16="http://schemas.microsoft.com/office/drawing/2014/main" xmlns="" id="{A12C3812-9766-4E28-8938-BD4AFB5093A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22251"/>
          <a:ext cx="1087566" cy="1015999"/>
        </a:xfrm>
        <a:prstGeom prst="rect">
          <a:avLst/>
        </a:prstGeom>
        <a:noFill/>
        <a:ln w="9525">
          <a:noFill/>
          <a:miter lim="800000"/>
          <a:headEnd/>
          <a:tailEnd/>
        </a:ln>
      </xdr:spPr>
    </xdr:pic>
    <xdr:clientData/>
  </xdr:twoCellAnchor>
  <xdr:twoCellAnchor editAs="oneCell">
    <xdr:from>
      <xdr:col>40</xdr:col>
      <xdr:colOff>85445</xdr:colOff>
      <xdr:row>0</xdr:row>
      <xdr:rowOff>46225</xdr:rowOff>
    </xdr:from>
    <xdr:to>
      <xdr:col>42</xdr:col>
      <xdr:colOff>698417</xdr:colOff>
      <xdr:row>7</xdr:row>
      <xdr:rowOff>66862</xdr:rowOff>
    </xdr:to>
    <xdr:pic>
      <xdr:nvPicPr>
        <xdr:cNvPr id="5" name="Imagen 4">
          <a:extLst>
            <a:ext uri="{FF2B5EF4-FFF2-40B4-BE49-F238E27FC236}">
              <a16:creationId xmlns:a16="http://schemas.microsoft.com/office/drawing/2014/main" xmlns="" id="{7072AE09-94D9-49B6-89AA-95184F382F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26670" y="46225"/>
          <a:ext cx="3070422" cy="135413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40</xdr:col>
      <xdr:colOff>109440</xdr:colOff>
      <xdr:row>0</xdr:row>
      <xdr:rowOff>0</xdr:rowOff>
    </xdr:from>
    <xdr:to>
      <xdr:col>42</xdr:col>
      <xdr:colOff>725546</xdr:colOff>
      <xdr:row>5</xdr:row>
      <xdr:rowOff>112939</xdr:rowOff>
    </xdr:to>
    <xdr:pic>
      <xdr:nvPicPr>
        <xdr:cNvPr id="4" name="Imagen 4"/>
        <xdr:cNvPicPr/>
      </xdr:nvPicPr>
      <xdr:blipFill>
        <a:blip xmlns:r="http://schemas.openxmlformats.org/officeDocument/2006/relationships" r:embed="rId1"/>
        <a:stretch/>
      </xdr:blipFill>
      <xdr:spPr>
        <a:xfrm>
          <a:off x="27750990" y="0"/>
          <a:ext cx="2483006" cy="1065439"/>
        </a:xfrm>
        <a:prstGeom prst="rect">
          <a:avLst/>
        </a:prstGeom>
        <a:ln>
          <a:noFill/>
        </a:ln>
      </xdr:spPr>
    </xdr:pic>
    <xdr:clientData/>
  </xdr:twoCellAnchor>
  <xdr:twoCellAnchor>
    <xdr:from>
      <xdr:col>0</xdr:col>
      <xdr:colOff>108857</xdr:colOff>
      <xdr:row>0</xdr:row>
      <xdr:rowOff>149679</xdr:rowOff>
    </xdr:from>
    <xdr:to>
      <xdr:col>0</xdr:col>
      <xdr:colOff>1099457</xdr:colOff>
      <xdr:row>3</xdr:row>
      <xdr:rowOff>167739</xdr:rowOff>
    </xdr:to>
    <xdr:pic>
      <xdr:nvPicPr>
        <xdr:cNvPr id="5" name="Imagen 3" descr="D:\DESCARGAS\el_salvador_78790\el-salvador.png">
          <a:extLst>
            <a:ext uri="{FF2B5EF4-FFF2-40B4-BE49-F238E27FC236}">
              <a16:creationId xmlns="" xmlns:a16="http://schemas.microsoft.com/office/drawing/2014/main" id="{EEC60C89-A677-4CA0-A364-C880E65B8D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8857" y="149679"/>
          <a:ext cx="990600" cy="86578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103909</xdr:colOff>
      <xdr:row>0</xdr:row>
      <xdr:rowOff>222252</xdr:rowOff>
    </xdr:from>
    <xdr:to>
      <xdr:col>1</xdr:col>
      <xdr:colOff>48475</xdr:colOff>
      <xdr:row>5</xdr:row>
      <xdr:rowOff>66676</xdr:rowOff>
    </xdr:to>
    <xdr:pic>
      <xdr:nvPicPr>
        <xdr:cNvPr id="4" name="Imagen 3" descr="D:\DESCARGAS\el_salvador_78790\el-salvador.png">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909" y="222252"/>
          <a:ext cx="1106616" cy="1044574"/>
        </a:xfrm>
        <a:prstGeom prst="rect">
          <a:avLst/>
        </a:prstGeom>
        <a:noFill/>
        <a:ln w="9525">
          <a:noFill/>
          <a:miter lim="800000"/>
          <a:headEnd/>
          <a:tailEnd/>
        </a:ln>
      </xdr:spPr>
    </xdr:pic>
    <xdr:clientData/>
  </xdr:twoCellAnchor>
  <xdr:twoCellAnchor editAs="oneCell">
    <xdr:from>
      <xdr:col>38</xdr:col>
      <xdr:colOff>384522</xdr:colOff>
      <xdr:row>0</xdr:row>
      <xdr:rowOff>0</xdr:rowOff>
    </xdr:from>
    <xdr:to>
      <xdr:col>42</xdr:col>
      <xdr:colOff>59734</xdr:colOff>
      <xdr:row>7</xdr:row>
      <xdr:rowOff>50300</xdr:rowOff>
    </xdr:to>
    <xdr:pic>
      <xdr:nvPicPr>
        <xdr:cNvPr id="5" name="Imagen 4">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02647" y="0"/>
          <a:ext cx="3047062" cy="13838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40</xdr:col>
      <xdr:colOff>738034</xdr:colOff>
      <xdr:row>0</xdr:row>
      <xdr:rowOff>56604</xdr:rowOff>
    </xdr:from>
    <xdr:to>
      <xdr:col>42</xdr:col>
      <xdr:colOff>1153754</xdr:colOff>
      <xdr:row>6</xdr:row>
      <xdr:rowOff>85179</xdr:rowOff>
    </xdr:to>
    <xdr:pic>
      <xdr:nvPicPr>
        <xdr:cNvPr id="4" name="1 Imagen"/>
        <xdr:cNvPicPr>
          <a:picLocks noChangeAspect="1"/>
        </xdr:cNvPicPr>
      </xdr:nvPicPr>
      <xdr:blipFill>
        <a:blip xmlns:r="http://schemas.openxmlformats.org/officeDocument/2006/relationships" r:embed="rId1"/>
        <a:stretch>
          <a:fillRect/>
        </a:stretch>
      </xdr:blipFill>
      <xdr:spPr>
        <a:xfrm>
          <a:off x="27017509" y="56604"/>
          <a:ext cx="2911270" cy="1171575"/>
        </a:xfrm>
        <a:prstGeom prst="rect">
          <a:avLst/>
        </a:prstGeom>
      </xdr:spPr>
    </xdr:pic>
    <xdr:clientData/>
  </xdr:twoCellAnchor>
  <xdr:twoCellAnchor>
    <xdr:from>
      <xdr:col>0</xdr:col>
      <xdr:colOff>38100</xdr:colOff>
      <xdr:row>0</xdr:row>
      <xdr:rowOff>104774</xdr:rowOff>
    </xdr:from>
    <xdr:to>
      <xdr:col>1</xdr:col>
      <xdr:colOff>0</xdr:colOff>
      <xdr:row>5</xdr:row>
      <xdr:rowOff>19050</xdr:rowOff>
    </xdr:to>
    <xdr:pic>
      <xdr:nvPicPr>
        <xdr:cNvPr id="5" name="Imagen 3" descr="D:\DESCARGAS\el_salvador_78790\el-salvad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04774"/>
          <a:ext cx="1190625" cy="1085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42</xdr:col>
      <xdr:colOff>166687</xdr:colOff>
      <xdr:row>0</xdr:row>
      <xdr:rowOff>107154</xdr:rowOff>
    </xdr:from>
    <xdr:to>
      <xdr:col>42</xdr:col>
      <xdr:colOff>857249</xdr:colOff>
      <xdr:row>5</xdr:row>
      <xdr:rowOff>65881</xdr:rowOff>
    </xdr:to>
    <xdr:pic>
      <xdr:nvPicPr>
        <xdr:cNvPr id="4" name="Imagen 3" descr="Resultado de imagen para logo de gobierno de el salvador">
          <a:extLst>
            <a:ext uri="{FF2B5EF4-FFF2-40B4-BE49-F238E27FC236}">
              <a16:creationId xmlns:a16="http://schemas.microsoft.com/office/drawing/2014/main" xmlns="" id="{E6F0A928-9877-4920-9856-138D5E548AD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827" r="61577" b="4240"/>
        <a:stretch/>
      </xdr:blipFill>
      <xdr:spPr bwMode="auto">
        <a:xfrm>
          <a:off x="36114037" y="107154"/>
          <a:ext cx="690562" cy="911227"/>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111212</xdr:colOff>
      <xdr:row>0</xdr:row>
      <xdr:rowOff>178594</xdr:rowOff>
    </xdr:from>
    <xdr:to>
      <xdr:col>1</xdr:col>
      <xdr:colOff>137477</xdr:colOff>
      <xdr:row>3</xdr:row>
      <xdr:rowOff>150811</xdr:rowOff>
    </xdr:to>
    <xdr:pic>
      <xdr:nvPicPr>
        <xdr:cNvPr id="5" name="Imagen 4">
          <a:extLst>
            <a:ext uri="{FF2B5EF4-FFF2-40B4-BE49-F238E27FC236}">
              <a16:creationId xmlns:a16="http://schemas.microsoft.com/office/drawing/2014/main" xmlns="" id="{77B7818B-70FF-4468-9A6D-3CA54711DE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212" y="178594"/>
          <a:ext cx="1131165" cy="543717"/>
        </a:xfrm>
        <a:prstGeom prst="rect">
          <a:avLst/>
        </a:prstGeom>
        <a:noFill/>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981075</xdr:colOff>
      <xdr:row>5</xdr:row>
      <xdr:rowOff>47625</xdr:rowOff>
    </xdr:to>
    <xdr:pic>
      <xdr:nvPicPr>
        <xdr:cNvPr id="3"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10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981075</xdr:colOff>
      <xdr:row>5</xdr:row>
      <xdr:rowOff>47625</xdr:rowOff>
    </xdr:to>
    <xdr:pic>
      <xdr:nvPicPr>
        <xdr:cNvPr id="3" name="Imagen 3">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10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40</xdr:col>
      <xdr:colOff>771525</xdr:colOff>
      <xdr:row>0</xdr:row>
      <xdr:rowOff>0</xdr:rowOff>
    </xdr:from>
    <xdr:ext cx="2095500" cy="1000125"/>
    <xdr:pic>
      <xdr:nvPicPr>
        <xdr:cNvPr id="4" name="image4.png"/>
        <xdr:cNvPicPr preferRelativeResize="0"/>
      </xdr:nvPicPr>
      <xdr:blipFill>
        <a:blip xmlns:r="http://schemas.openxmlformats.org/officeDocument/2006/relationships" r:embed="rId1" cstate="print"/>
        <a:stretch>
          <a:fillRect/>
        </a:stretch>
      </xdr:blipFill>
      <xdr:spPr>
        <a:xfrm>
          <a:off x="34299525" y="0"/>
          <a:ext cx="2095500" cy="1000125"/>
        </a:xfrm>
        <a:prstGeom prst="rect">
          <a:avLst/>
        </a:prstGeom>
        <a:noFill/>
      </xdr:spPr>
    </xdr:pic>
    <xdr:clientData fLocksWithSheet="0"/>
  </xdr:oneCellAnchor>
  <xdr:twoCellAnchor>
    <xdr:from>
      <xdr:col>0</xdr:col>
      <xdr:colOff>95250</xdr:colOff>
      <xdr:row>0</xdr:row>
      <xdr:rowOff>47625</xdr:rowOff>
    </xdr:from>
    <xdr:to>
      <xdr:col>0</xdr:col>
      <xdr:colOff>1158875</xdr:colOff>
      <xdr:row>4</xdr:row>
      <xdr:rowOff>172911</xdr:rowOff>
    </xdr:to>
    <xdr:pic>
      <xdr:nvPicPr>
        <xdr:cNvPr id="5" name="Imagen 3" descr="D:\DESCARGAS\el_salvador_78790\el-salvador.png">
          <a:extLst>
            <a:ext uri="{FF2B5EF4-FFF2-40B4-BE49-F238E27FC236}">
              <a16:creationId xmlns="" xmlns:a16="http://schemas.microsoft.com/office/drawing/2014/main" id="{A12C3812-9766-4E28-8938-BD4AFB5093A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250" y="47625"/>
          <a:ext cx="1063625" cy="1039686"/>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103909</xdr:colOff>
      <xdr:row>0</xdr:row>
      <xdr:rowOff>222252</xdr:rowOff>
    </xdr:from>
    <xdr:to>
      <xdr:col>1</xdr:col>
      <xdr:colOff>48475</xdr:colOff>
      <xdr:row>5</xdr:row>
      <xdr:rowOff>66676</xdr:rowOff>
    </xdr:to>
    <xdr:pic>
      <xdr:nvPicPr>
        <xdr:cNvPr id="4" name="Imagen 3" descr="D:\DESCARGAS\el_salvador_78790\el-salvador.png">
          <a:extLst>
            <a:ext uri="{FF2B5EF4-FFF2-40B4-BE49-F238E27FC236}">
              <a16:creationId xmlns="" xmlns:a16="http://schemas.microsoft.com/office/drawing/2014/main" id="{EF2B3265-23A6-4FC1-AAF6-78809837F1C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909" y="222252"/>
          <a:ext cx="1106616" cy="1044574"/>
        </a:xfrm>
        <a:prstGeom prst="rect">
          <a:avLst/>
        </a:prstGeom>
        <a:noFill/>
        <a:ln w="9525">
          <a:noFill/>
          <a:miter lim="800000"/>
          <a:headEnd/>
          <a:tailEnd/>
        </a:ln>
      </xdr:spPr>
    </xdr:pic>
    <xdr:clientData/>
  </xdr:twoCellAnchor>
  <xdr:oneCellAnchor>
    <xdr:from>
      <xdr:col>38</xdr:col>
      <xdr:colOff>384522</xdr:colOff>
      <xdr:row>0</xdr:row>
      <xdr:rowOff>0</xdr:rowOff>
    </xdr:from>
    <xdr:ext cx="3152703" cy="1333577"/>
    <xdr:pic>
      <xdr:nvPicPr>
        <xdr:cNvPr id="5" name="Imagen 4">
          <a:extLst>
            <a:ext uri="{FF2B5EF4-FFF2-40B4-BE49-F238E27FC236}">
              <a16:creationId xmlns="" xmlns:a16="http://schemas.microsoft.com/office/drawing/2014/main" id="{83B06D98-BAB3-4EFB-BC85-EFCE5E64D83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17197" y="0"/>
          <a:ext cx="3152703" cy="133357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152400</xdr:rowOff>
    </xdr:from>
    <xdr:to>
      <xdr:col>0</xdr:col>
      <xdr:colOff>990600</xdr:colOff>
      <xdr:row>3</xdr:row>
      <xdr:rowOff>170460</xdr:rowOff>
    </xdr:to>
    <xdr:pic>
      <xdr:nvPicPr>
        <xdr:cNvPr id="3" name="Imagen 3" descr="D:\DESCARGAS\el_salvador_78790\el-salvador.png">
          <a:extLst>
            <a:ext uri="{FF2B5EF4-FFF2-40B4-BE49-F238E27FC236}">
              <a16:creationId xmlns:a16="http://schemas.microsoft.com/office/drawing/2014/main" xmlns="" id="{EEC60C89-A677-4CA0-A364-C880E65B8D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52400"/>
          <a:ext cx="828675" cy="70386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152401</xdr:colOff>
      <xdr:row>0</xdr:row>
      <xdr:rowOff>63501</xdr:rowOff>
    </xdr:from>
    <xdr:to>
      <xdr:col>0</xdr:col>
      <xdr:colOff>1354266</xdr:colOff>
      <xdr:row>4</xdr:row>
      <xdr:rowOff>168275</xdr:rowOff>
    </xdr:to>
    <xdr:pic>
      <xdr:nvPicPr>
        <xdr:cNvPr id="4" name="Imagen 3" descr="D:\DESCARGAS\el_salvador_78790\el-salvador.png">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1" y="63501"/>
          <a:ext cx="1201865" cy="1047749"/>
        </a:xfrm>
        <a:prstGeom prst="rect">
          <a:avLst/>
        </a:prstGeom>
        <a:noFill/>
        <a:ln w="9525">
          <a:noFill/>
          <a:miter lim="800000"/>
          <a:headEnd/>
          <a:tailEnd/>
        </a:ln>
      </xdr:spPr>
    </xdr:pic>
    <xdr:clientData/>
  </xdr:twoCellAnchor>
  <xdr:twoCellAnchor editAs="oneCell">
    <xdr:from>
      <xdr:col>41</xdr:col>
      <xdr:colOff>142875</xdr:colOff>
      <xdr:row>0</xdr:row>
      <xdr:rowOff>63500</xdr:rowOff>
    </xdr:from>
    <xdr:to>
      <xdr:col>42</xdr:col>
      <xdr:colOff>1601468</xdr:colOff>
      <xdr:row>5</xdr:row>
      <xdr:rowOff>180975</xdr:rowOff>
    </xdr:to>
    <xdr:pic>
      <xdr:nvPicPr>
        <xdr:cNvPr id="5" name="Imagen 4">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957125" y="63500"/>
          <a:ext cx="2877818" cy="1069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42</xdr:col>
      <xdr:colOff>523875</xdr:colOff>
      <xdr:row>0</xdr:row>
      <xdr:rowOff>0</xdr:rowOff>
    </xdr:from>
    <xdr:to>
      <xdr:col>43</xdr:col>
      <xdr:colOff>31754</xdr:colOff>
      <xdr:row>3</xdr:row>
      <xdr:rowOff>177800</xdr:rowOff>
    </xdr:to>
    <xdr:pic>
      <xdr:nvPicPr>
        <xdr:cNvPr id="4" name="Imagen 2">
          <a:extLst>
            <a:ext uri="{FF2B5EF4-FFF2-40B4-BE49-F238E27FC236}">
              <a16:creationId xmlns="" xmlns:a16="http://schemas.microsoft.com/office/drawing/2014/main" id="{AD56D427-4490-475E-9A20-650EEA1E54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00425" y="0"/>
          <a:ext cx="1736729" cy="749300"/>
        </a:xfrm>
        <a:prstGeom prst="rect">
          <a:avLst/>
        </a:prstGeom>
      </xdr:spPr>
    </xdr:pic>
    <xdr:clientData/>
  </xdr:twoCellAnchor>
  <xdr:twoCellAnchor>
    <xdr:from>
      <xdr:col>0</xdr:col>
      <xdr:colOff>206375</xdr:colOff>
      <xdr:row>0</xdr:row>
      <xdr:rowOff>95251</xdr:rowOff>
    </xdr:from>
    <xdr:to>
      <xdr:col>0</xdr:col>
      <xdr:colOff>1092200</xdr:colOff>
      <xdr:row>3</xdr:row>
      <xdr:rowOff>230177</xdr:rowOff>
    </xdr:to>
    <xdr:pic>
      <xdr:nvPicPr>
        <xdr:cNvPr id="5" name="Imagen 3" descr="D:\DESCARGAS\el_salvador_78790\el-salvador.png">
          <a:extLst>
            <a:ext uri="{FF2B5EF4-FFF2-40B4-BE49-F238E27FC236}">
              <a16:creationId xmlns="" xmlns:a16="http://schemas.microsoft.com/office/drawing/2014/main" id="{900A9508-C31A-406F-AC23-94BC0BE110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375" y="95251"/>
          <a:ext cx="885825" cy="839776"/>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59532</xdr:colOff>
      <xdr:row>0</xdr:row>
      <xdr:rowOff>150813</xdr:rowOff>
    </xdr:from>
    <xdr:to>
      <xdr:col>0</xdr:col>
      <xdr:colOff>1147098</xdr:colOff>
      <xdr:row>4</xdr:row>
      <xdr:rowOff>257175</xdr:rowOff>
    </xdr:to>
    <xdr:pic>
      <xdr:nvPicPr>
        <xdr:cNvPr id="4" name="Imagen 3" descr="D:\DESCARGAS\el_salvador_78790\el-salvador.png">
          <a:extLst>
            <a:ext uri="{FF2B5EF4-FFF2-40B4-BE49-F238E27FC236}">
              <a16:creationId xmlns="" xmlns:a16="http://schemas.microsoft.com/office/drawing/2014/main" id="{A12C3812-9766-4E28-8938-BD4AFB5093A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9532" y="150813"/>
          <a:ext cx="1087566" cy="1020762"/>
        </a:xfrm>
        <a:prstGeom prst="rect">
          <a:avLst/>
        </a:prstGeom>
        <a:noFill/>
        <a:ln w="9525">
          <a:noFill/>
          <a:miter lim="800000"/>
          <a:headEnd/>
          <a:tailEnd/>
        </a:ln>
      </xdr:spPr>
    </xdr:pic>
    <xdr:clientData/>
  </xdr:twoCellAnchor>
  <xdr:twoCellAnchor editAs="oneCell">
    <xdr:from>
      <xdr:col>39</xdr:col>
      <xdr:colOff>357188</xdr:colOff>
      <xdr:row>0</xdr:row>
      <xdr:rowOff>47625</xdr:rowOff>
    </xdr:from>
    <xdr:to>
      <xdr:col>42</xdr:col>
      <xdr:colOff>1112837</xdr:colOff>
      <xdr:row>7</xdr:row>
      <xdr:rowOff>68262</xdr:rowOff>
    </xdr:to>
    <xdr:pic>
      <xdr:nvPicPr>
        <xdr:cNvPr id="5" name="Imagen 4">
          <a:extLst>
            <a:ext uri="{FF2B5EF4-FFF2-40B4-BE49-F238E27FC236}">
              <a16:creationId xmlns="" xmlns:a16="http://schemas.microsoft.com/office/drawing/2014/main" id="{7072AE09-94D9-49B6-89AA-95184F382F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65613" y="47625"/>
          <a:ext cx="3079749" cy="13541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224117</xdr:rowOff>
    </xdr:from>
    <xdr:to>
      <xdr:col>0</xdr:col>
      <xdr:colOff>1315467</xdr:colOff>
      <xdr:row>4</xdr:row>
      <xdr:rowOff>235322</xdr:rowOff>
    </xdr:to>
    <xdr:pic>
      <xdr:nvPicPr>
        <xdr:cNvPr id="4" name="Imagen 3" descr="D:\DESCARGAS\el_salvador_78790\el-salvador.png"/>
        <xdr:cNvPicPr>
          <a:picLocks noChangeAspect="1" noChangeArrowheads="1"/>
        </xdr:cNvPicPr>
      </xdr:nvPicPr>
      <xdr:blipFill>
        <a:blip xmlns:r="http://schemas.openxmlformats.org/officeDocument/2006/relationships" r:embed="rId1" cstate="print"/>
        <a:srcRect/>
        <a:stretch>
          <a:fillRect/>
        </a:stretch>
      </xdr:blipFill>
      <xdr:spPr bwMode="auto">
        <a:xfrm>
          <a:off x="0" y="224117"/>
          <a:ext cx="1067817" cy="925605"/>
        </a:xfrm>
        <a:prstGeom prst="rect">
          <a:avLst/>
        </a:prstGeom>
        <a:noFill/>
        <a:ln w="9525">
          <a:noFill/>
          <a:miter lim="800000"/>
          <a:headEnd/>
          <a:tailEnd/>
        </a:ln>
      </xdr:spPr>
    </xdr:pic>
    <xdr:clientData/>
  </xdr:twoCellAnchor>
  <xdr:twoCellAnchor editAs="oneCell">
    <xdr:from>
      <xdr:col>34</xdr:col>
      <xdr:colOff>579422</xdr:colOff>
      <xdr:row>0</xdr:row>
      <xdr:rowOff>68036</xdr:rowOff>
    </xdr:from>
    <xdr:to>
      <xdr:col>41</xdr:col>
      <xdr:colOff>1502</xdr:colOff>
      <xdr:row>7</xdr:row>
      <xdr:rowOff>9204</xdr:rowOff>
    </xdr:to>
    <xdr:pic>
      <xdr:nvPicPr>
        <xdr:cNvPr id="5" name="2 Imagen"/>
        <xdr:cNvPicPr>
          <a:picLocks noChangeAspect="1"/>
        </xdr:cNvPicPr>
      </xdr:nvPicPr>
      <xdr:blipFill>
        <a:blip xmlns:r="http://schemas.openxmlformats.org/officeDocument/2006/relationships" r:embed="rId2"/>
        <a:stretch>
          <a:fillRect/>
        </a:stretch>
      </xdr:blipFill>
      <xdr:spPr>
        <a:xfrm>
          <a:off x="23458472" y="68036"/>
          <a:ext cx="3117780" cy="12746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lias.saca\Downloads\POA%202021\DEPENDENCIA\DGFCR%20OK\POA%20DGFCR%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ramirez/AppData/Local/Microsoft/Windows/Temporary%20Internet%20Files/Content.Outlook/LUIFSNDY/POA%20ISTA%202021%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lias.saca\Downloads\POA%202021\DEPENDENCIA\OIR\POA%20(Metas%20f&#237;sicas%20y%20financieras)%20OIR%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1 DGFCR"/>
      <sheetName val="FORMATO"/>
      <sheetName val="POA 2021 DGFCR (2)"/>
      <sheetName val="POA 2021 DGFCR (3)"/>
    </sheetNames>
    <sheetDataSet>
      <sheetData sheetId="0" refreshError="1"/>
      <sheetData sheetId="1" refreshError="1"/>
      <sheetData sheetId="2" refreshError="1">
        <row r="14">
          <cell r="AI14">
            <v>50000</v>
          </cell>
        </row>
        <row r="15">
          <cell r="AI15">
            <v>50000</v>
          </cell>
        </row>
        <row r="23">
          <cell r="AI23">
            <v>60000</v>
          </cell>
        </row>
        <row r="30">
          <cell r="AI30">
            <v>30000</v>
          </cell>
        </row>
        <row r="31">
          <cell r="AI31">
            <v>50000</v>
          </cell>
          <cell r="AL31">
            <v>3400</v>
          </cell>
        </row>
        <row r="33">
          <cell r="AI33">
            <v>30000</v>
          </cell>
        </row>
        <row r="34">
          <cell r="AI34">
            <v>60000</v>
          </cell>
        </row>
        <row r="36">
          <cell r="AI36">
            <v>50000</v>
          </cell>
        </row>
        <row r="47">
          <cell r="AI47">
            <v>37495</v>
          </cell>
        </row>
        <row r="51">
          <cell r="AI51">
            <v>60000</v>
          </cell>
        </row>
        <row r="60">
          <cell r="AK60">
            <v>104938.37</v>
          </cell>
        </row>
        <row r="62">
          <cell r="AK62">
            <v>255495.73</v>
          </cell>
        </row>
        <row r="71">
          <cell r="AI71">
            <v>35000</v>
          </cell>
        </row>
        <row r="89">
          <cell r="AI89">
            <v>80000</v>
          </cell>
        </row>
        <row r="94">
          <cell r="AI94">
            <v>75000</v>
          </cell>
        </row>
        <row r="95">
          <cell r="AI95">
            <v>55000</v>
          </cell>
        </row>
        <row r="98">
          <cell r="AI98">
            <v>30000</v>
          </cell>
          <cell r="AL98">
            <v>11350</v>
          </cell>
        </row>
        <row r="99">
          <cell r="AI99">
            <v>60000</v>
          </cell>
          <cell r="AL99">
            <v>15600</v>
          </cell>
        </row>
        <row r="102">
          <cell r="AI102">
            <v>20000</v>
          </cell>
          <cell r="AL102">
            <v>29350</v>
          </cell>
        </row>
        <row r="103">
          <cell r="AI103">
            <v>16000</v>
          </cell>
        </row>
        <row r="104">
          <cell r="AI104">
            <v>22500</v>
          </cell>
          <cell r="AL104">
            <v>12100</v>
          </cell>
        </row>
        <row r="105">
          <cell r="AI105">
            <v>20000</v>
          </cell>
        </row>
        <row r="106">
          <cell r="AI106">
            <v>21500</v>
          </cell>
          <cell r="AL106">
            <v>7000</v>
          </cell>
        </row>
        <row r="108">
          <cell r="AI108">
            <v>25000</v>
          </cell>
        </row>
        <row r="109">
          <cell r="AI109">
            <v>25000</v>
          </cell>
        </row>
        <row r="112">
          <cell r="AI112">
            <v>15000</v>
          </cell>
        </row>
        <row r="113">
          <cell r="AI113">
            <v>7000</v>
          </cell>
        </row>
        <row r="114">
          <cell r="AI114">
            <v>8000</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1 ISTA (1)"/>
      <sheetName val="FORMATO"/>
      <sheetName val="POA ISTA (REDONDEAR FUENTE)"/>
      <sheetName val="POA ISTA (REDONDEAR MES)"/>
      <sheetName val="POA ISTA 2021"/>
    </sheetNames>
    <sheetDataSet>
      <sheetData sheetId="0" refreshError="1">
        <row r="58">
          <cell r="AI58">
            <v>9635</v>
          </cell>
        </row>
        <row r="61">
          <cell r="AI61">
            <v>5000</v>
          </cell>
        </row>
      </sheetData>
      <sheetData sheetId="1" refreshError="1"/>
      <sheetData sheetId="2" refreshError="1">
        <row r="58">
          <cell r="M58">
            <v>802.91666666666663</v>
          </cell>
          <cell r="N58">
            <v>802.91666666666663</v>
          </cell>
          <cell r="O58">
            <v>802.91666666666663</v>
          </cell>
          <cell r="S58">
            <v>802.91666666666663</v>
          </cell>
          <cell r="T58">
            <v>802.91666666666663</v>
          </cell>
          <cell r="U58">
            <v>802.91666666666663</v>
          </cell>
          <cell r="Y58">
            <v>802.91666666666663</v>
          </cell>
          <cell r="Z58">
            <v>802.91666666666663</v>
          </cell>
          <cell r="AA58">
            <v>802.91666666666663</v>
          </cell>
          <cell r="AE58">
            <v>802.91666666666663</v>
          </cell>
          <cell r="AF58">
            <v>802.91666666666663</v>
          </cell>
          <cell r="AG58">
            <v>802.91666666666663</v>
          </cell>
        </row>
        <row r="64">
          <cell r="M64">
            <v>60</v>
          </cell>
          <cell r="N64">
            <v>90</v>
          </cell>
          <cell r="O64">
            <v>110</v>
          </cell>
          <cell r="S64">
            <v>75</v>
          </cell>
          <cell r="T64">
            <v>120</v>
          </cell>
          <cell r="U64">
            <v>100</v>
          </cell>
          <cell r="Y64">
            <v>120</v>
          </cell>
          <cell r="Z64">
            <v>75</v>
          </cell>
          <cell r="AA64">
            <v>110</v>
          </cell>
          <cell r="AE64">
            <v>125</v>
          </cell>
          <cell r="AF64">
            <v>200</v>
          </cell>
          <cell r="AG64">
            <v>75</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7 OIR"/>
      <sheetName val="POA 2021 OIR "/>
      <sheetName val="formato"/>
      <sheetName val="POA 2021 OIR  (para imprimir)"/>
    </sheetNames>
    <sheetDataSet>
      <sheetData sheetId="0" refreshError="1"/>
      <sheetData sheetId="1" refreshError="1">
        <row r="15">
          <cell r="N15">
            <v>250</v>
          </cell>
        </row>
        <row r="16">
          <cell r="AF16">
            <v>250</v>
          </cell>
        </row>
        <row r="20">
          <cell r="M20">
            <v>495.95</v>
          </cell>
        </row>
        <row r="21">
          <cell r="M21">
            <v>1033.23</v>
          </cell>
          <cell r="N21">
            <v>1033.23</v>
          </cell>
          <cell r="O21">
            <v>1033.23</v>
          </cell>
          <cell r="S21">
            <v>1033.23</v>
          </cell>
          <cell r="T21">
            <v>1033.23</v>
          </cell>
          <cell r="U21">
            <v>1033.23</v>
          </cell>
          <cell r="Y21">
            <v>1033.23</v>
          </cell>
          <cell r="Z21">
            <v>1033.23</v>
          </cell>
          <cell r="AA21">
            <v>1033.23</v>
          </cell>
          <cell r="AE21">
            <v>1033.23</v>
          </cell>
          <cell r="AF21">
            <v>1033.23</v>
          </cell>
          <cell r="AG21">
            <v>1033.22</v>
          </cell>
        </row>
        <row r="22">
          <cell r="M22">
            <v>1033.23</v>
          </cell>
          <cell r="N22">
            <v>1033.23</v>
          </cell>
          <cell r="O22">
            <v>1033.23</v>
          </cell>
          <cell r="S22">
            <v>1033.23</v>
          </cell>
          <cell r="T22">
            <v>1033.23</v>
          </cell>
          <cell r="U22">
            <v>1033.23</v>
          </cell>
          <cell r="Y22">
            <v>1033.23</v>
          </cell>
          <cell r="Z22">
            <v>1033.23</v>
          </cell>
          <cell r="AA22">
            <v>1033.23</v>
          </cell>
          <cell r="AE22">
            <v>1033.23</v>
          </cell>
          <cell r="AF22">
            <v>1033.23</v>
          </cell>
          <cell r="AG22">
            <v>1033.22</v>
          </cell>
        </row>
        <row r="23">
          <cell r="M23">
            <v>3223.67</v>
          </cell>
          <cell r="Y23">
            <v>3223.68</v>
          </cell>
        </row>
        <row r="25">
          <cell r="M25">
            <v>206.64</v>
          </cell>
          <cell r="N25">
            <v>206.65</v>
          </cell>
          <cell r="O25">
            <v>206.65</v>
          </cell>
          <cell r="S25">
            <v>206.65</v>
          </cell>
          <cell r="T25">
            <v>206.65</v>
          </cell>
          <cell r="U25">
            <v>206.65</v>
          </cell>
          <cell r="Y25">
            <v>206.65</v>
          </cell>
          <cell r="Z25">
            <v>206.65</v>
          </cell>
          <cell r="AA25">
            <v>206.64</v>
          </cell>
          <cell r="AE25">
            <v>206.64</v>
          </cell>
          <cell r="AF25">
            <v>206.64</v>
          </cell>
          <cell r="AG25">
            <v>206.64</v>
          </cell>
        </row>
        <row r="26">
          <cell r="M26">
            <v>206.64</v>
          </cell>
          <cell r="N26">
            <v>206.65</v>
          </cell>
          <cell r="O26">
            <v>206.65</v>
          </cell>
          <cell r="S26">
            <v>206.65</v>
          </cell>
          <cell r="T26">
            <v>206.65</v>
          </cell>
          <cell r="U26">
            <v>206.65</v>
          </cell>
          <cell r="Y26">
            <v>206.65</v>
          </cell>
          <cell r="Z26">
            <v>206.65</v>
          </cell>
          <cell r="AA26">
            <v>206.64</v>
          </cell>
          <cell r="AE26">
            <v>206.64</v>
          </cell>
          <cell r="AF26">
            <v>206.64</v>
          </cell>
          <cell r="AG26">
            <v>206.64</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8"/>
  <sheetViews>
    <sheetView tabSelected="1" view="pageBreakPreview" zoomScale="60" zoomScaleNormal="100" workbookViewId="0">
      <selection sqref="A1:AQ1"/>
    </sheetView>
  </sheetViews>
  <sheetFormatPr baseColWidth="10" defaultRowHeight="14.4"/>
  <cols>
    <col min="1" max="1" width="18.88671875" customWidth="1"/>
    <col min="2" max="2" width="29.88671875" customWidth="1"/>
    <col min="3" max="3" width="8.6640625" customWidth="1"/>
    <col min="4" max="4" width="15.6640625" customWidth="1"/>
    <col min="5" max="5" width="21.5546875" customWidth="1"/>
    <col min="6" max="6" width="17.109375" customWidth="1"/>
    <col min="7" max="7" width="9.33203125" customWidth="1"/>
    <col min="8" max="8" width="7.6640625" customWidth="1"/>
    <col min="9" max="9" width="9.44140625" customWidth="1"/>
    <col min="10" max="10" width="5.5546875" customWidth="1"/>
    <col min="11" max="11" width="7.33203125" customWidth="1"/>
    <col min="12" max="12" width="7.88671875" customWidth="1"/>
    <col min="13" max="13" width="13.33203125" customWidth="1"/>
    <col min="14" max="15" width="14" bestFit="1" customWidth="1"/>
    <col min="16" max="16" width="6.109375" customWidth="1"/>
    <col min="17" max="18" width="7.5546875" customWidth="1"/>
    <col min="19" max="21" width="14" bestFit="1" customWidth="1"/>
    <col min="22" max="22" width="7.5546875" customWidth="1"/>
    <col min="23" max="23" width="7" customWidth="1"/>
    <col min="24" max="24" width="6.44140625" customWidth="1"/>
    <col min="25" max="25" width="14" customWidth="1"/>
    <col min="26" max="26" width="14" bestFit="1" customWidth="1"/>
    <col min="27" max="27" width="14" customWidth="1"/>
    <col min="28" max="29" width="5.88671875" bestFit="1" customWidth="1"/>
    <col min="30" max="30" width="6.88671875" customWidth="1"/>
    <col min="31" max="33" width="14" bestFit="1" customWidth="1"/>
    <col min="34" max="35" width="15.6640625" customWidth="1"/>
    <col min="36" max="36" width="7" customWidth="1"/>
    <col min="37" max="37" width="6.109375" customWidth="1"/>
    <col min="38" max="38" width="15.33203125" customWidth="1"/>
    <col min="39" max="39" width="14.88671875" customWidth="1"/>
    <col min="40" max="40" width="14.5546875" customWidth="1"/>
    <col min="41" max="41" width="19.109375" customWidth="1"/>
    <col min="42" max="42" width="19.6640625" customWidth="1"/>
    <col min="43" max="43" width="21.109375" customWidth="1"/>
  </cols>
  <sheetData>
    <row r="1" spans="1:43" ht="17.399999999999999">
      <c r="A1" s="1937" t="s">
        <v>0</v>
      </c>
      <c r="B1" s="1937"/>
      <c r="C1" s="1937"/>
      <c r="D1" s="1937"/>
      <c r="E1" s="1937"/>
      <c r="F1" s="1937"/>
      <c r="G1" s="1937"/>
      <c r="H1" s="1937"/>
      <c r="I1" s="1937"/>
      <c r="J1" s="1937"/>
      <c r="K1" s="1937"/>
      <c r="L1" s="1937"/>
      <c r="M1" s="1937"/>
      <c r="N1" s="1937"/>
      <c r="O1" s="1937"/>
      <c r="P1" s="1937"/>
      <c r="Q1" s="1937"/>
      <c r="R1" s="1937"/>
      <c r="S1" s="1937"/>
      <c r="T1" s="1937"/>
      <c r="U1" s="1937"/>
      <c r="V1" s="1937"/>
      <c r="W1" s="1937"/>
      <c r="X1" s="1937"/>
      <c r="Y1" s="1937"/>
      <c r="Z1" s="1937"/>
      <c r="AA1" s="1937"/>
      <c r="AB1" s="1937"/>
      <c r="AC1" s="1937"/>
      <c r="AD1" s="1937"/>
      <c r="AE1" s="1937"/>
      <c r="AF1" s="1937"/>
      <c r="AG1" s="1937"/>
      <c r="AH1" s="1937"/>
      <c r="AI1" s="1937"/>
      <c r="AJ1" s="1937"/>
      <c r="AK1" s="1937"/>
      <c r="AL1" s="1937"/>
      <c r="AM1" s="1937"/>
      <c r="AN1" s="1937"/>
      <c r="AO1" s="1937"/>
      <c r="AP1" s="1937"/>
      <c r="AQ1" s="1937"/>
    </row>
    <row r="2" spans="1:43" ht="17.399999999999999">
      <c r="A2" s="1937" t="s">
        <v>1</v>
      </c>
      <c r="B2" s="1937"/>
      <c r="C2" s="1937"/>
      <c r="D2" s="1937"/>
      <c r="E2" s="1937"/>
      <c r="F2" s="1937"/>
      <c r="G2" s="1937"/>
      <c r="H2" s="1937"/>
      <c r="I2" s="1937"/>
      <c r="J2" s="1937"/>
      <c r="K2" s="1937"/>
      <c r="L2" s="1937"/>
      <c r="M2" s="1937"/>
      <c r="N2" s="1937"/>
      <c r="O2" s="1937"/>
      <c r="P2" s="1937"/>
      <c r="Q2" s="1937"/>
      <c r="R2" s="1937"/>
      <c r="S2" s="1937"/>
      <c r="T2" s="1937"/>
      <c r="U2" s="1937"/>
      <c r="V2" s="1937"/>
      <c r="W2" s="1937"/>
      <c r="X2" s="1937"/>
      <c r="Y2" s="1937"/>
      <c r="Z2" s="1937"/>
      <c r="AA2" s="1937"/>
      <c r="AB2" s="1937"/>
      <c r="AC2" s="1937"/>
      <c r="AD2" s="1937"/>
      <c r="AE2" s="1937"/>
      <c r="AF2" s="1937"/>
      <c r="AG2" s="1937"/>
      <c r="AH2" s="1937"/>
      <c r="AI2" s="1937"/>
      <c r="AJ2" s="1937"/>
      <c r="AK2" s="1937"/>
      <c r="AL2" s="1937"/>
      <c r="AM2" s="1937"/>
      <c r="AN2" s="1937"/>
      <c r="AO2" s="1937"/>
      <c r="AP2" s="1937"/>
      <c r="AQ2" s="1937"/>
    </row>
    <row r="3" spans="1:43" ht="17.399999999999999">
      <c r="A3" s="1938"/>
      <c r="B3" s="1938"/>
      <c r="C3" s="1938"/>
      <c r="D3" s="1938"/>
      <c r="E3" s="1938"/>
      <c r="F3" s="1938"/>
      <c r="G3" s="1938"/>
      <c r="H3" s="1938"/>
      <c r="I3" s="1938"/>
      <c r="J3" s="1938"/>
      <c r="K3" s="1938"/>
      <c r="L3" s="1938"/>
      <c r="M3" s="1938"/>
      <c r="N3" s="1938"/>
      <c r="O3" s="1938"/>
      <c r="P3" s="1938"/>
      <c r="Q3" s="1938"/>
      <c r="R3" s="1938"/>
      <c r="S3" s="1938"/>
      <c r="T3" s="1938"/>
      <c r="U3" s="1938"/>
      <c r="V3" s="1938"/>
      <c r="W3" s="1938"/>
      <c r="X3" s="1938"/>
      <c r="Y3" s="1938"/>
      <c r="Z3" s="1938"/>
      <c r="AA3" s="1938"/>
      <c r="AB3" s="1938"/>
      <c r="AC3" s="1938"/>
      <c r="AD3" s="1938"/>
      <c r="AE3" s="1938"/>
      <c r="AF3" s="1938"/>
      <c r="AG3" s="1938"/>
      <c r="AH3" s="1938"/>
      <c r="AI3" s="1938"/>
      <c r="AJ3" s="1938"/>
      <c r="AK3" s="1938"/>
      <c r="AL3" s="1938"/>
      <c r="AM3" s="1938"/>
      <c r="AN3" s="1938"/>
      <c r="AO3" s="1938"/>
      <c r="AP3" s="1938"/>
      <c r="AQ3" s="1938"/>
    </row>
    <row r="4" spans="1:43" ht="17.399999999999999">
      <c r="A4" s="1"/>
      <c r="B4" s="2" t="s">
        <v>2</v>
      </c>
      <c r="C4" s="2"/>
      <c r="D4" s="2"/>
      <c r="E4" s="2"/>
      <c r="F4" s="2"/>
      <c r="G4" s="2"/>
      <c r="H4" s="2"/>
      <c r="I4" s="2"/>
      <c r="J4" s="2"/>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row>
    <row r="5" spans="1:43" ht="17.399999999999999">
      <c r="A5" s="1"/>
      <c r="B5" s="2" t="s">
        <v>3</v>
      </c>
      <c r="C5" s="2"/>
      <c r="D5" s="2"/>
      <c r="E5" s="2"/>
      <c r="F5" s="2"/>
      <c r="G5" s="2"/>
      <c r="H5" s="2"/>
      <c r="I5" s="2"/>
      <c r="J5" s="2"/>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row>
    <row r="6" spans="1:43" ht="17.399999999999999">
      <c r="A6" s="1"/>
      <c r="B6" s="3" t="s">
        <v>4</v>
      </c>
      <c r="C6" s="3"/>
      <c r="D6" s="3"/>
      <c r="E6" s="1"/>
      <c r="F6" s="1"/>
      <c r="G6" s="1"/>
      <c r="H6" s="1"/>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row>
    <row r="7" spans="1:43" ht="15.6">
      <c r="A7" s="1939" t="s">
        <v>5</v>
      </c>
      <c r="B7" s="1942" t="s">
        <v>6</v>
      </c>
      <c r="C7" s="1942" t="s">
        <v>7</v>
      </c>
      <c r="D7" s="1942" t="s">
        <v>8</v>
      </c>
      <c r="E7" s="1942" t="s">
        <v>9</v>
      </c>
      <c r="F7" s="1943" t="s">
        <v>10</v>
      </c>
      <c r="G7" s="1946" t="s">
        <v>11</v>
      </c>
      <c r="H7" s="1947" t="s">
        <v>12</v>
      </c>
      <c r="I7" s="1947" t="s">
        <v>13</v>
      </c>
      <c r="J7" s="1950" t="s">
        <v>14</v>
      </c>
      <c r="K7" s="1951"/>
      <c r="L7" s="1951"/>
      <c r="M7" s="1951"/>
      <c r="N7" s="1951"/>
      <c r="O7" s="1951"/>
      <c r="P7" s="1951"/>
      <c r="Q7" s="1951"/>
      <c r="R7" s="1951"/>
      <c r="S7" s="1951"/>
      <c r="T7" s="1951"/>
      <c r="U7" s="1951"/>
      <c r="V7" s="1951"/>
      <c r="W7" s="1951"/>
      <c r="X7" s="1951"/>
      <c r="Y7" s="1951"/>
      <c r="Z7" s="1951"/>
      <c r="AA7" s="1951"/>
      <c r="AB7" s="1951"/>
      <c r="AC7" s="1951"/>
      <c r="AD7" s="1951"/>
      <c r="AE7" s="1951"/>
      <c r="AF7" s="1951"/>
      <c r="AG7" s="1951"/>
      <c r="AH7" s="1952"/>
      <c r="AI7" s="1953" t="s">
        <v>15</v>
      </c>
      <c r="AJ7" s="1953"/>
      <c r="AK7" s="1953"/>
      <c r="AL7" s="1953"/>
      <c r="AM7" s="1953"/>
      <c r="AN7" s="1953"/>
      <c r="AO7" s="1953" t="s">
        <v>16</v>
      </c>
      <c r="AP7" s="1953" t="s">
        <v>17</v>
      </c>
      <c r="AQ7" s="1953" t="s">
        <v>18</v>
      </c>
    </row>
    <row r="8" spans="1:43" ht="15.6">
      <c r="A8" s="1940"/>
      <c r="B8" s="1942"/>
      <c r="C8" s="1942"/>
      <c r="D8" s="1942"/>
      <c r="E8" s="1942"/>
      <c r="F8" s="1944"/>
      <c r="G8" s="1946"/>
      <c r="H8" s="1948"/>
      <c r="I8" s="1948"/>
      <c r="J8" s="1942" t="s">
        <v>19</v>
      </c>
      <c r="K8" s="1942"/>
      <c r="L8" s="1942"/>
      <c r="M8" s="1942"/>
      <c r="N8" s="1942"/>
      <c r="O8" s="1942"/>
      <c r="P8" s="1942" t="s">
        <v>20</v>
      </c>
      <c r="Q8" s="1942"/>
      <c r="R8" s="1942"/>
      <c r="S8" s="1942"/>
      <c r="T8" s="1942"/>
      <c r="U8" s="1942"/>
      <c r="V8" s="1942" t="s">
        <v>21</v>
      </c>
      <c r="W8" s="1942"/>
      <c r="X8" s="1942"/>
      <c r="Y8" s="1942"/>
      <c r="Z8" s="1942"/>
      <c r="AA8" s="1942"/>
      <c r="AB8" s="1942" t="s">
        <v>22</v>
      </c>
      <c r="AC8" s="1942"/>
      <c r="AD8" s="1942"/>
      <c r="AE8" s="1942"/>
      <c r="AF8" s="1942"/>
      <c r="AG8" s="1942"/>
      <c r="AH8" s="1942" t="s">
        <v>23</v>
      </c>
      <c r="AI8" s="1957" t="s">
        <v>24</v>
      </c>
      <c r="AJ8" s="1954" t="s">
        <v>25</v>
      </c>
      <c r="AK8" s="1954" t="s">
        <v>26</v>
      </c>
      <c r="AL8" s="1958" t="s">
        <v>27</v>
      </c>
      <c r="AM8" s="1954" t="s">
        <v>28</v>
      </c>
      <c r="AN8" s="1954" t="s">
        <v>29</v>
      </c>
      <c r="AO8" s="1953"/>
      <c r="AP8" s="1953"/>
      <c r="AQ8" s="1953"/>
    </row>
    <row r="9" spans="1:43" ht="15.6">
      <c r="A9" s="1940"/>
      <c r="B9" s="1942"/>
      <c r="C9" s="1942"/>
      <c r="D9" s="1942"/>
      <c r="E9" s="1942"/>
      <c r="F9" s="1944"/>
      <c r="G9" s="1946"/>
      <c r="H9" s="1948"/>
      <c r="I9" s="1948"/>
      <c r="J9" s="1942" t="s">
        <v>30</v>
      </c>
      <c r="K9" s="1942"/>
      <c r="L9" s="1942"/>
      <c r="M9" s="1942" t="s">
        <v>31</v>
      </c>
      <c r="N9" s="1942"/>
      <c r="O9" s="1942"/>
      <c r="P9" s="1942" t="s">
        <v>30</v>
      </c>
      <c r="Q9" s="1942"/>
      <c r="R9" s="1942"/>
      <c r="S9" s="1942" t="s">
        <v>31</v>
      </c>
      <c r="T9" s="1942"/>
      <c r="U9" s="1942"/>
      <c r="V9" s="1942" t="s">
        <v>30</v>
      </c>
      <c r="W9" s="1942"/>
      <c r="X9" s="1942"/>
      <c r="Y9" s="1942" t="s">
        <v>31</v>
      </c>
      <c r="Z9" s="1942"/>
      <c r="AA9" s="1942"/>
      <c r="AB9" s="1942" t="s">
        <v>30</v>
      </c>
      <c r="AC9" s="1942"/>
      <c r="AD9" s="1942"/>
      <c r="AE9" s="1942" t="s">
        <v>31</v>
      </c>
      <c r="AF9" s="1942"/>
      <c r="AG9" s="1942"/>
      <c r="AH9" s="1942"/>
      <c r="AI9" s="1957"/>
      <c r="AJ9" s="1955"/>
      <c r="AK9" s="1955"/>
      <c r="AL9" s="1959"/>
      <c r="AM9" s="1955"/>
      <c r="AN9" s="1955"/>
      <c r="AO9" s="1953"/>
      <c r="AP9" s="1953"/>
      <c r="AQ9" s="1953"/>
    </row>
    <row r="10" spans="1:43" ht="15.6">
      <c r="A10" s="1941"/>
      <c r="B10" s="1942"/>
      <c r="C10" s="1942"/>
      <c r="D10" s="1942"/>
      <c r="E10" s="1942"/>
      <c r="F10" s="1945"/>
      <c r="G10" s="1946"/>
      <c r="H10" s="1949"/>
      <c r="I10" s="1949"/>
      <c r="J10" s="5" t="s">
        <v>32</v>
      </c>
      <c r="K10" s="5" t="s">
        <v>33</v>
      </c>
      <c r="L10" s="5" t="s">
        <v>34</v>
      </c>
      <c r="M10" s="5" t="s">
        <v>32</v>
      </c>
      <c r="N10" s="5" t="s">
        <v>33</v>
      </c>
      <c r="O10" s="5" t="s">
        <v>34</v>
      </c>
      <c r="P10" s="5" t="s">
        <v>35</v>
      </c>
      <c r="Q10" s="5" t="s">
        <v>34</v>
      </c>
      <c r="R10" s="5" t="s">
        <v>36</v>
      </c>
      <c r="S10" s="5" t="s">
        <v>35</v>
      </c>
      <c r="T10" s="5" t="s">
        <v>34</v>
      </c>
      <c r="U10" s="5" t="s">
        <v>36</v>
      </c>
      <c r="V10" s="5" t="s">
        <v>36</v>
      </c>
      <c r="W10" s="5" t="s">
        <v>35</v>
      </c>
      <c r="X10" s="5" t="s">
        <v>37</v>
      </c>
      <c r="Y10" s="5" t="s">
        <v>36</v>
      </c>
      <c r="Z10" s="5" t="s">
        <v>35</v>
      </c>
      <c r="AA10" s="5" t="s">
        <v>37</v>
      </c>
      <c r="AB10" s="5" t="s">
        <v>38</v>
      </c>
      <c r="AC10" s="5" t="s">
        <v>39</v>
      </c>
      <c r="AD10" s="5" t="s">
        <v>40</v>
      </c>
      <c r="AE10" s="5" t="s">
        <v>38</v>
      </c>
      <c r="AF10" s="5" t="s">
        <v>39</v>
      </c>
      <c r="AG10" s="5" t="s">
        <v>40</v>
      </c>
      <c r="AH10" s="1942"/>
      <c r="AI10" s="1957"/>
      <c r="AJ10" s="1956"/>
      <c r="AK10" s="1955"/>
      <c r="AL10" s="1959"/>
      <c r="AM10" s="1956"/>
      <c r="AN10" s="1956"/>
      <c r="AO10" s="1953"/>
      <c r="AP10" s="1953"/>
      <c r="AQ10" s="1953"/>
    </row>
    <row r="11" spans="1:43" ht="60">
      <c r="A11" s="6" t="s">
        <v>41</v>
      </c>
      <c r="B11" s="6" t="s">
        <v>42</v>
      </c>
      <c r="C11" s="7"/>
      <c r="D11" s="6"/>
      <c r="E11" s="6"/>
      <c r="F11" s="6"/>
      <c r="G11" s="8">
        <f t="shared" ref="G11:G74" si="0">$AH11/$AH$118*100</f>
        <v>86.849592776368922</v>
      </c>
      <c r="H11" s="8"/>
      <c r="I11" s="8"/>
      <c r="J11" s="7"/>
      <c r="K11" s="7"/>
      <c r="L11" s="7"/>
      <c r="M11" s="9">
        <f>M12</f>
        <v>44421.004036956918</v>
      </c>
      <c r="N11" s="9">
        <f t="shared" ref="N11:AG11" si="1">N12</f>
        <v>106720.21426367883</v>
      </c>
      <c r="O11" s="9">
        <f t="shared" si="1"/>
        <v>142425.43754733104</v>
      </c>
      <c r="P11" s="9"/>
      <c r="Q11" s="9"/>
      <c r="R11" s="9"/>
      <c r="S11" s="9">
        <f t="shared" si="1"/>
        <v>156488.97562696715</v>
      </c>
      <c r="T11" s="9">
        <f t="shared" si="1"/>
        <v>135677.75141952286</v>
      </c>
      <c r="U11" s="9">
        <f t="shared" si="1"/>
        <v>254086.4640687191</v>
      </c>
      <c r="V11" s="9"/>
      <c r="W11" s="9"/>
      <c r="X11" s="9"/>
      <c r="Y11" s="9">
        <f t="shared" si="1"/>
        <v>216625.08086229456</v>
      </c>
      <c r="Z11" s="9">
        <f t="shared" si="1"/>
        <v>265089.21054608712</v>
      </c>
      <c r="AA11" s="9">
        <f t="shared" si="1"/>
        <v>250091.30963880054</v>
      </c>
      <c r="AB11" s="9"/>
      <c r="AC11" s="9"/>
      <c r="AD11" s="9"/>
      <c r="AE11" s="9">
        <f t="shared" si="1"/>
        <v>183840.94234752061</v>
      </c>
      <c r="AF11" s="9">
        <f t="shared" si="1"/>
        <v>294938.85786320112</v>
      </c>
      <c r="AG11" s="9">
        <f t="shared" si="1"/>
        <v>280129.75177892012</v>
      </c>
      <c r="AH11" s="9">
        <f t="shared" ref="AH11:AI11" si="2">+AH12</f>
        <v>2330535</v>
      </c>
      <c r="AI11" s="9">
        <f t="shared" si="2"/>
        <v>1264405</v>
      </c>
      <c r="AJ11" s="9"/>
      <c r="AK11" s="9"/>
      <c r="AL11" s="9">
        <f>+AL12</f>
        <v>666130</v>
      </c>
      <c r="AM11" s="9"/>
      <c r="AN11" s="9">
        <f>+AN12</f>
        <v>400000</v>
      </c>
      <c r="AO11" s="6"/>
      <c r="AP11" s="6" t="s">
        <v>43</v>
      </c>
      <c r="AQ11" s="6"/>
    </row>
    <row r="12" spans="1:43" ht="60">
      <c r="A12" s="10" t="s">
        <v>44</v>
      </c>
      <c r="B12" s="10" t="s">
        <v>45</v>
      </c>
      <c r="C12" s="11"/>
      <c r="D12" s="10"/>
      <c r="E12" s="10"/>
      <c r="F12" s="10"/>
      <c r="G12" s="12">
        <f t="shared" si="0"/>
        <v>86.849592776368922</v>
      </c>
      <c r="H12" s="12"/>
      <c r="I12" s="12"/>
      <c r="J12" s="11"/>
      <c r="K12" s="11"/>
      <c r="L12" s="11"/>
      <c r="M12" s="13">
        <f>M13+M33+M55+M62+M75</f>
        <v>44421.004036956918</v>
      </c>
      <c r="N12" s="13">
        <f>N13+N33+N55+N62+N75</f>
        <v>106720.21426367883</v>
      </c>
      <c r="O12" s="13">
        <f>O13+O33+O55+O62+O75</f>
        <v>142425.43754733104</v>
      </c>
      <c r="P12" s="13"/>
      <c r="Q12" s="13"/>
      <c r="R12" s="13"/>
      <c r="S12" s="13">
        <f>S13+S33+S55+S62+S75</f>
        <v>156488.97562696715</v>
      </c>
      <c r="T12" s="13">
        <f>T13+T33+T55+T62+T75</f>
        <v>135677.75141952286</v>
      </c>
      <c r="U12" s="13">
        <f>U13+U33+U55+U62+U75</f>
        <v>254086.4640687191</v>
      </c>
      <c r="V12" s="13"/>
      <c r="W12" s="13"/>
      <c r="X12" s="13"/>
      <c r="Y12" s="13">
        <f>Y13+Y33+Y55+Y62+Y75</f>
        <v>216625.08086229456</v>
      </c>
      <c r="Z12" s="13">
        <f>Z13+Z33+Z55+Z62+Z75</f>
        <v>265089.21054608712</v>
      </c>
      <c r="AA12" s="13">
        <f>AA13+AA33+AA55+AA62+AA75</f>
        <v>250091.30963880054</v>
      </c>
      <c r="AB12" s="13"/>
      <c r="AC12" s="13"/>
      <c r="AD12" s="13"/>
      <c r="AE12" s="13">
        <f>AE13+AE33+AE55+AE62+AE75</f>
        <v>183840.94234752061</v>
      </c>
      <c r="AF12" s="13">
        <f>AF13+AF33+AF55+AF62+AF75</f>
        <v>294938.85786320112</v>
      </c>
      <c r="AG12" s="13">
        <f>AG13+AG33+AG55+AG62+AG75</f>
        <v>280129.75177892012</v>
      </c>
      <c r="AH12" s="13">
        <f>+AH13+AH33+AH55+AH62+AH75</f>
        <v>2330535</v>
      </c>
      <c r="AI12" s="13">
        <f>+AI13+AI33+AI55+AI62+AI75</f>
        <v>1264405</v>
      </c>
      <c r="AJ12" s="13"/>
      <c r="AK12" s="13"/>
      <c r="AL12" s="13">
        <f>+AL13+AL33+AL55+AL62+AL75</f>
        <v>666130</v>
      </c>
      <c r="AM12" s="13"/>
      <c r="AN12" s="13">
        <f>+AN13+AN33+AN55+AN62+AN75</f>
        <v>400000</v>
      </c>
      <c r="AO12" s="10"/>
      <c r="AP12" s="10" t="s">
        <v>43</v>
      </c>
      <c r="AQ12" s="10"/>
    </row>
    <row r="13" spans="1:43" ht="30">
      <c r="A13" s="14" t="s">
        <v>46</v>
      </c>
      <c r="B13" s="14" t="s">
        <v>47</v>
      </c>
      <c r="C13" s="15"/>
      <c r="D13" s="14"/>
      <c r="E13" s="14"/>
      <c r="F13" s="14"/>
      <c r="G13" s="16">
        <f t="shared" si="0"/>
        <v>40.312065036529944</v>
      </c>
      <c r="H13" s="16"/>
      <c r="I13" s="16"/>
      <c r="J13" s="15"/>
      <c r="K13" s="15"/>
      <c r="L13" s="15"/>
      <c r="M13" s="17">
        <f>M14+M20+M22+M24+M27+M29</f>
        <v>8350</v>
      </c>
      <c r="N13" s="17">
        <f t="shared" ref="N13:AG13" si="3">N14+N20+N22+N24+N27+N29</f>
        <v>27489.86359634644</v>
      </c>
      <c r="O13" s="17">
        <f t="shared" si="3"/>
        <v>85397.279058028245</v>
      </c>
      <c r="P13" s="17"/>
      <c r="Q13" s="17"/>
      <c r="R13" s="17"/>
      <c r="S13" s="17">
        <f t="shared" si="3"/>
        <v>82923.331939277181</v>
      </c>
      <c r="T13" s="17">
        <f t="shared" si="3"/>
        <v>63769.509735307933</v>
      </c>
      <c r="U13" s="17">
        <f t="shared" si="3"/>
        <v>83772.46278684448</v>
      </c>
      <c r="V13" s="17"/>
      <c r="W13" s="17"/>
      <c r="X13" s="17"/>
      <c r="Y13" s="17">
        <f t="shared" si="3"/>
        <v>64366.471814904668</v>
      </c>
      <c r="Z13" s="17">
        <f t="shared" si="3"/>
        <v>165595.77898635811</v>
      </c>
      <c r="AA13" s="17">
        <f t="shared" si="3"/>
        <v>125378.88714871681</v>
      </c>
      <c r="AB13" s="17"/>
      <c r="AC13" s="17"/>
      <c r="AD13" s="17"/>
      <c r="AE13" s="17">
        <f t="shared" si="3"/>
        <v>88748.269857436928</v>
      </c>
      <c r="AF13" s="17">
        <f t="shared" si="3"/>
        <v>88330.679277726784</v>
      </c>
      <c r="AG13" s="17">
        <f t="shared" si="3"/>
        <v>197617.46579905244</v>
      </c>
      <c r="AH13" s="17">
        <f t="shared" ref="AH13:AI13" si="4">+AH14+AH20+AH22+AH24+AH27+AH29</f>
        <v>1081740</v>
      </c>
      <c r="AI13" s="17">
        <f t="shared" si="4"/>
        <v>463210</v>
      </c>
      <c r="AJ13" s="17"/>
      <c r="AK13" s="17"/>
      <c r="AL13" s="17">
        <f t="shared" ref="AL13:AN13" si="5">+AL14+AL20+AL22+AL24+AL27+AL29</f>
        <v>218530</v>
      </c>
      <c r="AM13" s="17"/>
      <c r="AN13" s="17">
        <f t="shared" si="5"/>
        <v>400000</v>
      </c>
      <c r="AO13" s="14"/>
      <c r="AP13" s="14" t="s">
        <v>43</v>
      </c>
      <c r="AQ13" s="14"/>
    </row>
    <row r="14" spans="1:43" ht="45">
      <c r="A14" s="18" t="s">
        <v>48</v>
      </c>
      <c r="B14" s="18" t="s">
        <v>49</v>
      </c>
      <c r="C14" s="19"/>
      <c r="D14" s="18" t="s">
        <v>50</v>
      </c>
      <c r="E14" s="18" t="s">
        <v>51</v>
      </c>
      <c r="F14" s="18" t="s">
        <v>52</v>
      </c>
      <c r="G14" s="20">
        <f t="shared" si="0"/>
        <v>6.9964951377256224</v>
      </c>
      <c r="H14" s="20"/>
      <c r="I14" s="20"/>
      <c r="J14" s="19"/>
      <c r="K14" s="19"/>
      <c r="L14" s="19"/>
      <c r="M14" s="21">
        <f>SUM(M15:M19)</f>
        <v>8350</v>
      </c>
      <c r="N14" s="21">
        <f t="shared" ref="N14:O14" si="6">SUM(N15:N19)</f>
        <v>18302.870842723252</v>
      </c>
      <c r="O14" s="21">
        <f t="shared" si="6"/>
        <v>19175.681401047405</v>
      </c>
      <c r="P14" s="19"/>
      <c r="Q14" s="19"/>
      <c r="R14" s="19"/>
      <c r="S14" s="21">
        <f t="shared" ref="S14:U14" si="7">SUM(S15:S19)</f>
        <v>16153.281351363588</v>
      </c>
      <c r="T14" s="21">
        <f t="shared" si="7"/>
        <v>17908.459010670245</v>
      </c>
      <c r="U14" s="21">
        <f t="shared" si="7"/>
        <v>17594.112021189572</v>
      </c>
      <c r="V14" s="19"/>
      <c r="W14" s="19"/>
      <c r="X14" s="19"/>
      <c r="Y14" s="21">
        <f t="shared" ref="Y14:AA14" si="8">SUM(Y15:Y19)</f>
        <v>18505.42109026698</v>
      </c>
      <c r="Z14" s="21">
        <f t="shared" si="8"/>
        <v>16571.394928387086</v>
      </c>
      <c r="AA14" s="21">
        <f t="shared" si="8"/>
        <v>14982.563335697792</v>
      </c>
      <c r="AB14" s="19"/>
      <c r="AC14" s="19"/>
      <c r="AD14" s="19"/>
      <c r="AE14" s="21">
        <f t="shared" ref="AE14:AI14" si="9">SUM(AE15:AE19)</f>
        <v>14982.563335697792</v>
      </c>
      <c r="AF14" s="21">
        <f t="shared" si="9"/>
        <v>14982.563335697792</v>
      </c>
      <c r="AG14" s="21">
        <f t="shared" si="9"/>
        <v>10236.089347258487</v>
      </c>
      <c r="AH14" s="21">
        <f t="shared" si="9"/>
        <v>187745</v>
      </c>
      <c r="AI14" s="21">
        <f t="shared" si="9"/>
        <v>126965</v>
      </c>
      <c r="AJ14" s="21"/>
      <c r="AK14" s="21"/>
      <c r="AL14" s="21">
        <f t="shared" ref="AL14" si="10">SUM(AL15:AL19)</f>
        <v>60780</v>
      </c>
      <c r="AM14" s="21"/>
      <c r="AN14" s="21"/>
      <c r="AO14" s="18"/>
      <c r="AP14" s="18" t="s">
        <v>43</v>
      </c>
      <c r="AQ14" s="18"/>
    </row>
    <row r="15" spans="1:43" ht="60">
      <c r="A15" s="22" t="s">
        <v>53</v>
      </c>
      <c r="B15" s="22" t="s">
        <v>54</v>
      </c>
      <c r="C15" s="23">
        <v>1</v>
      </c>
      <c r="D15" s="22" t="s">
        <v>55</v>
      </c>
      <c r="E15" s="22" t="s">
        <v>56</v>
      </c>
      <c r="F15" s="22" t="s">
        <v>57</v>
      </c>
      <c r="G15" s="24">
        <f t="shared" si="0"/>
        <v>0.3111706538123995</v>
      </c>
      <c r="H15" s="24"/>
      <c r="I15" s="24">
        <v>20</v>
      </c>
      <c r="J15" s="23">
        <v>1</v>
      </c>
      <c r="K15" s="23"/>
      <c r="L15" s="23"/>
      <c r="M15" s="25">
        <f>$AH15/$C15*J15</f>
        <v>8350</v>
      </c>
      <c r="N15" s="25"/>
      <c r="O15" s="26"/>
      <c r="P15" s="23"/>
      <c r="Q15" s="23"/>
      <c r="R15" s="23"/>
      <c r="S15" s="26"/>
      <c r="T15" s="26"/>
      <c r="U15" s="26"/>
      <c r="V15" s="23"/>
      <c r="W15" s="23"/>
      <c r="X15" s="23"/>
      <c r="Y15" s="26"/>
      <c r="Z15" s="26"/>
      <c r="AA15" s="26"/>
      <c r="AB15" s="23"/>
      <c r="AC15" s="23"/>
      <c r="AD15" s="23"/>
      <c r="AE15" s="26"/>
      <c r="AF15" s="26"/>
      <c r="AG15" s="26"/>
      <c r="AH15" s="26">
        <v>8350</v>
      </c>
      <c r="AI15" s="26">
        <v>4010</v>
      </c>
      <c r="AJ15" s="26"/>
      <c r="AK15" s="26"/>
      <c r="AL15" s="26">
        <v>4340</v>
      </c>
      <c r="AM15" s="26"/>
      <c r="AN15" s="26"/>
      <c r="AO15" s="1960" t="s">
        <v>58</v>
      </c>
      <c r="AP15" s="1960" t="s">
        <v>59</v>
      </c>
      <c r="AQ15" s="1963" t="s">
        <v>60</v>
      </c>
    </row>
    <row r="16" spans="1:43" ht="30">
      <c r="A16" s="22" t="s">
        <v>61</v>
      </c>
      <c r="B16" s="22" t="s">
        <v>62</v>
      </c>
      <c r="C16" s="23">
        <v>625</v>
      </c>
      <c r="D16" s="22" t="s">
        <v>63</v>
      </c>
      <c r="E16" s="22" t="s">
        <v>64</v>
      </c>
      <c r="F16" s="22" t="s">
        <v>52</v>
      </c>
      <c r="G16" s="24">
        <f t="shared" si="0"/>
        <v>2.38707020718003</v>
      </c>
      <c r="H16" s="24"/>
      <c r="I16" s="24">
        <v>22</v>
      </c>
      <c r="J16" s="27"/>
      <c r="K16" s="27">
        <v>54</v>
      </c>
      <c r="L16" s="27">
        <v>56</v>
      </c>
      <c r="M16" s="26"/>
      <c r="N16" s="25">
        <f t="shared" ref="N16:O16" si="11">$AH16/$C16*K16</f>
        <v>5534.3519999999999</v>
      </c>
      <c r="O16" s="25">
        <f t="shared" si="11"/>
        <v>5739.3279999999995</v>
      </c>
      <c r="P16" s="27">
        <v>55</v>
      </c>
      <c r="Q16" s="27">
        <v>64</v>
      </c>
      <c r="R16" s="27">
        <v>61</v>
      </c>
      <c r="S16" s="25">
        <f t="shared" ref="S16:U19" si="12">$AH16/$C16*P16</f>
        <v>5636.84</v>
      </c>
      <c r="T16" s="25">
        <f t="shared" si="12"/>
        <v>6559.232</v>
      </c>
      <c r="U16" s="25">
        <f t="shared" si="12"/>
        <v>6251.768</v>
      </c>
      <c r="V16" s="27">
        <v>60</v>
      </c>
      <c r="W16" s="27">
        <v>55</v>
      </c>
      <c r="X16" s="27">
        <v>55</v>
      </c>
      <c r="Y16" s="25">
        <f t="shared" ref="Y16:AA19" si="13">$AH16/$C16*V16</f>
        <v>6149.28</v>
      </c>
      <c r="Z16" s="25">
        <f t="shared" si="13"/>
        <v>5636.84</v>
      </c>
      <c r="AA16" s="25">
        <f t="shared" si="13"/>
        <v>5636.84</v>
      </c>
      <c r="AB16" s="27">
        <v>55</v>
      </c>
      <c r="AC16" s="27">
        <v>55</v>
      </c>
      <c r="AD16" s="27">
        <v>55</v>
      </c>
      <c r="AE16" s="25">
        <f t="shared" ref="AE16:AG19" si="14">$AH16/$C16*AB16</f>
        <v>5636.84</v>
      </c>
      <c r="AF16" s="25">
        <f t="shared" si="14"/>
        <v>5636.84</v>
      </c>
      <c r="AG16" s="25">
        <f t="shared" si="14"/>
        <v>5636.84</v>
      </c>
      <c r="AH16" s="26">
        <v>64055</v>
      </c>
      <c r="AI16" s="26">
        <v>43560</v>
      </c>
      <c r="AJ16" s="26"/>
      <c r="AK16" s="26"/>
      <c r="AL16" s="26">
        <v>20495</v>
      </c>
      <c r="AM16" s="26"/>
      <c r="AN16" s="26"/>
      <c r="AO16" s="1961"/>
      <c r="AP16" s="1961"/>
      <c r="AQ16" s="1964"/>
    </row>
    <row r="17" spans="1:43" ht="30">
      <c r="A17" s="22" t="s">
        <v>65</v>
      </c>
      <c r="B17" s="22" t="s">
        <v>66</v>
      </c>
      <c r="C17" s="23">
        <v>766</v>
      </c>
      <c r="D17" s="22" t="s">
        <v>67</v>
      </c>
      <c r="E17" s="22" t="s">
        <v>68</v>
      </c>
      <c r="F17" s="22" t="s">
        <v>52</v>
      </c>
      <c r="G17" s="24">
        <f t="shared" si="0"/>
        <v>2.38707020718003</v>
      </c>
      <c r="H17" s="24"/>
      <c r="I17" s="24">
        <v>22</v>
      </c>
      <c r="J17" s="27"/>
      <c r="K17" s="27">
        <v>86</v>
      </c>
      <c r="L17" s="27">
        <v>92</v>
      </c>
      <c r="M17" s="26"/>
      <c r="N17" s="25">
        <f>$AH17/$C17*K17</f>
        <v>7191.553524804177</v>
      </c>
      <c r="O17" s="25">
        <f>$AH17/$C17*L17</f>
        <v>7693.2898172323758</v>
      </c>
      <c r="P17" s="27">
        <v>69</v>
      </c>
      <c r="Q17" s="27">
        <v>73</v>
      </c>
      <c r="R17" s="27">
        <v>61</v>
      </c>
      <c r="S17" s="25">
        <f t="shared" si="12"/>
        <v>5769.9673629242816</v>
      </c>
      <c r="T17" s="25">
        <f t="shared" si="12"/>
        <v>6104.4582245430802</v>
      </c>
      <c r="U17" s="25">
        <f t="shared" si="12"/>
        <v>5100.9856396866835</v>
      </c>
      <c r="V17" s="27">
        <v>91</v>
      </c>
      <c r="W17" s="27">
        <v>74</v>
      </c>
      <c r="X17" s="27">
        <v>55</v>
      </c>
      <c r="Y17" s="25">
        <f t="shared" si="13"/>
        <v>7609.6671018276757</v>
      </c>
      <c r="Z17" s="25">
        <f t="shared" si="13"/>
        <v>6188.0809399477803</v>
      </c>
      <c r="AA17" s="25">
        <f t="shared" si="13"/>
        <v>4599.2493472584856</v>
      </c>
      <c r="AB17" s="27">
        <v>55</v>
      </c>
      <c r="AC17" s="27">
        <v>55</v>
      </c>
      <c r="AD17" s="27">
        <v>55</v>
      </c>
      <c r="AE17" s="25">
        <f t="shared" si="14"/>
        <v>4599.2493472584856</v>
      </c>
      <c r="AF17" s="25">
        <f t="shared" si="14"/>
        <v>4599.2493472584856</v>
      </c>
      <c r="AG17" s="25">
        <f t="shared" si="14"/>
        <v>4599.2493472584856</v>
      </c>
      <c r="AH17" s="26">
        <v>64055</v>
      </c>
      <c r="AI17" s="26">
        <v>43560</v>
      </c>
      <c r="AJ17" s="26"/>
      <c r="AK17" s="26"/>
      <c r="AL17" s="26">
        <v>20495</v>
      </c>
      <c r="AM17" s="26"/>
      <c r="AN17" s="26"/>
      <c r="AO17" s="1961"/>
      <c r="AP17" s="1962"/>
      <c r="AQ17" s="1965"/>
    </row>
    <row r="18" spans="1:43" ht="30">
      <c r="A18" s="22" t="s">
        <v>69</v>
      </c>
      <c r="B18" s="22" t="s">
        <v>70</v>
      </c>
      <c r="C18" s="23">
        <v>10</v>
      </c>
      <c r="D18" s="22" t="s">
        <v>71</v>
      </c>
      <c r="E18" s="22" t="s">
        <v>72</v>
      </c>
      <c r="F18" s="22" t="s">
        <v>52</v>
      </c>
      <c r="G18" s="24">
        <f t="shared" si="0"/>
        <v>0.84034709502630056</v>
      </c>
      <c r="H18" s="24"/>
      <c r="I18" s="24">
        <v>12</v>
      </c>
      <c r="J18" s="27"/>
      <c r="K18" s="28">
        <v>1</v>
      </c>
      <c r="L18" s="28">
        <v>1</v>
      </c>
      <c r="M18" s="26"/>
      <c r="N18" s="25">
        <f t="shared" ref="N18:O21" si="15">$AH18/$C18*K18</f>
        <v>2255</v>
      </c>
      <c r="O18" s="25">
        <f t="shared" si="15"/>
        <v>2255</v>
      </c>
      <c r="P18" s="28">
        <v>1</v>
      </c>
      <c r="Q18" s="28">
        <v>1</v>
      </c>
      <c r="R18" s="28">
        <v>1</v>
      </c>
      <c r="S18" s="25">
        <f t="shared" si="12"/>
        <v>2255</v>
      </c>
      <c r="T18" s="25">
        <f t="shared" si="12"/>
        <v>2255</v>
      </c>
      <c r="U18" s="25">
        <f t="shared" si="12"/>
        <v>2255</v>
      </c>
      <c r="V18" s="28">
        <v>1</v>
      </c>
      <c r="W18" s="28">
        <v>1</v>
      </c>
      <c r="X18" s="28">
        <v>1</v>
      </c>
      <c r="Y18" s="25">
        <f t="shared" si="13"/>
        <v>2255</v>
      </c>
      <c r="Z18" s="25">
        <f t="shared" si="13"/>
        <v>2255</v>
      </c>
      <c r="AA18" s="25">
        <f t="shared" si="13"/>
        <v>2255</v>
      </c>
      <c r="AB18" s="28">
        <v>1</v>
      </c>
      <c r="AC18" s="28">
        <v>1</v>
      </c>
      <c r="AD18" s="28"/>
      <c r="AE18" s="25">
        <f t="shared" si="14"/>
        <v>2255</v>
      </c>
      <c r="AF18" s="25">
        <f t="shared" si="14"/>
        <v>2255</v>
      </c>
      <c r="AG18" s="25"/>
      <c r="AH18" s="26">
        <v>22550</v>
      </c>
      <c r="AI18" s="26">
        <v>16010</v>
      </c>
      <c r="AJ18" s="26"/>
      <c r="AK18" s="26"/>
      <c r="AL18" s="26">
        <v>6540</v>
      </c>
      <c r="AM18" s="26"/>
      <c r="AN18" s="26"/>
      <c r="AO18" s="1961"/>
      <c r="AP18" s="1960" t="s">
        <v>59</v>
      </c>
      <c r="AQ18" s="1960" t="s">
        <v>73</v>
      </c>
    </row>
    <row r="19" spans="1:43" ht="30">
      <c r="A19" s="22" t="s">
        <v>74</v>
      </c>
      <c r="B19" s="22" t="s">
        <v>75</v>
      </c>
      <c r="C19" s="23">
        <v>173</v>
      </c>
      <c r="D19" s="22" t="s">
        <v>67</v>
      </c>
      <c r="E19" s="22" t="s">
        <v>76</v>
      </c>
      <c r="F19" s="22" t="s">
        <v>52</v>
      </c>
      <c r="G19" s="24">
        <f t="shared" si="0"/>
        <v>1.0708369745268622</v>
      </c>
      <c r="H19" s="24"/>
      <c r="I19" s="24">
        <v>24</v>
      </c>
      <c r="J19" s="27"/>
      <c r="K19" s="29">
        <v>20</v>
      </c>
      <c r="L19" s="29">
        <v>21</v>
      </c>
      <c r="M19" s="30"/>
      <c r="N19" s="25">
        <f t="shared" si="15"/>
        <v>3321.965317919075</v>
      </c>
      <c r="O19" s="25">
        <f t="shared" si="15"/>
        <v>3488.0635838150288</v>
      </c>
      <c r="P19" s="29">
        <v>15</v>
      </c>
      <c r="Q19" s="29">
        <v>18</v>
      </c>
      <c r="R19" s="29">
        <v>24</v>
      </c>
      <c r="S19" s="25">
        <f t="shared" si="12"/>
        <v>2491.4739884393061</v>
      </c>
      <c r="T19" s="25">
        <f t="shared" si="12"/>
        <v>2989.7687861271675</v>
      </c>
      <c r="U19" s="25">
        <f t="shared" si="12"/>
        <v>3986.3583815028896</v>
      </c>
      <c r="V19" s="29">
        <v>15</v>
      </c>
      <c r="W19" s="29">
        <v>15</v>
      </c>
      <c r="X19" s="29">
        <v>15</v>
      </c>
      <c r="Y19" s="25">
        <f t="shared" si="13"/>
        <v>2491.4739884393061</v>
      </c>
      <c r="Z19" s="25">
        <f t="shared" si="13"/>
        <v>2491.4739884393061</v>
      </c>
      <c r="AA19" s="25">
        <f t="shared" si="13"/>
        <v>2491.4739884393061</v>
      </c>
      <c r="AB19" s="29">
        <v>15</v>
      </c>
      <c r="AC19" s="29">
        <v>15</v>
      </c>
      <c r="AD19" s="29"/>
      <c r="AE19" s="25">
        <f t="shared" si="14"/>
        <v>2491.4739884393061</v>
      </c>
      <c r="AF19" s="25">
        <f t="shared" si="14"/>
        <v>2491.4739884393061</v>
      </c>
      <c r="AG19" s="25"/>
      <c r="AH19" s="30">
        <v>28735</v>
      </c>
      <c r="AI19" s="30">
        <v>19825</v>
      </c>
      <c r="AJ19" s="30"/>
      <c r="AK19" s="30"/>
      <c r="AL19" s="30">
        <v>8910</v>
      </c>
      <c r="AM19" s="30"/>
      <c r="AN19" s="30"/>
      <c r="AO19" s="1962"/>
      <c r="AP19" s="1962"/>
      <c r="AQ19" s="1962"/>
    </row>
    <row r="20" spans="1:43" ht="75">
      <c r="A20" s="18" t="s">
        <v>77</v>
      </c>
      <c r="B20" s="18" t="s">
        <v>78</v>
      </c>
      <c r="C20" s="19"/>
      <c r="D20" s="18" t="s">
        <v>57</v>
      </c>
      <c r="E20" s="18" t="s">
        <v>79</v>
      </c>
      <c r="F20" s="18" t="s">
        <v>57</v>
      </c>
      <c r="G20" s="20">
        <f t="shared" si="0"/>
        <v>0.622341307624799</v>
      </c>
      <c r="H20" s="20"/>
      <c r="I20" s="20"/>
      <c r="J20" s="19"/>
      <c r="K20" s="19"/>
      <c r="L20" s="19"/>
      <c r="M20" s="21"/>
      <c r="N20" s="21"/>
      <c r="O20" s="21">
        <f>O21</f>
        <v>16700</v>
      </c>
      <c r="P20" s="19"/>
      <c r="Q20" s="19"/>
      <c r="R20" s="19"/>
      <c r="S20" s="21"/>
      <c r="T20" s="21"/>
      <c r="U20" s="21"/>
      <c r="V20" s="19"/>
      <c r="W20" s="19"/>
      <c r="X20" s="19"/>
      <c r="Y20" s="21"/>
      <c r="Z20" s="21"/>
      <c r="AA20" s="21"/>
      <c r="AB20" s="19"/>
      <c r="AC20" s="19"/>
      <c r="AD20" s="19"/>
      <c r="AE20" s="21"/>
      <c r="AF20" s="21"/>
      <c r="AG20" s="21"/>
      <c r="AH20" s="21">
        <f>AH21</f>
        <v>16700</v>
      </c>
      <c r="AI20" s="21">
        <f>AI21</f>
        <v>8020</v>
      </c>
      <c r="AJ20" s="21"/>
      <c r="AK20" s="21"/>
      <c r="AL20" s="21">
        <f>+AL21</f>
        <v>8680</v>
      </c>
      <c r="AM20" s="21"/>
      <c r="AN20" s="21"/>
      <c r="AO20" s="18"/>
      <c r="AP20" s="18" t="s">
        <v>43</v>
      </c>
      <c r="AQ20" s="18"/>
    </row>
    <row r="21" spans="1:43" ht="105">
      <c r="A21" s="22" t="s">
        <v>80</v>
      </c>
      <c r="B21" s="22" t="s">
        <v>81</v>
      </c>
      <c r="C21" s="23">
        <v>1</v>
      </c>
      <c r="D21" s="22" t="s">
        <v>57</v>
      </c>
      <c r="E21" s="22" t="s">
        <v>82</v>
      </c>
      <c r="F21" s="22" t="s">
        <v>57</v>
      </c>
      <c r="G21" s="24">
        <f t="shared" si="0"/>
        <v>0.622341307624799</v>
      </c>
      <c r="H21" s="24"/>
      <c r="I21" s="24">
        <v>100</v>
      </c>
      <c r="J21" s="23"/>
      <c r="K21" s="23"/>
      <c r="L21" s="23">
        <v>1</v>
      </c>
      <c r="M21" s="26"/>
      <c r="N21" s="26"/>
      <c r="O21" s="25">
        <f t="shared" si="15"/>
        <v>16700</v>
      </c>
      <c r="P21" s="23"/>
      <c r="Q21" s="23"/>
      <c r="R21" s="23"/>
      <c r="S21" s="26"/>
      <c r="T21" s="26"/>
      <c r="U21" s="26"/>
      <c r="V21" s="23"/>
      <c r="W21" s="23"/>
      <c r="X21" s="23"/>
      <c r="Y21" s="26"/>
      <c r="Z21" s="26"/>
      <c r="AA21" s="26"/>
      <c r="AB21" s="23"/>
      <c r="AC21" s="23"/>
      <c r="AD21" s="23"/>
      <c r="AE21" s="26"/>
      <c r="AF21" s="26"/>
      <c r="AG21" s="26"/>
      <c r="AH21" s="26">
        <v>16700</v>
      </c>
      <c r="AI21" s="26">
        <v>8020</v>
      </c>
      <c r="AJ21" s="26"/>
      <c r="AK21" s="26"/>
      <c r="AL21" s="26">
        <v>8680</v>
      </c>
      <c r="AM21" s="26"/>
      <c r="AN21" s="26"/>
      <c r="AO21" s="31" t="s">
        <v>83</v>
      </c>
      <c r="AP21" s="32" t="s">
        <v>59</v>
      </c>
      <c r="AQ21" s="22"/>
    </row>
    <row r="22" spans="1:43" ht="75">
      <c r="A22" s="18" t="s">
        <v>84</v>
      </c>
      <c r="B22" s="18" t="s">
        <v>85</v>
      </c>
      <c r="C22" s="19"/>
      <c r="D22" s="18" t="s">
        <v>86</v>
      </c>
      <c r="E22" s="18" t="s">
        <v>87</v>
      </c>
      <c r="F22" s="18" t="s">
        <v>52</v>
      </c>
      <c r="G22" s="20">
        <f t="shared" si="0"/>
        <v>14.906378625743688</v>
      </c>
      <c r="H22" s="20"/>
      <c r="I22" s="20"/>
      <c r="J22" s="19"/>
      <c r="K22" s="19"/>
      <c r="L22" s="19"/>
      <c r="M22" s="21"/>
      <c r="N22" s="21"/>
      <c r="O22" s="21"/>
      <c r="P22" s="19"/>
      <c r="Q22" s="19"/>
      <c r="R22" s="19"/>
      <c r="S22" s="21">
        <f>S23</f>
        <v>33333.333333333336</v>
      </c>
      <c r="T22" s="21">
        <f>T23</f>
        <v>33333.333333333336</v>
      </c>
      <c r="U22" s="21">
        <f>U23</f>
        <v>33333.333333333336</v>
      </c>
      <c r="V22" s="19"/>
      <c r="W22" s="19"/>
      <c r="X22" s="19"/>
      <c r="Y22" s="21">
        <f>Y23</f>
        <v>33333.333333333336</v>
      </c>
      <c r="Z22" s="21">
        <f>Z23</f>
        <v>66666.666666666672</v>
      </c>
      <c r="AA22" s="21">
        <f>AA23</f>
        <v>33333.333333333336</v>
      </c>
      <c r="AB22" s="19"/>
      <c r="AC22" s="19"/>
      <c r="AD22" s="19"/>
      <c r="AE22" s="21">
        <f>AE23</f>
        <v>66666.666666666672</v>
      </c>
      <c r="AF22" s="21">
        <f>AF23</f>
        <v>66666.666666666672</v>
      </c>
      <c r="AG22" s="21">
        <f>AG23</f>
        <v>33333.333333333336</v>
      </c>
      <c r="AH22" s="21">
        <f>AH23</f>
        <v>400000</v>
      </c>
      <c r="AI22" s="21"/>
      <c r="AJ22" s="21"/>
      <c r="AK22" s="21"/>
      <c r="AL22" s="21"/>
      <c r="AM22" s="21"/>
      <c r="AN22" s="21">
        <f t="shared" ref="AN22" si="16">+AN23</f>
        <v>400000</v>
      </c>
      <c r="AO22" s="18"/>
      <c r="AP22" s="18" t="s">
        <v>43</v>
      </c>
      <c r="AQ22" s="18"/>
    </row>
    <row r="23" spans="1:43" ht="60">
      <c r="A23" s="22" t="s">
        <v>88</v>
      </c>
      <c r="B23" s="22" t="s">
        <v>89</v>
      </c>
      <c r="C23" s="23">
        <v>12</v>
      </c>
      <c r="D23" s="22" t="s">
        <v>86</v>
      </c>
      <c r="E23" s="22" t="s">
        <v>87</v>
      </c>
      <c r="F23" s="22" t="s">
        <v>52</v>
      </c>
      <c r="G23" s="24">
        <f t="shared" si="0"/>
        <v>14.906378625743688</v>
      </c>
      <c r="H23" s="24"/>
      <c r="I23" s="24">
        <v>100</v>
      </c>
      <c r="J23" s="33"/>
      <c r="K23" s="33"/>
      <c r="L23" s="33"/>
      <c r="M23" s="30"/>
      <c r="N23" s="30"/>
      <c r="O23" s="30"/>
      <c r="P23" s="34">
        <v>1</v>
      </c>
      <c r="Q23" s="34">
        <v>1</v>
      </c>
      <c r="R23" s="34">
        <v>1</v>
      </c>
      <c r="S23" s="25">
        <f t="shared" ref="S23:U23" si="17">$AH23/$C23*P23</f>
        <v>33333.333333333336</v>
      </c>
      <c r="T23" s="25">
        <f t="shared" si="17"/>
        <v>33333.333333333336</v>
      </c>
      <c r="U23" s="25">
        <f t="shared" si="17"/>
        <v>33333.333333333336</v>
      </c>
      <c r="V23" s="34">
        <v>1</v>
      </c>
      <c r="W23" s="34">
        <v>2</v>
      </c>
      <c r="X23" s="29">
        <v>1</v>
      </c>
      <c r="Y23" s="25">
        <f t="shared" ref="Y23:AA23" si="18">$AH23/$C23*V23</f>
        <v>33333.333333333336</v>
      </c>
      <c r="Z23" s="25">
        <f t="shared" si="18"/>
        <v>66666.666666666672</v>
      </c>
      <c r="AA23" s="25">
        <f t="shared" si="18"/>
        <v>33333.333333333336</v>
      </c>
      <c r="AB23" s="29">
        <v>2</v>
      </c>
      <c r="AC23" s="29">
        <v>2</v>
      </c>
      <c r="AD23" s="29">
        <v>1</v>
      </c>
      <c r="AE23" s="25">
        <f t="shared" ref="AE23:AG26" si="19">$AH23/$C23*AB23</f>
        <v>66666.666666666672</v>
      </c>
      <c r="AF23" s="25">
        <f t="shared" si="19"/>
        <v>66666.666666666672</v>
      </c>
      <c r="AG23" s="25">
        <f t="shared" si="19"/>
        <v>33333.333333333336</v>
      </c>
      <c r="AH23" s="30">
        <f>+AN23</f>
        <v>400000</v>
      </c>
      <c r="AI23" s="30"/>
      <c r="AJ23" s="30"/>
      <c r="AK23" s="30"/>
      <c r="AL23" s="30"/>
      <c r="AM23" s="30"/>
      <c r="AN23" s="30">
        <v>400000</v>
      </c>
      <c r="AO23" s="35" t="s">
        <v>90</v>
      </c>
      <c r="AP23" s="36" t="s">
        <v>91</v>
      </c>
      <c r="AQ23" s="37" t="s">
        <v>92</v>
      </c>
    </row>
    <row r="24" spans="1:43" ht="60">
      <c r="A24" s="18" t="s">
        <v>93</v>
      </c>
      <c r="B24" s="18" t="s">
        <v>94</v>
      </c>
      <c r="C24" s="19"/>
      <c r="D24" s="18" t="s">
        <v>95</v>
      </c>
      <c r="E24" s="18" t="s">
        <v>96</v>
      </c>
      <c r="F24" s="18" t="s">
        <v>52</v>
      </c>
      <c r="G24" s="20">
        <f t="shared" si="0"/>
        <v>4.2833478981074489</v>
      </c>
      <c r="H24" s="20"/>
      <c r="I24" s="20"/>
      <c r="J24" s="19"/>
      <c r="K24" s="19"/>
      <c r="L24" s="19"/>
      <c r="M24" s="21"/>
      <c r="N24" s="21"/>
      <c r="O24" s="21"/>
      <c r="P24" s="19"/>
      <c r="Q24" s="19"/>
      <c r="R24" s="19"/>
      <c r="S24" s="21"/>
      <c r="T24" s="21"/>
      <c r="U24" s="21"/>
      <c r="V24" s="19"/>
      <c r="W24" s="19"/>
      <c r="X24" s="19"/>
      <c r="Y24" s="21"/>
      <c r="Z24" s="21"/>
      <c r="AA24" s="21"/>
      <c r="AB24" s="19"/>
      <c r="AC24" s="19"/>
      <c r="AD24" s="19"/>
      <c r="AE24" s="21"/>
      <c r="AF24" s="21"/>
      <c r="AG24" s="21">
        <f>SUM(AG25:AG26)</f>
        <v>114940</v>
      </c>
      <c r="AH24" s="21">
        <f t="shared" ref="AH24:AI24" si="20">SUM(AH25:AH26)</f>
        <v>114940</v>
      </c>
      <c r="AI24" s="21">
        <f t="shared" si="20"/>
        <v>78100</v>
      </c>
      <c r="AJ24" s="21"/>
      <c r="AK24" s="21"/>
      <c r="AL24" s="21">
        <f t="shared" ref="AL24" si="21">SUM(AL25:AL26)</f>
        <v>36840</v>
      </c>
      <c r="AM24" s="21"/>
      <c r="AN24" s="21"/>
      <c r="AO24" s="18"/>
      <c r="AP24" s="18" t="s">
        <v>43</v>
      </c>
      <c r="AQ24" s="18"/>
    </row>
    <row r="25" spans="1:43" ht="105">
      <c r="A25" s="22" t="s">
        <v>97</v>
      </c>
      <c r="B25" s="22" t="s">
        <v>98</v>
      </c>
      <c r="C25" s="23">
        <v>10</v>
      </c>
      <c r="D25" s="22" t="s">
        <v>95</v>
      </c>
      <c r="E25" s="22" t="s">
        <v>99</v>
      </c>
      <c r="F25" s="22" t="s">
        <v>52</v>
      </c>
      <c r="G25" s="24">
        <f t="shared" si="0"/>
        <v>2.1416739490537244</v>
      </c>
      <c r="H25" s="24"/>
      <c r="I25" s="24">
        <v>50</v>
      </c>
      <c r="J25" s="23"/>
      <c r="K25" s="23"/>
      <c r="L25" s="23"/>
      <c r="M25" s="26"/>
      <c r="N25" s="26"/>
      <c r="O25" s="26"/>
      <c r="P25" s="23"/>
      <c r="Q25" s="23"/>
      <c r="R25" s="23"/>
      <c r="S25" s="26"/>
      <c r="T25" s="26"/>
      <c r="U25" s="26"/>
      <c r="V25" s="23"/>
      <c r="W25" s="23"/>
      <c r="X25" s="23"/>
      <c r="Y25" s="26"/>
      <c r="Z25" s="26"/>
      <c r="AA25" s="26"/>
      <c r="AB25" s="23"/>
      <c r="AC25" s="23"/>
      <c r="AD25" s="23">
        <v>10</v>
      </c>
      <c r="AE25" s="26"/>
      <c r="AF25" s="26"/>
      <c r="AG25" s="25">
        <f t="shared" si="19"/>
        <v>57470</v>
      </c>
      <c r="AH25" s="26">
        <v>57470</v>
      </c>
      <c r="AI25" s="26">
        <v>39050</v>
      </c>
      <c r="AJ25" s="26"/>
      <c r="AK25" s="26"/>
      <c r="AL25" s="26">
        <v>18420</v>
      </c>
      <c r="AM25" s="26"/>
      <c r="AN25" s="26"/>
      <c r="AO25" s="36" t="s">
        <v>100</v>
      </c>
      <c r="AP25" s="32" t="s">
        <v>59</v>
      </c>
      <c r="AQ25" s="22"/>
    </row>
    <row r="26" spans="1:43" ht="105">
      <c r="A26" s="22" t="s">
        <v>101</v>
      </c>
      <c r="B26" s="22" t="s">
        <v>102</v>
      </c>
      <c r="C26" s="23">
        <v>10</v>
      </c>
      <c r="D26" s="22" t="s">
        <v>95</v>
      </c>
      <c r="E26" s="22" t="s">
        <v>99</v>
      </c>
      <c r="F26" s="22" t="s">
        <v>52</v>
      </c>
      <c r="G26" s="24">
        <f t="shared" si="0"/>
        <v>2.1416739490537244</v>
      </c>
      <c r="H26" s="24"/>
      <c r="I26" s="24">
        <v>50</v>
      </c>
      <c r="J26" s="23"/>
      <c r="K26" s="23"/>
      <c r="L26" s="23"/>
      <c r="M26" s="26"/>
      <c r="N26" s="26"/>
      <c r="O26" s="26"/>
      <c r="P26" s="23"/>
      <c r="Q26" s="23"/>
      <c r="R26" s="23"/>
      <c r="S26" s="26"/>
      <c r="T26" s="26"/>
      <c r="U26" s="26"/>
      <c r="V26" s="23"/>
      <c r="W26" s="23"/>
      <c r="X26" s="23"/>
      <c r="Y26" s="26"/>
      <c r="Z26" s="26"/>
      <c r="AA26" s="26"/>
      <c r="AB26" s="23"/>
      <c r="AC26" s="23"/>
      <c r="AD26" s="23">
        <v>10</v>
      </c>
      <c r="AE26" s="26"/>
      <c r="AF26" s="26"/>
      <c r="AG26" s="25">
        <f t="shared" si="19"/>
        <v>57470</v>
      </c>
      <c r="AH26" s="26">
        <v>57470</v>
      </c>
      <c r="AI26" s="26">
        <v>39050</v>
      </c>
      <c r="AJ26" s="26"/>
      <c r="AK26" s="26"/>
      <c r="AL26" s="26">
        <v>18420</v>
      </c>
      <c r="AM26" s="26"/>
      <c r="AN26" s="26"/>
      <c r="AO26" s="35" t="s">
        <v>100</v>
      </c>
      <c r="AP26" s="32" t="s">
        <v>59</v>
      </c>
      <c r="AQ26" s="22"/>
    </row>
    <row r="27" spans="1:43" ht="45">
      <c r="A27" s="18" t="s">
        <v>103</v>
      </c>
      <c r="B27" s="18" t="s">
        <v>104</v>
      </c>
      <c r="C27" s="19"/>
      <c r="D27" s="18" t="s">
        <v>57</v>
      </c>
      <c r="E27" s="18" t="s">
        <v>79</v>
      </c>
      <c r="F27" s="18" t="s">
        <v>57</v>
      </c>
      <c r="G27" s="20">
        <f t="shared" si="0"/>
        <v>2.6022810485892047</v>
      </c>
      <c r="H27" s="20"/>
      <c r="I27" s="20"/>
      <c r="J27" s="19"/>
      <c r="K27" s="19"/>
      <c r="L27" s="19"/>
      <c r="M27" s="21"/>
      <c r="N27" s="21"/>
      <c r="O27" s="21"/>
      <c r="P27" s="19"/>
      <c r="Q27" s="19"/>
      <c r="R27" s="19"/>
      <c r="S27" s="21"/>
      <c r="T27" s="21"/>
      <c r="U27" s="21"/>
      <c r="V27" s="19"/>
      <c r="W27" s="19"/>
      <c r="X27" s="19"/>
      <c r="Y27" s="21"/>
      <c r="Z27" s="21">
        <f>Z28</f>
        <v>69830</v>
      </c>
      <c r="AA27" s="21"/>
      <c r="AB27" s="19"/>
      <c r="AC27" s="19"/>
      <c r="AD27" s="19"/>
      <c r="AE27" s="21"/>
      <c r="AF27" s="21"/>
      <c r="AG27" s="21"/>
      <c r="AH27" s="21">
        <f>AH28</f>
        <v>69830</v>
      </c>
      <c r="AI27" s="21">
        <f>+AI28</f>
        <v>47485</v>
      </c>
      <c r="AJ27" s="21"/>
      <c r="AK27" s="21"/>
      <c r="AL27" s="21">
        <f>+AL28</f>
        <v>22345</v>
      </c>
      <c r="AM27" s="21"/>
      <c r="AN27" s="21"/>
      <c r="AO27" s="18"/>
      <c r="AP27" s="18" t="s">
        <v>43</v>
      </c>
      <c r="AQ27" s="18"/>
    </row>
    <row r="28" spans="1:43" ht="105">
      <c r="A28" s="22" t="s">
        <v>105</v>
      </c>
      <c r="B28" s="22" t="s">
        <v>106</v>
      </c>
      <c r="C28" s="23">
        <v>1</v>
      </c>
      <c r="D28" s="22" t="s">
        <v>57</v>
      </c>
      <c r="E28" s="22" t="s">
        <v>79</v>
      </c>
      <c r="F28" s="22" t="s">
        <v>57</v>
      </c>
      <c r="G28" s="24">
        <f t="shared" si="0"/>
        <v>2.6022810485892047</v>
      </c>
      <c r="H28" s="24"/>
      <c r="I28" s="24">
        <v>100</v>
      </c>
      <c r="J28" s="23"/>
      <c r="K28" s="23"/>
      <c r="L28" s="23"/>
      <c r="M28" s="26"/>
      <c r="N28" s="26"/>
      <c r="O28" s="26"/>
      <c r="P28" s="23"/>
      <c r="Q28" s="23"/>
      <c r="R28" s="23"/>
      <c r="S28" s="26"/>
      <c r="T28" s="26"/>
      <c r="U28" s="26"/>
      <c r="V28" s="23"/>
      <c r="W28" s="23">
        <v>1</v>
      </c>
      <c r="X28" s="23"/>
      <c r="Y28" s="26"/>
      <c r="Z28" s="25">
        <f t="shared" ref="Z28" si="22">$AH28/$C28*W28</f>
        <v>69830</v>
      </c>
      <c r="AA28" s="26"/>
      <c r="AB28" s="23"/>
      <c r="AC28" s="23"/>
      <c r="AD28" s="23"/>
      <c r="AE28" s="26"/>
      <c r="AF28" s="26"/>
      <c r="AG28" s="26"/>
      <c r="AH28" s="26">
        <v>69830</v>
      </c>
      <c r="AI28" s="26">
        <v>47485</v>
      </c>
      <c r="AJ28" s="26"/>
      <c r="AK28" s="26"/>
      <c r="AL28" s="26">
        <v>22345</v>
      </c>
      <c r="AM28" s="26"/>
      <c r="AN28" s="26"/>
      <c r="AO28" s="35" t="s">
        <v>100</v>
      </c>
      <c r="AP28" s="32" t="s">
        <v>59</v>
      </c>
      <c r="AQ28" s="35"/>
    </row>
    <row r="29" spans="1:43" ht="75">
      <c r="A29" s="18" t="s">
        <v>107</v>
      </c>
      <c r="B29" s="18" t="s">
        <v>108</v>
      </c>
      <c r="C29" s="21"/>
      <c r="D29" s="18" t="s">
        <v>109</v>
      </c>
      <c r="E29" s="18" t="s">
        <v>110</v>
      </c>
      <c r="F29" s="18" t="s">
        <v>111</v>
      </c>
      <c r="G29" s="20">
        <f t="shared" si="0"/>
        <v>10.90122101873918</v>
      </c>
      <c r="H29" s="20"/>
      <c r="I29" s="20"/>
      <c r="J29" s="19"/>
      <c r="K29" s="19"/>
      <c r="L29" s="19"/>
      <c r="M29" s="21"/>
      <c r="N29" s="21">
        <f>SUM(N30:N32)</f>
        <v>9186.9927536231899</v>
      </c>
      <c r="O29" s="21">
        <f>SUM(O30:O32)</f>
        <v>49521.597656980841</v>
      </c>
      <c r="P29" s="19"/>
      <c r="Q29" s="19"/>
      <c r="R29" s="19"/>
      <c r="S29" s="21">
        <f t="shared" ref="S29:U29" si="23">SUM(S30:S32)</f>
        <v>33436.71725458026</v>
      </c>
      <c r="T29" s="21">
        <f t="shared" si="23"/>
        <v>12527.717391304348</v>
      </c>
      <c r="U29" s="21">
        <f t="shared" si="23"/>
        <v>32845.017432321576</v>
      </c>
      <c r="V29" s="19"/>
      <c r="W29" s="19"/>
      <c r="X29" s="19"/>
      <c r="Y29" s="21">
        <f t="shared" ref="Y29:AA29" si="24">SUM(Y30:Y32)</f>
        <v>12527.717391304348</v>
      </c>
      <c r="Z29" s="21">
        <f t="shared" si="24"/>
        <v>12527.717391304348</v>
      </c>
      <c r="AA29" s="21">
        <f t="shared" si="24"/>
        <v>77062.990479685686</v>
      </c>
      <c r="AB29" s="19"/>
      <c r="AC29" s="19"/>
      <c r="AD29" s="19"/>
      <c r="AE29" s="21">
        <f t="shared" ref="AE29:AI29" si="25">SUM(AE30:AE32)</f>
        <v>7099.0398550724649</v>
      </c>
      <c r="AF29" s="21">
        <f t="shared" si="25"/>
        <v>6681.4492753623199</v>
      </c>
      <c r="AG29" s="21">
        <f t="shared" si="25"/>
        <v>39108.043118460628</v>
      </c>
      <c r="AH29" s="21">
        <f t="shared" si="25"/>
        <v>292525</v>
      </c>
      <c r="AI29" s="21">
        <f t="shared" si="25"/>
        <v>202640</v>
      </c>
      <c r="AJ29" s="21"/>
      <c r="AK29" s="21"/>
      <c r="AL29" s="21">
        <f>SUM(AL30:AL32)</f>
        <v>89885</v>
      </c>
      <c r="AM29" s="21"/>
      <c r="AN29" s="21"/>
      <c r="AO29" s="18"/>
      <c r="AP29" s="18" t="s">
        <v>43</v>
      </c>
      <c r="AQ29" s="18"/>
    </row>
    <row r="30" spans="1:43" ht="105">
      <c r="A30" s="22" t="s">
        <v>112</v>
      </c>
      <c r="B30" s="22" t="s">
        <v>113</v>
      </c>
      <c r="C30" s="26">
        <v>10.6</v>
      </c>
      <c r="D30" s="22" t="s">
        <v>114</v>
      </c>
      <c r="E30" s="22" t="s">
        <v>115</v>
      </c>
      <c r="F30" s="22" t="s">
        <v>111</v>
      </c>
      <c r="G30" s="24">
        <f t="shared" si="0"/>
        <v>3.9636060765852466</v>
      </c>
      <c r="H30" s="24"/>
      <c r="I30" s="24">
        <v>35</v>
      </c>
      <c r="J30" s="27"/>
      <c r="K30" s="27"/>
      <c r="L30" s="38">
        <v>1</v>
      </c>
      <c r="M30" s="26"/>
      <c r="N30" s="26"/>
      <c r="O30" s="25">
        <f t="shared" ref="O30:O32" si="26">$AH30/$C30*L30</f>
        <v>10033.962264150943</v>
      </c>
      <c r="P30" s="38">
        <v>2.5</v>
      </c>
      <c r="Q30" s="27"/>
      <c r="R30" s="27">
        <v>1.9</v>
      </c>
      <c r="S30" s="25">
        <f t="shared" ref="S30:T31" si="27">$AH30/$C30*P30</f>
        <v>25084.905660377357</v>
      </c>
      <c r="T30" s="26"/>
      <c r="U30" s="25">
        <f t="shared" ref="U30:U31" si="28">$AH30/$C30*R30</f>
        <v>19064.528301886792</v>
      </c>
      <c r="V30" s="27"/>
      <c r="W30" s="27"/>
      <c r="X30" s="27">
        <v>4.2</v>
      </c>
      <c r="Y30" s="26"/>
      <c r="Z30" s="26"/>
      <c r="AA30" s="25">
        <f t="shared" ref="AA30:AA32" si="29">$AH30/$C30*X30</f>
        <v>42142.641509433961</v>
      </c>
      <c r="AB30" s="27"/>
      <c r="AC30" s="27"/>
      <c r="AD30" s="39">
        <v>1</v>
      </c>
      <c r="AE30" s="26"/>
      <c r="AF30" s="26"/>
      <c r="AG30" s="25">
        <f t="shared" ref="AG30:AG32" si="30">$AH30/$C30*AD30</f>
        <v>10033.962264150943</v>
      </c>
      <c r="AH30" s="26">
        <v>106360</v>
      </c>
      <c r="AI30" s="26">
        <v>74450</v>
      </c>
      <c r="AJ30" s="26"/>
      <c r="AK30" s="26"/>
      <c r="AL30" s="26">
        <v>31910</v>
      </c>
      <c r="AM30" s="26"/>
      <c r="AN30" s="26"/>
      <c r="AO30" s="36" t="s">
        <v>116</v>
      </c>
      <c r="AP30" s="32" t="s">
        <v>59</v>
      </c>
      <c r="AQ30" s="22"/>
    </row>
    <row r="31" spans="1:43" ht="105">
      <c r="A31" s="22" t="s">
        <v>117</v>
      </c>
      <c r="B31" s="22" t="s">
        <v>118</v>
      </c>
      <c r="C31" s="26">
        <v>2.76</v>
      </c>
      <c r="D31" s="22" t="s">
        <v>119</v>
      </c>
      <c r="E31" s="22" t="s">
        <v>120</v>
      </c>
      <c r="F31" s="22" t="s">
        <v>111</v>
      </c>
      <c r="G31" s="24">
        <f t="shared" si="0"/>
        <v>4.2950866712752225</v>
      </c>
      <c r="H31" s="24"/>
      <c r="I31" s="24">
        <v>35</v>
      </c>
      <c r="J31" s="27"/>
      <c r="K31" s="27">
        <v>0.22</v>
      </c>
      <c r="L31" s="27">
        <v>0.32</v>
      </c>
      <c r="M31" s="26"/>
      <c r="N31" s="25">
        <f t="shared" ref="N31" si="31">$AH31/$C31*K31</f>
        <v>9186.9927536231899</v>
      </c>
      <c r="O31" s="25">
        <f t="shared" si="26"/>
        <v>13362.89855072464</v>
      </c>
      <c r="P31" s="40">
        <v>0.2</v>
      </c>
      <c r="Q31" s="40">
        <v>0.3</v>
      </c>
      <c r="R31" s="40">
        <v>0.33</v>
      </c>
      <c r="S31" s="25">
        <f t="shared" si="27"/>
        <v>8351.8115942028999</v>
      </c>
      <c r="T31" s="25">
        <f t="shared" si="27"/>
        <v>12527.717391304348</v>
      </c>
      <c r="U31" s="25">
        <f t="shared" si="28"/>
        <v>13780.489130434784</v>
      </c>
      <c r="V31" s="40">
        <v>0.3</v>
      </c>
      <c r="W31" s="40">
        <v>0.3</v>
      </c>
      <c r="X31" s="41">
        <v>0.3</v>
      </c>
      <c r="Y31" s="25">
        <f t="shared" ref="Y31:Z31" si="32">$AH31/$C31*V31</f>
        <v>12527.717391304348</v>
      </c>
      <c r="Z31" s="25">
        <f t="shared" si="32"/>
        <v>12527.717391304348</v>
      </c>
      <c r="AA31" s="25">
        <f t="shared" si="29"/>
        <v>12527.717391304348</v>
      </c>
      <c r="AB31" s="41">
        <v>0.17</v>
      </c>
      <c r="AC31" s="41">
        <v>0.16</v>
      </c>
      <c r="AD31" s="41">
        <v>0.16</v>
      </c>
      <c r="AE31" s="25">
        <f t="shared" ref="AE31:AF31" si="33">$AH31/$C31*AB31</f>
        <v>7099.0398550724649</v>
      </c>
      <c r="AF31" s="25">
        <f t="shared" si="33"/>
        <v>6681.4492753623199</v>
      </c>
      <c r="AG31" s="25">
        <f t="shared" si="30"/>
        <v>6681.4492753623199</v>
      </c>
      <c r="AH31" s="26">
        <v>115255</v>
      </c>
      <c r="AI31" s="26">
        <v>80680</v>
      </c>
      <c r="AJ31" s="26"/>
      <c r="AK31" s="26"/>
      <c r="AL31" s="26">
        <v>34575</v>
      </c>
      <c r="AM31" s="26"/>
      <c r="AN31" s="26"/>
      <c r="AO31" s="35" t="s">
        <v>121</v>
      </c>
      <c r="AP31" s="32" t="s">
        <v>59</v>
      </c>
      <c r="AQ31" s="22"/>
    </row>
    <row r="32" spans="1:43" ht="105">
      <c r="A32" s="22" t="s">
        <v>122</v>
      </c>
      <c r="B32" s="22" t="s">
        <v>123</v>
      </c>
      <c r="C32" s="26">
        <v>0.95</v>
      </c>
      <c r="D32" s="22" t="s">
        <v>124</v>
      </c>
      <c r="E32" s="22" t="s">
        <v>125</v>
      </c>
      <c r="F32" s="22" t="s">
        <v>111</v>
      </c>
      <c r="G32" s="24">
        <f t="shared" si="0"/>
        <v>2.6425282708787123</v>
      </c>
      <c r="H32" s="24"/>
      <c r="I32" s="24">
        <v>30</v>
      </c>
      <c r="J32" s="27"/>
      <c r="K32" s="27"/>
      <c r="L32" s="40">
        <v>0.35</v>
      </c>
      <c r="M32" s="27"/>
      <c r="N32" s="27"/>
      <c r="O32" s="25">
        <f t="shared" si="26"/>
        <v>26124.73684210526</v>
      </c>
      <c r="P32" s="27"/>
      <c r="Q32" s="27"/>
      <c r="R32" s="27"/>
      <c r="S32" s="27"/>
      <c r="T32" s="27"/>
      <c r="U32" s="27"/>
      <c r="V32" s="27"/>
      <c r="W32" s="27"/>
      <c r="X32" s="41">
        <v>0.3</v>
      </c>
      <c r="Y32" s="25"/>
      <c r="Z32" s="25"/>
      <c r="AA32" s="25">
        <f t="shared" si="29"/>
        <v>22392.631578947367</v>
      </c>
      <c r="AB32" s="27"/>
      <c r="AC32" s="27"/>
      <c r="AD32" s="41">
        <v>0.3</v>
      </c>
      <c r="AE32" s="27"/>
      <c r="AF32" s="27"/>
      <c r="AG32" s="25">
        <f t="shared" si="30"/>
        <v>22392.631578947367</v>
      </c>
      <c r="AH32" s="26">
        <v>70910</v>
      </c>
      <c r="AI32" s="26">
        <v>47510</v>
      </c>
      <c r="AJ32" s="27"/>
      <c r="AK32" s="27"/>
      <c r="AL32" s="26">
        <v>23400</v>
      </c>
      <c r="AM32" s="27"/>
      <c r="AN32" s="27"/>
      <c r="AO32" s="35" t="s">
        <v>126</v>
      </c>
      <c r="AP32" s="32" t="s">
        <v>59</v>
      </c>
      <c r="AQ32" s="22"/>
    </row>
    <row r="33" spans="1:43" ht="60">
      <c r="A33" s="14" t="s">
        <v>127</v>
      </c>
      <c r="B33" s="14" t="s">
        <v>128</v>
      </c>
      <c r="C33" s="15"/>
      <c r="D33" s="14"/>
      <c r="E33" s="14"/>
      <c r="F33" s="14"/>
      <c r="G33" s="16">
        <f t="shared" si="0"/>
        <v>22.071129512207392</v>
      </c>
      <c r="H33" s="16"/>
      <c r="I33" s="16"/>
      <c r="J33" s="15"/>
      <c r="K33" s="15"/>
      <c r="L33" s="15"/>
      <c r="M33" s="17">
        <f>M34+M39+M42+M44+M46+M49+M51+M53</f>
        <v>5566.666666666667</v>
      </c>
      <c r="N33" s="17">
        <f t="shared" ref="N33:O33" si="34">N34+N39+N42+N44+N46+N49+N51+N53</f>
        <v>17649.074074074073</v>
      </c>
      <c r="O33" s="17">
        <f t="shared" si="34"/>
        <v>12816.111111111109</v>
      </c>
      <c r="P33" s="15"/>
      <c r="Q33" s="15"/>
      <c r="R33" s="15"/>
      <c r="S33" s="17">
        <f t="shared" ref="S33:U33" si="35">S34+S39+S42+S44+S46+S49+S51+S53</f>
        <v>21158.629629629631</v>
      </c>
      <c r="T33" s="17">
        <f t="shared" si="35"/>
        <v>27099.629629629628</v>
      </c>
      <c r="U33" s="17">
        <f t="shared" si="35"/>
        <v>84818.611111111109</v>
      </c>
      <c r="V33" s="15"/>
      <c r="W33" s="15"/>
      <c r="X33" s="15"/>
      <c r="Y33" s="17">
        <f t="shared" ref="Y33:AA33" si="36">Y34+Y39+Y42+Y44+Y46+Y49+Y51+Y53</f>
        <v>81047.611111111109</v>
      </c>
      <c r="Z33" s="17">
        <f t="shared" si="36"/>
        <v>35769.629629629628</v>
      </c>
      <c r="AA33" s="17">
        <f t="shared" si="36"/>
        <v>91514.629629629635</v>
      </c>
      <c r="AB33" s="15"/>
      <c r="AC33" s="15"/>
      <c r="AD33" s="15"/>
      <c r="AE33" s="17">
        <f t="shared" ref="AE33:AI33" si="37">AE34+AE39+AE42+AE44+AE46+AE49+AE51+AE53</f>
        <v>50213.629629629628</v>
      </c>
      <c r="AF33" s="17">
        <f t="shared" si="37"/>
        <v>118973.62962962964</v>
      </c>
      <c r="AG33" s="17">
        <f t="shared" si="37"/>
        <v>45632.148148148146</v>
      </c>
      <c r="AH33" s="17">
        <f t="shared" si="37"/>
        <v>592260</v>
      </c>
      <c r="AI33" s="17">
        <f t="shared" si="37"/>
        <v>346875</v>
      </c>
      <c r="AJ33" s="17"/>
      <c r="AK33" s="17"/>
      <c r="AL33" s="17">
        <f>AL34+AL39+AL42+AL44+AL46+AL49+AL51+AL53</f>
        <v>245385</v>
      </c>
      <c r="AM33" s="17"/>
      <c r="AN33" s="17"/>
      <c r="AO33" s="14"/>
      <c r="AP33" s="14" t="s">
        <v>43</v>
      </c>
      <c r="AQ33" s="14"/>
    </row>
    <row r="34" spans="1:43" ht="45">
      <c r="A34" s="18" t="s">
        <v>129</v>
      </c>
      <c r="B34" s="18" t="s">
        <v>130</v>
      </c>
      <c r="C34" s="19"/>
      <c r="D34" s="18" t="s">
        <v>57</v>
      </c>
      <c r="E34" s="18" t="s">
        <v>131</v>
      </c>
      <c r="F34" s="18" t="s">
        <v>57</v>
      </c>
      <c r="G34" s="20">
        <f t="shared" si="0"/>
        <v>11.056433686179737</v>
      </c>
      <c r="H34" s="20"/>
      <c r="I34" s="20"/>
      <c r="J34" s="19"/>
      <c r="K34" s="19"/>
      <c r="L34" s="19"/>
      <c r="M34" s="21">
        <f>SUM(M35:M38)</f>
        <v>5566.666666666667</v>
      </c>
      <c r="N34" s="21">
        <f t="shared" ref="N34:O34" si="38">SUM(N35:N38)</f>
        <v>5566.666666666667</v>
      </c>
      <c r="O34" s="21">
        <f t="shared" si="38"/>
        <v>5566.666666666667</v>
      </c>
      <c r="P34" s="19"/>
      <c r="Q34" s="19"/>
      <c r="R34" s="19"/>
      <c r="S34" s="21">
        <f t="shared" ref="S34:T34" si="39">SUM(S35:S38)</f>
        <v>5566.666666666667</v>
      </c>
      <c r="T34" s="21">
        <f t="shared" si="39"/>
        <v>5566.666666666667</v>
      </c>
      <c r="U34" s="21">
        <f t="shared" ref="U34" si="40">SUM(U35:U38)</f>
        <v>63039.166666666672</v>
      </c>
      <c r="V34" s="19"/>
      <c r="W34" s="19"/>
      <c r="X34" s="19"/>
      <c r="Y34" s="21">
        <f t="shared" ref="Y34:AA34" si="41">SUM(Y35:Y38)</f>
        <v>63039.166666666672</v>
      </c>
      <c r="Z34" s="21">
        <f t="shared" si="41"/>
        <v>5566.666666666667</v>
      </c>
      <c r="AA34" s="21">
        <f t="shared" si="41"/>
        <v>63039.166666666672</v>
      </c>
      <c r="AB34" s="19"/>
      <c r="AC34" s="19"/>
      <c r="AD34" s="19"/>
      <c r="AE34" s="21">
        <f t="shared" ref="AE34:AI34" si="42">SUM(AE35:AE38)</f>
        <v>5566.666666666667</v>
      </c>
      <c r="AF34" s="21">
        <f t="shared" si="42"/>
        <v>63039.166666666672</v>
      </c>
      <c r="AG34" s="21">
        <f t="shared" si="42"/>
        <v>5566.666666666667</v>
      </c>
      <c r="AH34" s="21">
        <f t="shared" si="42"/>
        <v>296690</v>
      </c>
      <c r="AI34" s="21">
        <f t="shared" si="42"/>
        <v>190685</v>
      </c>
      <c r="AJ34" s="21"/>
      <c r="AK34" s="21"/>
      <c r="AL34" s="21">
        <f t="shared" ref="AL34" si="43">SUM(AL35:AL38)</f>
        <v>106005</v>
      </c>
      <c r="AM34" s="21"/>
      <c r="AN34" s="21"/>
      <c r="AO34" s="18"/>
      <c r="AP34" s="18" t="s">
        <v>43</v>
      </c>
      <c r="AQ34" s="18"/>
    </row>
    <row r="35" spans="1:43" ht="75">
      <c r="A35" s="22" t="s">
        <v>132</v>
      </c>
      <c r="B35" s="22" t="s">
        <v>133</v>
      </c>
      <c r="C35" s="23">
        <v>2</v>
      </c>
      <c r="D35" s="22" t="s">
        <v>57</v>
      </c>
      <c r="E35" s="22" t="s">
        <v>131</v>
      </c>
      <c r="F35" s="22" t="s">
        <v>57</v>
      </c>
      <c r="G35" s="24">
        <f t="shared" si="0"/>
        <v>4.2835342278402706</v>
      </c>
      <c r="H35" s="24"/>
      <c r="I35" s="24">
        <v>40</v>
      </c>
      <c r="J35" s="23"/>
      <c r="K35" s="23"/>
      <c r="L35" s="23"/>
      <c r="M35" s="26"/>
      <c r="N35" s="26"/>
      <c r="O35" s="26"/>
      <c r="P35" s="23"/>
      <c r="Q35" s="23"/>
      <c r="R35" s="23">
        <v>1</v>
      </c>
      <c r="S35" s="26"/>
      <c r="T35" s="26"/>
      <c r="U35" s="25">
        <f t="shared" ref="U35:U36" si="44">$AH35/$C35*R35</f>
        <v>57472.5</v>
      </c>
      <c r="V35" s="23"/>
      <c r="W35" s="23"/>
      <c r="X35" s="23">
        <v>1</v>
      </c>
      <c r="Y35" s="26"/>
      <c r="Z35" s="26"/>
      <c r="AA35" s="25">
        <f t="shared" ref="AA35:AA36" si="45">$AH35/$C35*X35</f>
        <v>57472.5</v>
      </c>
      <c r="AB35" s="23"/>
      <c r="AC35" s="23"/>
      <c r="AD35" s="23"/>
      <c r="AE35" s="26"/>
      <c r="AF35" s="26"/>
      <c r="AG35" s="26"/>
      <c r="AH35" s="26">
        <v>114945</v>
      </c>
      <c r="AI35" s="26">
        <v>79315</v>
      </c>
      <c r="AJ35" s="26"/>
      <c r="AK35" s="26"/>
      <c r="AL35" s="26">
        <v>35630</v>
      </c>
      <c r="AM35" s="26"/>
      <c r="AN35" s="26"/>
      <c r="AO35" s="36" t="s">
        <v>134</v>
      </c>
      <c r="AP35" s="22" t="s">
        <v>135</v>
      </c>
      <c r="AQ35" s="42" t="s">
        <v>136</v>
      </c>
    </row>
    <row r="36" spans="1:43" ht="135">
      <c r="A36" s="22" t="s">
        <v>137</v>
      </c>
      <c r="B36" s="22" t="s">
        <v>138</v>
      </c>
      <c r="C36" s="23">
        <v>12</v>
      </c>
      <c r="D36" s="22" t="s">
        <v>52</v>
      </c>
      <c r="E36" s="22" t="s">
        <v>139</v>
      </c>
      <c r="F36" s="22" t="s">
        <v>52</v>
      </c>
      <c r="G36" s="24">
        <f t="shared" si="0"/>
        <v>1.244682615249598</v>
      </c>
      <c r="H36" s="24"/>
      <c r="I36" s="24">
        <v>10</v>
      </c>
      <c r="J36" s="23">
        <v>1</v>
      </c>
      <c r="K36" s="23">
        <v>1</v>
      </c>
      <c r="L36" s="23">
        <v>1</v>
      </c>
      <c r="M36" s="25">
        <f t="shared" ref="M36:O36" si="46">$AH36/$C36*J36</f>
        <v>2783.3333333333335</v>
      </c>
      <c r="N36" s="25">
        <f t="shared" si="46"/>
        <v>2783.3333333333335</v>
      </c>
      <c r="O36" s="25">
        <f t="shared" si="46"/>
        <v>2783.3333333333335</v>
      </c>
      <c r="P36" s="23">
        <v>1</v>
      </c>
      <c r="Q36" s="23">
        <v>1</v>
      </c>
      <c r="R36" s="23">
        <v>1</v>
      </c>
      <c r="S36" s="25">
        <f t="shared" ref="S36:T36" si="47">$AH36/$C36*P36</f>
        <v>2783.3333333333335</v>
      </c>
      <c r="T36" s="25">
        <f t="shared" si="47"/>
        <v>2783.3333333333335</v>
      </c>
      <c r="U36" s="25">
        <f t="shared" si="44"/>
        <v>2783.3333333333335</v>
      </c>
      <c r="V36" s="23">
        <v>1</v>
      </c>
      <c r="W36" s="23">
        <v>1</v>
      </c>
      <c r="X36" s="23">
        <v>1</v>
      </c>
      <c r="Y36" s="25">
        <f t="shared" ref="Y36:AA40" si="48">$AH36/$C36*V36</f>
        <v>2783.3333333333335</v>
      </c>
      <c r="Z36" s="25">
        <f t="shared" si="48"/>
        <v>2783.3333333333335</v>
      </c>
      <c r="AA36" s="25">
        <f t="shared" si="45"/>
        <v>2783.3333333333335</v>
      </c>
      <c r="AB36" s="23">
        <v>1</v>
      </c>
      <c r="AC36" s="23">
        <v>1</v>
      </c>
      <c r="AD36" s="23">
        <v>1</v>
      </c>
      <c r="AE36" s="25">
        <f t="shared" ref="AE36:AG38" si="49">$AH36/$C36*AB36</f>
        <v>2783.3333333333335</v>
      </c>
      <c r="AF36" s="25">
        <f t="shared" si="49"/>
        <v>2783.3333333333335</v>
      </c>
      <c r="AG36" s="25">
        <f t="shared" si="49"/>
        <v>2783.3333333333335</v>
      </c>
      <c r="AH36" s="25">
        <v>33400</v>
      </c>
      <c r="AI36" s="26">
        <v>16030</v>
      </c>
      <c r="AJ36" s="26"/>
      <c r="AK36" s="26"/>
      <c r="AL36" s="26">
        <v>17370</v>
      </c>
      <c r="AM36" s="26"/>
      <c r="AN36" s="26"/>
      <c r="AO36" s="36" t="s">
        <v>100</v>
      </c>
      <c r="AP36" s="22" t="s">
        <v>135</v>
      </c>
      <c r="AQ36" s="22"/>
    </row>
    <row r="37" spans="1:43" ht="75">
      <c r="A37" s="22" t="s">
        <v>140</v>
      </c>
      <c r="B37" s="22" t="s">
        <v>141</v>
      </c>
      <c r="C37" s="23">
        <v>2</v>
      </c>
      <c r="D37" s="22" t="s">
        <v>57</v>
      </c>
      <c r="E37" s="22" t="s">
        <v>131</v>
      </c>
      <c r="F37" s="22" t="s">
        <v>57</v>
      </c>
      <c r="G37" s="24">
        <f t="shared" si="0"/>
        <v>4.2835342278402706</v>
      </c>
      <c r="H37" s="24"/>
      <c r="I37" s="24">
        <v>40</v>
      </c>
      <c r="J37" s="23"/>
      <c r="K37" s="23"/>
      <c r="L37" s="23"/>
      <c r="M37" s="26"/>
      <c r="N37" s="26"/>
      <c r="O37" s="26"/>
      <c r="P37" s="23"/>
      <c r="Q37" s="23"/>
      <c r="R37" s="23"/>
      <c r="S37" s="26"/>
      <c r="T37" s="26"/>
      <c r="U37" s="26"/>
      <c r="V37" s="23">
        <v>1</v>
      </c>
      <c r="W37" s="23"/>
      <c r="X37" s="23"/>
      <c r="Y37" s="25">
        <f t="shared" si="48"/>
        <v>57472.5</v>
      </c>
      <c r="Z37" s="26"/>
      <c r="AA37" s="26"/>
      <c r="AB37" s="23"/>
      <c r="AC37" s="23">
        <v>1</v>
      </c>
      <c r="AD37" s="23"/>
      <c r="AE37" s="26"/>
      <c r="AF37" s="25">
        <f t="shared" si="49"/>
        <v>57472.5</v>
      </c>
      <c r="AG37" s="26"/>
      <c r="AH37" s="25">
        <v>114945</v>
      </c>
      <c r="AI37" s="26">
        <v>79310</v>
      </c>
      <c r="AJ37" s="26"/>
      <c r="AK37" s="26"/>
      <c r="AL37" s="26">
        <v>35635</v>
      </c>
      <c r="AM37" s="26"/>
      <c r="AN37" s="26"/>
      <c r="AO37" s="36" t="s">
        <v>142</v>
      </c>
      <c r="AP37" s="22" t="s">
        <v>135</v>
      </c>
      <c r="AQ37" s="22" t="s">
        <v>143</v>
      </c>
    </row>
    <row r="38" spans="1:43" ht="105">
      <c r="A38" s="22" t="s">
        <v>144</v>
      </c>
      <c r="B38" s="22" t="s">
        <v>145</v>
      </c>
      <c r="C38" s="23">
        <v>12</v>
      </c>
      <c r="D38" s="22" t="s">
        <v>52</v>
      </c>
      <c r="E38" s="22" t="s">
        <v>146</v>
      </c>
      <c r="F38" s="22" t="s">
        <v>52</v>
      </c>
      <c r="G38" s="24">
        <f t="shared" si="0"/>
        <v>1.244682615249598</v>
      </c>
      <c r="H38" s="24"/>
      <c r="I38" s="24">
        <v>10</v>
      </c>
      <c r="J38" s="23">
        <v>1</v>
      </c>
      <c r="K38" s="23">
        <v>1</v>
      </c>
      <c r="L38" s="23">
        <v>1</v>
      </c>
      <c r="M38" s="25">
        <f t="shared" ref="M38:O38" si="50">$AH38/$C38*J38</f>
        <v>2783.3333333333335</v>
      </c>
      <c r="N38" s="25">
        <f t="shared" si="50"/>
        <v>2783.3333333333335</v>
      </c>
      <c r="O38" s="25">
        <f t="shared" si="50"/>
        <v>2783.3333333333335</v>
      </c>
      <c r="P38" s="23">
        <v>1</v>
      </c>
      <c r="Q38" s="23">
        <v>1</v>
      </c>
      <c r="R38" s="23">
        <v>1</v>
      </c>
      <c r="S38" s="25">
        <f t="shared" ref="S38:U38" si="51">$AH38/$C38*P38</f>
        <v>2783.3333333333335</v>
      </c>
      <c r="T38" s="25">
        <f t="shared" si="51"/>
        <v>2783.3333333333335</v>
      </c>
      <c r="U38" s="25">
        <f t="shared" si="51"/>
        <v>2783.3333333333335</v>
      </c>
      <c r="V38" s="23">
        <v>1</v>
      </c>
      <c r="W38" s="23">
        <v>1</v>
      </c>
      <c r="X38" s="23">
        <v>1</v>
      </c>
      <c r="Y38" s="25">
        <f t="shared" si="48"/>
        <v>2783.3333333333335</v>
      </c>
      <c r="Z38" s="25">
        <f t="shared" si="48"/>
        <v>2783.3333333333335</v>
      </c>
      <c r="AA38" s="25">
        <f t="shared" si="48"/>
        <v>2783.3333333333335</v>
      </c>
      <c r="AB38" s="23">
        <v>1</v>
      </c>
      <c r="AC38" s="23">
        <v>1</v>
      </c>
      <c r="AD38" s="23">
        <v>1</v>
      </c>
      <c r="AE38" s="25">
        <f t="shared" ref="AE38" si="52">$AH38/$C38*AB38</f>
        <v>2783.3333333333335</v>
      </c>
      <c r="AF38" s="25">
        <f t="shared" si="49"/>
        <v>2783.3333333333335</v>
      </c>
      <c r="AG38" s="25">
        <f t="shared" si="49"/>
        <v>2783.3333333333335</v>
      </c>
      <c r="AH38" s="25">
        <v>33400</v>
      </c>
      <c r="AI38" s="26">
        <v>16030</v>
      </c>
      <c r="AJ38" s="26"/>
      <c r="AK38" s="26"/>
      <c r="AL38" s="26">
        <v>17370</v>
      </c>
      <c r="AM38" s="26"/>
      <c r="AN38" s="26"/>
      <c r="AO38" s="36" t="s">
        <v>100</v>
      </c>
      <c r="AP38" s="22" t="s">
        <v>135</v>
      </c>
      <c r="AQ38" s="22"/>
    </row>
    <row r="39" spans="1:43" ht="75">
      <c r="A39" s="18" t="s">
        <v>147</v>
      </c>
      <c r="B39" s="18" t="s">
        <v>148</v>
      </c>
      <c r="C39" s="19"/>
      <c r="D39" s="18" t="s">
        <v>149</v>
      </c>
      <c r="E39" s="18" t="s">
        <v>150</v>
      </c>
      <c r="F39" s="18" t="s">
        <v>151</v>
      </c>
      <c r="G39" s="20">
        <f t="shared" si="0"/>
        <v>2.844882360723183</v>
      </c>
      <c r="H39" s="20"/>
      <c r="I39" s="20"/>
      <c r="J39" s="19"/>
      <c r="K39" s="19"/>
      <c r="L39" s="19"/>
      <c r="M39" s="21"/>
      <c r="N39" s="21"/>
      <c r="O39" s="21"/>
      <c r="P39" s="19"/>
      <c r="Q39" s="19"/>
      <c r="R39" s="19"/>
      <c r="S39" s="21"/>
      <c r="T39" s="21"/>
      <c r="U39" s="21"/>
      <c r="V39" s="19"/>
      <c r="W39" s="19"/>
      <c r="X39" s="19"/>
      <c r="Y39" s="21"/>
      <c r="Z39" s="21"/>
      <c r="AA39" s="21">
        <f>SUM(AA40:AA41)</f>
        <v>23642.5</v>
      </c>
      <c r="AB39" s="19"/>
      <c r="AC39" s="19"/>
      <c r="AD39" s="19"/>
      <c r="AE39" s="21">
        <f t="shared" ref="AE39:AF39" si="53">SUM(AE40:AE41)</f>
        <v>29055</v>
      </c>
      <c r="AF39" s="21">
        <f t="shared" si="53"/>
        <v>23642.5</v>
      </c>
      <c r="AG39" s="21"/>
      <c r="AH39" s="21">
        <f t="shared" ref="AH39:AI39" si="54">SUM(AH40:AH41)</f>
        <v>76340</v>
      </c>
      <c r="AI39" s="21">
        <f t="shared" si="54"/>
        <v>38205</v>
      </c>
      <c r="AJ39" s="21"/>
      <c r="AK39" s="21"/>
      <c r="AL39" s="21">
        <f t="shared" ref="AL39" si="55">SUM(AL40:AL41)</f>
        <v>38135</v>
      </c>
      <c r="AM39" s="21"/>
      <c r="AN39" s="21"/>
      <c r="AO39" s="18"/>
      <c r="AP39" s="18" t="s">
        <v>43</v>
      </c>
      <c r="AQ39" s="18"/>
    </row>
    <row r="40" spans="1:43" ht="105">
      <c r="A40" s="22" t="s">
        <v>152</v>
      </c>
      <c r="B40" s="22" t="s">
        <v>153</v>
      </c>
      <c r="C40" s="23">
        <v>2</v>
      </c>
      <c r="D40" s="22" t="s">
        <v>149</v>
      </c>
      <c r="E40" s="22" t="s">
        <v>150</v>
      </c>
      <c r="F40" s="22" t="s">
        <v>151</v>
      </c>
      <c r="G40" s="24">
        <f t="shared" si="0"/>
        <v>1.7621202832957257</v>
      </c>
      <c r="H40" s="24"/>
      <c r="I40" s="24">
        <v>65</v>
      </c>
      <c r="J40" s="23"/>
      <c r="K40" s="23"/>
      <c r="L40" s="23"/>
      <c r="M40" s="26"/>
      <c r="N40" s="26"/>
      <c r="O40" s="26"/>
      <c r="P40" s="23"/>
      <c r="Q40" s="23"/>
      <c r="R40" s="23"/>
      <c r="S40" s="26"/>
      <c r="T40" s="26"/>
      <c r="U40" s="26"/>
      <c r="V40" s="23"/>
      <c r="W40" s="23"/>
      <c r="X40" s="23">
        <v>1</v>
      </c>
      <c r="Y40" s="26"/>
      <c r="Z40" s="26"/>
      <c r="AA40" s="25">
        <f t="shared" si="48"/>
        <v>23642.5</v>
      </c>
      <c r="AB40" s="23"/>
      <c r="AC40" s="23">
        <v>1</v>
      </c>
      <c r="AD40" s="23"/>
      <c r="AE40" s="26"/>
      <c r="AF40" s="25">
        <f t="shared" ref="AF40" si="56">$AH40/$C40*AC40</f>
        <v>23642.5</v>
      </c>
      <c r="AG40" s="26"/>
      <c r="AH40" s="26">
        <v>47285</v>
      </c>
      <c r="AI40" s="26">
        <v>22225</v>
      </c>
      <c r="AJ40" s="26"/>
      <c r="AK40" s="26"/>
      <c r="AL40" s="26">
        <v>25060</v>
      </c>
      <c r="AM40" s="26"/>
      <c r="AN40" s="26"/>
      <c r="AO40" s="36" t="s">
        <v>100</v>
      </c>
      <c r="AP40" s="22" t="s">
        <v>154</v>
      </c>
      <c r="AQ40" s="22"/>
    </row>
    <row r="41" spans="1:43" ht="105">
      <c r="A41" s="22" t="s">
        <v>155</v>
      </c>
      <c r="B41" s="22" t="s">
        <v>156</v>
      </c>
      <c r="C41" s="23">
        <v>1</v>
      </c>
      <c r="D41" s="22" t="s">
        <v>149</v>
      </c>
      <c r="E41" s="22" t="s">
        <v>150</v>
      </c>
      <c r="F41" s="22" t="s">
        <v>151</v>
      </c>
      <c r="G41" s="24">
        <f t="shared" si="0"/>
        <v>1.0827620774274571</v>
      </c>
      <c r="H41" s="24"/>
      <c r="I41" s="24">
        <v>35</v>
      </c>
      <c r="J41" s="23"/>
      <c r="K41" s="23"/>
      <c r="L41" s="23"/>
      <c r="M41" s="26"/>
      <c r="N41" s="26"/>
      <c r="O41" s="26"/>
      <c r="P41" s="23"/>
      <c r="Q41" s="23"/>
      <c r="R41" s="23"/>
      <c r="S41" s="26"/>
      <c r="T41" s="26"/>
      <c r="U41" s="26"/>
      <c r="V41" s="23"/>
      <c r="W41" s="23"/>
      <c r="X41" s="23"/>
      <c r="Y41" s="26"/>
      <c r="Z41" s="26"/>
      <c r="AA41" s="26"/>
      <c r="AB41" s="23">
        <v>1</v>
      </c>
      <c r="AC41" s="23"/>
      <c r="AD41" s="23"/>
      <c r="AE41" s="25">
        <f t="shared" ref="AE41" si="57">$AH41/$C41*AB41</f>
        <v>29055</v>
      </c>
      <c r="AF41" s="26"/>
      <c r="AG41" s="26"/>
      <c r="AH41" s="26">
        <v>29055</v>
      </c>
      <c r="AI41" s="26">
        <v>15980</v>
      </c>
      <c r="AJ41" s="26"/>
      <c r="AK41" s="26"/>
      <c r="AL41" s="26">
        <v>13075</v>
      </c>
      <c r="AM41" s="26"/>
      <c r="AN41" s="26"/>
      <c r="AO41" s="35" t="s">
        <v>100</v>
      </c>
      <c r="AP41" s="22" t="s">
        <v>154</v>
      </c>
      <c r="AQ41" s="22"/>
    </row>
    <row r="42" spans="1:43" ht="45">
      <c r="A42" s="18" t="s">
        <v>157</v>
      </c>
      <c r="B42" s="18" t="s">
        <v>158</v>
      </c>
      <c r="C42" s="19"/>
      <c r="D42" s="18" t="s">
        <v>159</v>
      </c>
      <c r="E42" s="18" t="s">
        <v>160</v>
      </c>
      <c r="F42" s="18" t="s">
        <v>161</v>
      </c>
      <c r="G42" s="20">
        <f t="shared" si="0"/>
        <v>2.0047215954297046</v>
      </c>
      <c r="H42" s="20"/>
      <c r="I42" s="20"/>
      <c r="J42" s="19"/>
      <c r="K42" s="19"/>
      <c r="L42" s="19"/>
      <c r="M42" s="21"/>
      <c r="N42" s="21"/>
      <c r="O42" s="21"/>
      <c r="P42" s="19"/>
      <c r="Q42" s="19"/>
      <c r="R42" s="19"/>
      <c r="S42" s="21">
        <f>S43</f>
        <v>10759</v>
      </c>
      <c r="T42" s="21"/>
      <c r="U42" s="21"/>
      <c r="V42" s="19"/>
      <c r="W42" s="19"/>
      <c r="X42" s="19"/>
      <c r="Y42" s="21">
        <f>Y43</f>
        <v>10759</v>
      </c>
      <c r="Z42" s="21"/>
      <c r="AA42" s="21"/>
      <c r="AB42" s="19"/>
      <c r="AC42" s="19"/>
      <c r="AD42" s="19"/>
      <c r="AE42" s="21">
        <f>AE43</f>
        <v>10759</v>
      </c>
      <c r="AF42" s="21">
        <f>AF43</f>
        <v>10759</v>
      </c>
      <c r="AG42" s="21">
        <f>AG43</f>
        <v>10759</v>
      </c>
      <c r="AH42" s="21">
        <f>AH43</f>
        <v>53795</v>
      </c>
      <c r="AI42" s="21">
        <f>AI43</f>
        <v>31740</v>
      </c>
      <c r="AJ42" s="21"/>
      <c r="AK42" s="21"/>
      <c r="AL42" s="21">
        <f>AL43</f>
        <v>22055</v>
      </c>
      <c r="AM42" s="21"/>
      <c r="AN42" s="21"/>
      <c r="AO42" s="18"/>
      <c r="AP42" s="18" t="s">
        <v>43</v>
      </c>
      <c r="AQ42" s="18"/>
    </row>
    <row r="43" spans="1:43" ht="105">
      <c r="A43" s="22" t="s">
        <v>162</v>
      </c>
      <c r="B43" s="22" t="s">
        <v>163</v>
      </c>
      <c r="C43" s="23">
        <v>5</v>
      </c>
      <c r="D43" s="22" t="s">
        <v>159</v>
      </c>
      <c r="E43" s="22" t="s">
        <v>160</v>
      </c>
      <c r="F43" s="22" t="s">
        <v>161</v>
      </c>
      <c r="G43" s="24">
        <f t="shared" si="0"/>
        <v>2.0047215954297046</v>
      </c>
      <c r="H43" s="24"/>
      <c r="I43" s="24">
        <v>100</v>
      </c>
      <c r="J43" s="23"/>
      <c r="K43" s="23"/>
      <c r="L43" s="23"/>
      <c r="M43" s="26"/>
      <c r="N43" s="26"/>
      <c r="O43" s="26"/>
      <c r="P43" s="23">
        <v>1</v>
      </c>
      <c r="Q43" s="23"/>
      <c r="R43" s="23"/>
      <c r="S43" s="25">
        <f t="shared" ref="S43" si="58">$AH43/$C43*P43</f>
        <v>10759</v>
      </c>
      <c r="T43" s="26"/>
      <c r="U43" s="26"/>
      <c r="V43" s="23">
        <v>1</v>
      </c>
      <c r="W43" s="23"/>
      <c r="X43" s="23"/>
      <c r="Y43" s="25">
        <f t="shared" ref="Y43" si="59">$AH43/$C43*V43</f>
        <v>10759</v>
      </c>
      <c r="Z43" s="26"/>
      <c r="AA43" s="26"/>
      <c r="AB43" s="23">
        <v>1</v>
      </c>
      <c r="AC43" s="23">
        <v>1</v>
      </c>
      <c r="AD43" s="23">
        <v>1</v>
      </c>
      <c r="AE43" s="25">
        <f t="shared" ref="AE43:AG43" si="60">$AH43/$C43*AB43</f>
        <v>10759</v>
      </c>
      <c r="AF43" s="25">
        <f t="shared" si="60"/>
        <v>10759</v>
      </c>
      <c r="AG43" s="25">
        <f t="shared" si="60"/>
        <v>10759</v>
      </c>
      <c r="AH43" s="26">
        <v>53795</v>
      </c>
      <c r="AI43" s="26">
        <v>31740</v>
      </c>
      <c r="AJ43" s="26"/>
      <c r="AK43" s="26"/>
      <c r="AL43" s="26">
        <v>22055</v>
      </c>
      <c r="AM43" s="26"/>
      <c r="AN43" s="26"/>
      <c r="AO43" s="42" t="s">
        <v>126</v>
      </c>
      <c r="AP43" s="32" t="s">
        <v>59</v>
      </c>
      <c r="AQ43" s="22"/>
    </row>
    <row r="44" spans="1:43" ht="60">
      <c r="A44" s="18" t="s">
        <v>164</v>
      </c>
      <c r="B44" s="18" t="s">
        <v>165</v>
      </c>
      <c r="C44" s="19"/>
      <c r="D44" s="18" t="s">
        <v>166</v>
      </c>
      <c r="E44" s="18" t="s">
        <v>167</v>
      </c>
      <c r="F44" s="18" t="s">
        <v>168</v>
      </c>
      <c r="G44" s="20">
        <f t="shared" si="0"/>
        <v>2.4314166835916176</v>
      </c>
      <c r="H44" s="20"/>
      <c r="I44" s="20"/>
      <c r="J44" s="19"/>
      <c r="K44" s="19"/>
      <c r="L44" s="19"/>
      <c r="M44" s="21"/>
      <c r="N44" s="21">
        <f>N45</f>
        <v>12082.407407407407</v>
      </c>
      <c r="O44" s="21">
        <f t="shared" ref="O44:AF44" si="61">O45</f>
        <v>7249.4444444444434</v>
      </c>
      <c r="P44" s="21"/>
      <c r="Q44" s="21"/>
      <c r="R44" s="21"/>
      <c r="S44" s="21">
        <f t="shared" si="61"/>
        <v>4832.9629629629626</v>
      </c>
      <c r="T44" s="21">
        <f t="shared" si="61"/>
        <v>4832.9629629629626</v>
      </c>
      <c r="U44" s="21">
        <f t="shared" si="61"/>
        <v>7249.4444444444434</v>
      </c>
      <c r="V44" s="21"/>
      <c r="W44" s="21"/>
      <c r="X44" s="21"/>
      <c r="Y44" s="21">
        <f t="shared" si="61"/>
        <v>7249.4444444444434</v>
      </c>
      <c r="Z44" s="21">
        <f t="shared" si="61"/>
        <v>4832.9629629629626</v>
      </c>
      <c r="AA44" s="21">
        <f t="shared" si="61"/>
        <v>4832.9629629629626</v>
      </c>
      <c r="AB44" s="21"/>
      <c r="AC44" s="21"/>
      <c r="AD44" s="21"/>
      <c r="AE44" s="21">
        <f t="shared" si="61"/>
        <v>4832.9629629629626</v>
      </c>
      <c r="AF44" s="21">
        <f t="shared" si="61"/>
        <v>4832.9629629629626</v>
      </c>
      <c r="AG44" s="21">
        <f>AG45</f>
        <v>2416.4814814814813</v>
      </c>
      <c r="AH44" s="21">
        <f>AH45</f>
        <v>65245</v>
      </c>
      <c r="AI44" s="21">
        <f>AI45</f>
        <v>38495</v>
      </c>
      <c r="AJ44" s="21"/>
      <c r="AK44" s="21"/>
      <c r="AL44" s="21">
        <f>AL45</f>
        <v>26750</v>
      </c>
      <c r="AM44" s="21"/>
      <c r="AN44" s="21"/>
      <c r="AO44" s="18"/>
      <c r="AP44" s="18" t="s">
        <v>43</v>
      </c>
      <c r="AQ44" s="18"/>
    </row>
    <row r="45" spans="1:43" ht="105">
      <c r="A45" s="22" t="s">
        <v>169</v>
      </c>
      <c r="B45" s="22" t="s">
        <v>170</v>
      </c>
      <c r="C45" s="23">
        <v>27</v>
      </c>
      <c r="D45" s="22" t="s">
        <v>166</v>
      </c>
      <c r="E45" s="22" t="s">
        <v>171</v>
      </c>
      <c r="F45" s="22" t="s">
        <v>168</v>
      </c>
      <c r="G45" s="24">
        <f t="shared" si="0"/>
        <v>2.4314166835916176</v>
      </c>
      <c r="H45" s="24"/>
      <c r="I45" s="24">
        <v>100</v>
      </c>
      <c r="J45" s="23"/>
      <c r="K45" s="23">
        <v>5</v>
      </c>
      <c r="L45" s="23">
        <v>3</v>
      </c>
      <c r="M45" s="25"/>
      <c r="N45" s="25">
        <f t="shared" ref="N45:O45" si="62">$AH45/$C45*K45</f>
        <v>12082.407407407407</v>
      </c>
      <c r="O45" s="25">
        <f t="shared" si="62"/>
        <v>7249.4444444444434</v>
      </c>
      <c r="P45" s="23">
        <v>2</v>
      </c>
      <c r="Q45" s="23">
        <v>2</v>
      </c>
      <c r="R45" s="23">
        <v>3</v>
      </c>
      <c r="S45" s="25">
        <f t="shared" ref="S45:U47" si="63">$AH45/$C45*P45</f>
        <v>4832.9629629629626</v>
      </c>
      <c r="T45" s="25">
        <f t="shared" si="63"/>
        <v>4832.9629629629626</v>
      </c>
      <c r="U45" s="25">
        <f t="shared" si="63"/>
        <v>7249.4444444444434</v>
      </c>
      <c r="V45" s="23">
        <v>3</v>
      </c>
      <c r="W45" s="23">
        <v>2</v>
      </c>
      <c r="X45" s="23">
        <v>2</v>
      </c>
      <c r="Y45" s="25">
        <f t="shared" ref="Y45:AA45" si="64">$AH45/$C45*V45</f>
        <v>7249.4444444444434</v>
      </c>
      <c r="Z45" s="25">
        <f t="shared" si="64"/>
        <v>4832.9629629629626</v>
      </c>
      <c r="AA45" s="25">
        <f t="shared" si="64"/>
        <v>4832.9629629629626</v>
      </c>
      <c r="AB45" s="23">
        <v>2</v>
      </c>
      <c r="AC45" s="23">
        <v>2</v>
      </c>
      <c r="AD45" s="23">
        <v>1</v>
      </c>
      <c r="AE45" s="25">
        <f t="shared" ref="AE45:AG45" si="65">$AH45/$C45*AB45</f>
        <v>4832.9629629629626</v>
      </c>
      <c r="AF45" s="25">
        <f t="shared" si="65"/>
        <v>4832.9629629629626</v>
      </c>
      <c r="AG45" s="25">
        <f t="shared" si="65"/>
        <v>2416.4814814814813</v>
      </c>
      <c r="AH45" s="26">
        <v>65245</v>
      </c>
      <c r="AI45" s="26">
        <v>38495</v>
      </c>
      <c r="AJ45" s="26"/>
      <c r="AK45" s="26"/>
      <c r="AL45" s="26">
        <v>26750</v>
      </c>
      <c r="AM45" s="26"/>
      <c r="AN45" s="26"/>
      <c r="AO45" s="42" t="s">
        <v>90</v>
      </c>
      <c r="AP45" s="22" t="s">
        <v>154</v>
      </c>
      <c r="AQ45" s="22"/>
    </row>
    <row r="46" spans="1:43" ht="195">
      <c r="A46" s="18" t="s">
        <v>172</v>
      </c>
      <c r="B46" s="18" t="s">
        <v>173</v>
      </c>
      <c r="C46" s="19"/>
      <c r="D46" s="18" t="s">
        <v>57</v>
      </c>
      <c r="E46" s="18" t="s">
        <v>174</v>
      </c>
      <c r="F46" s="18" t="s">
        <v>57</v>
      </c>
      <c r="G46" s="20">
        <f t="shared" si="0"/>
        <v>1.5435555066957589</v>
      </c>
      <c r="H46" s="20"/>
      <c r="I46" s="20"/>
      <c r="J46" s="19"/>
      <c r="K46" s="19"/>
      <c r="L46" s="19"/>
      <c r="M46" s="21"/>
      <c r="N46" s="21"/>
      <c r="O46" s="21"/>
      <c r="P46" s="19"/>
      <c r="Q46" s="19"/>
      <c r="R46" s="19"/>
      <c r="S46" s="21"/>
      <c r="T46" s="21"/>
      <c r="U46" s="21">
        <f>SUM(U47:U48)</f>
        <v>14530</v>
      </c>
      <c r="V46" s="19"/>
      <c r="W46" s="19"/>
      <c r="X46" s="19"/>
      <c r="Y46" s="21"/>
      <c r="Z46" s="21"/>
      <c r="AA46" s="21"/>
      <c r="AB46" s="19"/>
      <c r="AC46" s="19"/>
      <c r="AD46" s="19"/>
      <c r="AE46" s="21"/>
      <c r="AF46" s="21"/>
      <c r="AG46" s="21">
        <f t="shared" ref="AG46:AI46" si="66">SUM(AG47:AG48)</f>
        <v>26890</v>
      </c>
      <c r="AH46" s="21">
        <f t="shared" si="66"/>
        <v>41420</v>
      </c>
      <c r="AI46" s="21">
        <f t="shared" si="66"/>
        <v>23855</v>
      </c>
      <c r="AJ46" s="21"/>
      <c r="AK46" s="21"/>
      <c r="AL46" s="21">
        <f>SUM(AL47:AL48)</f>
        <v>17565</v>
      </c>
      <c r="AM46" s="21"/>
      <c r="AN46" s="21"/>
      <c r="AO46" s="18"/>
      <c r="AP46" s="18" t="s">
        <v>43</v>
      </c>
      <c r="AQ46" s="18"/>
    </row>
    <row r="47" spans="1:43" ht="105">
      <c r="A47" s="22" t="s">
        <v>175</v>
      </c>
      <c r="B47" s="22" t="s">
        <v>176</v>
      </c>
      <c r="C47" s="23">
        <v>1</v>
      </c>
      <c r="D47" s="22" t="s">
        <v>57</v>
      </c>
      <c r="E47" s="22" t="s">
        <v>177</v>
      </c>
      <c r="F47" s="22" t="s">
        <v>178</v>
      </c>
      <c r="G47" s="24">
        <f t="shared" si="0"/>
        <v>0.54147420358013953</v>
      </c>
      <c r="H47" s="24"/>
      <c r="I47" s="24">
        <v>30</v>
      </c>
      <c r="J47" s="23"/>
      <c r="K47" s="23"/>
      <c r="L47" s="23"/>
      <c r="M47" s="26"/>
      <c r="N47" s="26"/>
      <c r="O47" s="26"/>
      <c r="P47" s="23"/>
      <c r="Q47" s="23"/>
      <c r="R47" s="23">
        <v>1</v>
      </c>
      <c r="S47" s="25"/>
      <c r="T47" s="26"/>
      <c r="U47" s="25">
        <f t="shared" si="63"/>
        <v>14530</v>
      </c>
      <c r="V47" s="23"/>
      <c r="W47" s="23"/>
      <c r="X47" s="23"/>
      <c r="Y47" s="26"/>
      <c r="Z47" s="26"/>
      <c r="AA47" s="26"/>
      <c r="AB47" s="23"/>
      <c r="AC47" s="23"/>
      <c r="AD47" s="23"/>
      <c r="AE47" s="26"/>
      <c r="AF47" s="26"/>
      <c r="AG47" s="26"/>
      <c r="AH47" s="26">
        <v>14530</v>
      </c>
      <c r="AI47" s="26">
        <v>7990</v>
      </c>
      <c r="AJ47" s="26"/>
      <c r="AK47" s="26"/>
      <c r="AL47" s="26">
        <v>6540</v>
      </c>
      <c r="AM47" s="26"/>
      <c r="AN47" s="26"/>
      <c r="AO47" s="35" t="s">
        <v>100</v>
      </c>
      <c r="AP47" s="22" t="s">
        <v>154</v>
      </c>
      <c r="AQ47" s="22"/>
    </row>
    <row r="48" spans="1:43" ht="105">
      <c r="A48" s="22" t="s">
        <v>179</v>
      </c>
      <c r="B48" s="22" t="s">
        <v>180</v>
      </c>
      <c r="C48" s="23">
        <v>1</v>
      </c>
      <c r="D48" s="22" t="s">
        <v>57</v>
      </c>
      <c r="E48" s="22" t="s">
        <v>181</v>
      </c>
      <c r="F48" s="22" t="s">
        <v>182</v>
      </c>
      <c r="G48" s="24">
        <f t="shared" si="0"/>
        <v>1.0020813031156195</v>
      </c>
      <c r="H48" s="24"/>
      <c r="I48" s="24">
        <v>70</v>
      </c>
      <c r="J48" s="23"/>
      <c r="K48" s="23"/>
      <c r="L48" s="23"/>
      <c r="M48" s="26"/>
      <c r="N48" s="26"/>
      <c r="O48" s="26"/>
      <c r="P48" s="23"/>
      <c r="Q48" s="23"/>
      <c r="R48" s="23"/>
      <c r="S48" s="26"/>
      <c r="T48" s="26"/>
      <c r="U48" s="26"/>
      <c r="V48" s="23"/>
      <c r="W48" s="23"/>
      <c r="X48" s="23"/>
      <c r="Y48" s="26"/>
      <c r="Z48" s="26"/>
      <c r="AA48" s="26"/>
      <c r="AB48" s="23"/>
      <c r="AC48" s="23"/>
      <c r="AD48" s="23">
        <v>1</v>
      </c>
      <c r="AE48" s="26"/>
      <c r="AF48" s="26"/>
      <c r="AG48" s="25">
        <f t="shared" ref="AG48" si="67">$AH48/$C48*AD48</f>
        <v>26890</v>
      </c>
      <c r="AH48" s="26">
        <v>26890</v>
      </c>
      <c r="AI48" s="26">
        <v>15865</v>
      </c>
      <c r="AJ48" s="26"/>
      <c r="AK48" s="26"/>
      <c r="AL48" s="26">
        <v>11025</v>
      </c>
      <c r="AM48" s="26"/>
      <c r="AN48" s="26"/>
      <c r="AO48" s="35" t="s">
        <v>100</v>
      </c>
      <c r="AP48" s="22" t="s">
        <v>154</v>
      </c>
      <c r="AQ48" s="22"/>
    </row>
    <row r="49" spans="1:43" ht="90">
      <c r="A49" s="18" t="s">
        <v>183</v>
      </c>
      <c r="B49" s="18" t="s">
        <v>184</v>
      </c>
      <c r="C49" s="19"/>
      <c r="D49" s="18" t="s">
        <v>52</v>
      </c>
      <c r="E49" s="18" t="s">
        <v>185</v>
      </c>
      <c r="F49" s="18" t="s">
        <v>186</v>
      </c>
      <c r="G49" s="20">
        <f t="shared" si="0"/>
        <v>0.622341307624799</v>
      </c>
      <c r="H49" s="20"/>
      <c r="I49" s="20"/>
      <c r="J49" s="19"/>
      <c r="K49" s="19"/>
      <c r="L49" s="19"/>
      <c r="M49" s="21"/>
      <c r="N49" s="21"/>
      <c r="O49" s="21"/>
      <c r="P49" s="19"/>
      <c r="Q49" s="19"/>
      <c r="R49" s="19"/>
      <c r="S49" s="21"/>
      <c r="T49" s="21">
        <f>T50</f>
        <v>16700</v>
      </c>
      <c r="U49" s="21"/>
      <c r="V49" s="19"/>
      <c r="W49" s="19"/>
      <c r="X49" s="19"/>
      <c r="Y49" s="21"/>
      <c r="Z49" s="21"/>
      <c r="AA49" s="21"/>
      <c r="AB49" s="19"/>
      <c r="AC49" s="19"/>
      <c r="AD49" s="19"/>
      <c r="AE49" s="21"/>
      <c r="AF49" s="21"/>
      <c r="AG49" s="21"/>
      <c r="AH49" s="21">
        <f>AH50</f>
        <v>16700</v>
      </c>
      <c r="AI49" s="21">
        <f>AI50</f>
        <v>8015</v>
      </c>
      <c r="AJ49" s="21"/>
      <c r="AK49" s="21"/>
      <c r="AL49" s="21">
        <f>AL50</f>
        <v>8685</v>
      </c>
      <c r="AM49" s="21"/>
      <c r="AN49" s="21"/>
      <c r="AO49" s="18"/>
      <c r="AP49" s="18" t="s">
        <v>43</v>
      </c>
      <c r="AQ49" s="18"/>
    </row>
    <row r="50" spans="1:43" ht="105">
      <c r="A50" s="22" t="s">
        <v>187</v>
      </c>
      <c r="B50" s="22" t="s">
        <v>188</v>
      </c>
      <c r="C50" s="23">
        <v>1</v>
      </c>
      <c r="D50" s="22" t="s">
        <v>52</v>
      </c>
      <c r="E50" s="22" t="s">
        <v>185</v>
      </c>
      <c r="F50" s="22" t="s">
        <v>186</v>
      </c>
      <c r="G50" s="24">
        <f t="shared" si="0"/>
        <v>0.622341307624799</v>
      </c>
      <c r="H50" s="24"/>
      <c r="I50" s="24">
        <v>100</v>
      </c>
      <c r="J50" s="23"/>
      <c r="K50" s="23"/>
      <c r="L50" s="23"/>
      <c r="M50" s="26"/>
      <c r="N50" s="26"/>
      <c r="O50" s="26"/>
      <c r="P50" s="23"/>
      <c r="Q50" s="23">
        <v>1</v>
      </c>
      <c r="R50" s="23"/>
      <c r="S50" s="26"/>
      <c r="T50" s="25">
        <f t="shared" ref="T50" si="68">$AH50/$C50*Q50</f>
        <v>16700</v>
      </c>
      <c r="U50" s="26"/>
      <c r="V50" s="23"/>
      <c r="W50" s="23"/>
      <c r="X50" s="23"/>
      <c r="Y50" s="26"/>
      <c r="Z50" s="26"/>
      <c r="AA50" s="26"/>
      <c r="AB50" s="23"/>
      <c r="AC50" s="23"/>
      <c r="AD50" s="23"/>
      <c r="AE50" s="26"/>
      <c r="AF50" s="26"/>
      <c r="AG50" s="26"/>
      <c r="AH50" s="26">
        <v>16700</v>
      </c>
      <c r="AI50" s="26">
        <v>8015</v>
      </c>
      <c r="AJ50" s="26"/>
      <c r="AK50" s="26"/>
      <c r="AL50" s="26">
        <v>8685</v>
      </c>
      <c r="AM50" s="26"/>
      <c r="AN50" s="26"/>
      <c r="AO50" s="35" t="s">
        <v>100</v>
      </c>
      <c r="AP50" s="22" t="s">
        <v>154</v>
      </c>
      <c r="AQ50" s="22" t="s">
        <v>189</v>
      </c>
    </row>
    <row r="51" spans="1:43" ht="90">
      <c r="A51" s="18" t="s">
        <v>190</v>
      </c>
      <c r="B51" s="18" t="s">
        <v>191</v>
      </c>
      <c r="C51" s="19"/>
      <c r="D51" s="18" t="s">
        <v>57</v>
      </c>
      <c r="E51" s="18" t="s">
        <v>192</v>
      </c>
      <c r="F51" s="18" t="s">
        <v>52</v>
      </c>
      <c r="G51" s="20">
        <f t="shared" si="0"/>
        <v>0.622341307624799</v>
      </c>
      <c r="H51" s="20"/>
      <c r="I51" s="20"/>
      <c r="J51" s="19"/>
      <c r="K51" s="19"/>
      <c r="L51" s="19"/>
      <c r="M51" s="21"/>
      <c r="N51" s="21"/>
      <c r="O51" s="21"/>
      <c r="P51" s="19"/>
      <c r="Q51" s="19"/>
      <c r="R51" s="19"/>
      <c r="S51" s="21"/>
      <c r="T51" s="21"/>
      <c r="U51" s="21"/>
      <c r="V51" s="19"/>
      <c r="W51" s="19"/>
      <c r="X51" s="19"/>
      <c r="Y51" s="21"/>
      <c r="Z51" s="21"/>
      <c r="AA51" s="21"/>
      <c r="AB51" s="19"/>
      <c r="AC51" s="19"/>
      <c r="AD51" s="19"/>
      <c r="AE51" s="21"/>
      <c r="AF51" s="21">
        <f>AF52</f>
        <v>16700</v>
      </c>
      <c r="AG51" s="21"/>
      <c r="AH51" s="21">
        <f>AH52</f>
        <v>16700</v>
      </c>
      <c r="AI51" s="21">
        <f>AI52</f>
        <v>8015</v>
      </c>
      <c r="AJ51" s="21"/>
      <c r="AK51" s="21"/>
      <c r="AL51" s="21">
        <f>AL52</f>
        <v>8685</v>
      </c>
      <c r="AM51" s="21"/>
      <c r="AN51" s="21"/>
      <c r="AO51" s="18"/>
      <c r="AP51" s="18" t="s">
        <v>43</v>
      </c>
      <c r="AQ51" s="18"/>
    </row>
    <row r="52" spans="1:43" ht="105">
      <c r="A52" s="22" t="s">
        <v>193</v>
      </c>
      <c r="B52" s="22" t="s">
        <v>194</v>
      </c>
      <c r="C52" s="23">
        <v>1</v>
      </c>
      <c r="D52" s="22" t="s">
        <v>52</v>
      </c>
      <c r="E52" s="22" t="s">
        <v>192</v>
      </c>
      <c r="F52" s="22" t="s">
        <v>52</v>
      </c>
      <c r="G52" s="24">
        <f t="shared" si="0"/>
        <v>0.622341307624799</v>
      </c>
      <c r="H52" s="24"/>
      <c r="I52" s="24">
        <v>100</v>
      </c>
      <c r="J52" s="23"/>
      <c r="K52" s="23"/>
      <c r="L52" s="23"/>
      <c r="M52" s="26"/>
      <c r="N52" s="26"/>
      <c r="O52" s="26"/>
      <c r="P52" s="23"/>
      <c r="Q52" s="23"/>
      <c r="R52" s="23"/>
      <c r="S52" s="26"/>
      <c r="T52" s="26"/>
      <c r="U52" s="26"/>
      <c r="V52" s="23"/>
      <c r="W52" s="23"/>
      <c r="X52" s="23"/>
      <c r="Y52" s="26"/>
      <c r="Z52" s="26"/>
      <c r="AA52" s="26"/>
      <c r="AB52" s="23"/>
      <c r="AC52" s="23">
        <v>1</v>
      </c>
      <c r="AD52" s="23"/>
      <c r="AE52" s="26"/>
      <c r="AF52" s="25">
        <f t="shared" ref="AF52" si="69">$AH52/$C52*AC52</f>
        <v>16700</v>
      </c>
      <c r="AG52" s="26"/>
      <c r="AH52" s="26">
        <v>16700</v>
      </c>
      <c r="AI52" s="26">
        <v>8015</v>
      </c>
      <c r="AJ52" s="26"/>
      <c r="AK52" s="26"/>
      <c r="AL52" s="26">
        <v>8685</v>
      </c>
      <c r="AM52" s="26"/>
      <c r="AN52" s="26"/>
      <c r="AO52" s="35" t="s">
        <v>100</v>
      </c>
      <c r="AP52" s="22" t="s">
        <v>195</v>
      </c>
      <c r="AQ52" s="22" t="s">
        <v>196</v>
      </c>
    </row>
    <row r="53" spans="1:43" ht="60">
      <c r="A53" s="18" t="s">
        <v>197</v>
      </c>
      <c r="B53" s="18" t="s">
        <v>198</v>
      </c>
      <c r="C53" s="19"/>
      <c r="D53" s="18" t="s">
        <v>159</v>
      </c>
      <c r="E53" s="18" t="s">
        <v>79</v>
      </c>
      <c r="F53" s="18"/>
      <c r="G53" s="20">
        <f t="shared" si="0"/>
        <v>0.9454370643377934</v>
      </c>
      <c r="H53" s="20"/>
      <c r="I53" s="20"/>
      <c r="J53" s="19"/>
      <c r="K53" s="19"/>
      <c r="L53" s="19"/>
      <c r="M53" s="21"/>
      <c r="N53" s="21"/>
      <c r="O53" s="21"/>
      <c r="P53" s="19"/>
      <c r="Q53" s="19"/>
      <c r="R53" s="19"/>
      <c r="S53" s="21"/>
      <c r="T53" s="21"/>
      <c r="U53" s="21"/>
      <c r="V53" s="19"/>
      <c r="W53" s="19"/>
      <c r="X53" s="19"/>
      <c r="Y53" s="21"/>
      <c r="Z53" s="21">
        <f>Z54</f>
        <v>25370</v>
      </c>
      <c r="AA53" s="21"/>
      <c r="AB53" s="19"/>
      <c r="AC53" s="19"/>
      <c r="AD53" s="19"/>
      <c r="AE53" s="21"/>
      <c r="AF53" s="21"/>
      <c r="AG53" s="21"/>
      <c r="AH53" s="21">
        <f>AH54</f>
        <v>25370</v>
      </c>
      <c r="AI53" s="21">
        <f>AI54</f>
        <v>7865</v>
      </c>
      <c r="AJ53" s="21"/>
      <c r="AK53" s="21"/>
      <c r="AL53" s="21">
        <f>AL54</f>
        <v>17505</v>
      </c>
      <c r="AM53" s="21"/>
      <c r="AN53" s="21"/>
      <c r="AO53" s="18"/>
      <c r="AP53" s="18" t="s">
        <v>43</v>
      </c>
      <c r="AQ53" s="18"/>
    </row>
    <row r="54" spans="1:43" ht="75">
      <c r="A54" s="22" t="s">
        <v>199</v>
      </c>
      <c r="B54" s="22" t="s">
        <v>200</v>
      </c>
      <c r="C54" s="23">
        <v>1</v>
      </c>
      <c r="D54" s="22" t="s">
        <v>159</v>
      </c>
      <c r="E54" s="22" t="s">
        <v>79</v>
      </c>
      <c r="F54" s="22" t="s">
        <v>57</v>
      </c>
      <c r="G54" s="24">
        <f t="shared" si="0"/>
        <v>0.9454370643377934</v>
      </c>
      <c r="H54" s="24"/>
      <c r="I54" s="24">
        <v>100</v>
      </c>
      <c r="J54" s="23"/>
      <c r="K54" s="23"/>
      <c r="L54" s="23"/>
      <c r="M54" s="26"/>
      <c r="N54" s="26"/>
      <c r="O54" s="26"/>
      <c r="P54" s="23"/>
      <c r="Q54" s="23"/>
      <c r="R54" s="23"/>
      <c r="S54" s="26"/>
      <c r="T54" s="26"/>
      <c r="U54" s="26"/>
      <c r="V54" s="23"/>
      <c r="W54" s="23">
        <v>1</v>
      </c>
      <c r="X54" s="23"/>
      <c r="Y54" s="26"/>
      <c r="Z54" s="25">
        <f t="shared" ref="Z54" si="70">$AH54/$C54*W54</f>
        <v>25370</v>
      </c>
      <c r="AA54" s="26"/>
      <c r="AB54" s="23"/>
      <c r="AC54" s="23"/>
      <c r="AD54" s="23"/>
      <c r="AE54" s="26"/>
      <c r="AF54" s="26"/>
      <c r="AG54" s="26"/>
      <c r="AH54" s="26">
        <v>25370</v>
      </c>
      <c r="AI54" s="26">
        <v>7865</v>
      </c>
      <c r="AJ54" s="26"/>
      <c r="AK54" s="26"/>
      <c r="AL54" s="26">
        <v>17505</v>
      </c>
      <c r="AM54" s="26"/>
      <c r="AN54" s="26"/>
      <c r="AO54" s="36" t="s">
        <v>100</v>
      </c>
      <c r="AP54" s="22" t="s">
        <v>135</v>
      </c>
      <c r="AQ54" s="42" t="s">
        <v>201</v>
      </c>
    </row>
    <row r="55" spans="1:43" ht="45">
      <c r="A55" s="14" t="s">
        <v>202</v>
      </c>
      <c r="B55" s="14" t="s">
        <v>203</v>
      </c>
      <c r="C55" s="15"/>
      <c r="D55" s="14"/>
      <c r="E55" s="14"/>
      <c r="F55" s="14"/>
      <c r="G55" s="16">
        <f t="shared" si="0"/>
        <v>13.166058921188112</v>
      </c>
      <c r="H55" s="16"/>
      <c r="I55" s="16"/>
      <c r="J55" s="15"/>
      <c r="K55" s="15"/>
      <c r="L55" s="15"/>
      <c r="M55" s="17">
        <f>M56+M60</f>
        <v>17003.796829749714</v>
      </c>
      <c r="N55" s="17">
        <f t="shared" ref="N55:O55" si="71">N56+N60</f>
        <v>24897.537854519571</v>
      </c>
      <c r="O55" s="17">
        <f t="shared" si="71"/>
        <v>17372.25008089437</v>
      </c>
      <c r="P55" s="15"/>
      <c r="Q55" s="15"/>
      <c r="R55" s="15"/>
      <c r="S55" s="17">
        <f t="shared" ref="S55:U55" si="72">S56+S60</f>
        <v>22411.417211213495</v>
      </c>
      <c r="T55" s="17">
        <f t="shared" si="72"/>
        <v>30790.32376629702</v>
      </c>
      <c r="U55" s="17">
        <f t="shared" si="72"/>
        <v>43825.221251844603</v>
      </c>
      <c r="V55" s="15"/>
      <c r="W55" s="15"/>
      <c r="X55" s="15"/>
      <c r="Y55" s="17">
        <f t="shared" ref="Y55:AA55" si="73">Y56+Y60</f>
        <v>56581.628566909436</v>
      </c>
      <c r="Z55" s="17">
        <f t="shared" si="73"/>
        <v>35657.991119288534</v>
      </c>
      <c r="AA55" s="17">
        <f t="shared" si="73"/>
        <v>16376.745563156788</v>
      </c>
      <c r="AB55" s="15"/>
      <c r="AC55" s="15"/>
      <c r="AD55" s="15"/>
      <c r="AE55" s="17">
        <f t="shared" ref="AE55:AI55" si="74">AE56+AE60</f>
        <v>16376.745563156788</v>
      </c>
      <c r="AF55" s="17">
        <f t="shared" si="74"/>
        <v>58964.334991880765</v>
      </c>
      <c r="AG55" s="17">
        <f t="shared" si="74"/>
        <v>13042.007201088923</v>
      </c>
      <c r="AH55" s="17">
        <f t="shared" si="74"/>
        <v>353300</v>
      </c>
      <c r="AI55" s="17">
        <f t="shared" si="74"/>
        <v>258315</v>
      </c>
      <c r="AJ55" s="17"/>
      <c r="AK55" s="17"/>
      <c r="AL55" s="17">
        <f>AL56+AL60</f>
        <v>94985</v>
      </c>
      <c r="AM55" s="17"/>
      <c r="AN55" s="17"/>
      <c r="AO55" s="14"/>
      <c r="AP55" s="14" t="s">
        <v>43</v>
      </c>
      <c r="AQ55" s="14"/>
    </row>
    <row r="56" spans="1:43" ht="60">
      <c r="A56" s="18" t="s">
        <v>204</v>
      </c>
      <c r="B56" s="18" t="s">
        <v>205</v>
      </c>
      <c r="C56" s="19"/>
      <c r="D56" s="18" t="s">
        <v>149</v>
      </c>
      <c r="E56" s="18" t="s">
        <v>206</v>
      </c>
      <c r="F56" s="18" t="s">
        <v>52</v>
      </c>
      <c r="G56" s="20">
        <f t="shared" si="0"/>
        <v>11.598466878958343</v>
      </c>
      <c r="H56" s="20"/>
      <c r="I56" s="20"/>
      <c r="J56" s="19"/>
      <c r="K56" s="19"/>
      <c r="L56" s="19"/>
      <c r="M56" s="21">
        <f>SUM(M57:M59)</f>
        <v>17003.796829749714</v>
      </c>
      <c r="N56" s="21">
        <f t="shared" ref="N56:O56" si="75">SUM(N57:N59)</f>
        <v>24897.537854519571</v>
      </c>
      <c r="O56" s="21">
        <f t="shared" si="75"/>
        <v>17372.25008089437</v>
      </c>
      <c r="P56" s="19"/>
      <c r="Q56" s="19"/>
      <c r="R56" s="19"/>
      <c r="S56" s="21">
        <f t="shared" ref="S56:U56" si="76">SUM(S57:S59)</f>
        <v>22411.417211213495</v>
      </c>
      <c r="T56" s="21">
        <f t="shared" si="76"/>
        <v>30790.32376629702</v>
      </c>
      <c r="U56" s="21">
        <f t="shared" si="76"/>
        <v>43825.221251844603</v>
      </c>
      <c r="V56" s="19"/>
      <c r="W56" s="19"/>
      <c r="X56" s="19"/>
      <c r="Y56" s="21">
        <f t="shared" ref="Y56:AA56" si="77">SUM(Y57:Y59)</f>
        <v>56581.628566909436</v>
      </c>
      <c r="Z56" s="21">
        <f t="shared" si="77"/>
        <v>35657.991119288534</v>
      </c>
      <c r="AA56" s="21">
        <f t="shared" si="77"/>
        <v>16376.745563156788</v>
      </c>
      <c r="AB56" s="19"/>
      <c r="AC56" s="19"/>
      <c r="AD56" s="19"/>
      <c r="AE56" s="21">
        <f t="shared" ref="AE56:AI56" si="78">SUM(AE57:AE59)</f>
        <v>16376.745563156788</v>
      </c>
      <c r="AF56" s="21">
        <f t="shared" si="78"/>
        <v>16899.334991880762</v>
      </c>
      <c r="AG56" s="21">
        <f t="shared" si="78"/>
        <v>13042.007201088923</v>
      </c>
      <c r="AH56" s="21">
        <f t="shared" si="78"/>
        <v>311235</v>
      </c>
      <c r="AI56" s="21">
        <f t="shared" si="78"/>
        <v>242330</v>
      </c>
      <c r="AJ56" s="21"/>
      <c r="AK56" s="21"/>
      <c r="AL56" s="21">
        <f t="shared" ref="AL56" si="79">SUM(AL57:AL59)</f>
        <v>68905</v>
      </c>
      <c r="AM56" s="21"/>
      <c r="AN56" s="21"/>
      <c r="AO56" s="18"/>
      <c r="AP56" s="18" t="s">
        <v>43</v>
      </c>
      <c r="AQ56" s="18"/>
    </row>
    <row r="57" spans="1:43" ht="90">
      <c r="A57" s="22" t="s">
        <v>207</v>
      </c>
      <c r="B57" s="22" t="s">
        <v>208</v>
      </c>
      <c r="C57" s="23">
        <v>12</v>
      </c>
      <c r="D57" s="22" t="s">
        <v>57</v>
      </c>
      <c r="E57" s="22" t="s">
        <v>209</v>
      </c>
      <c r="F57" s="22" t="s">
        <v>52</v>
      </c>
      <c r="G57" s="24">
        <f t="shared" si="0"/>
        <v>1.6812531792510663</v>
      </c>
      <c r="H57" s="24"/>
      <c r="I57" s="24">
        <v>16</v>
      </c>
      <c r="J57" s="23">
        <v>1</v>
      </c>
      <c r="K57" s="23">
        <v>1</v>
      </c>
      <c r="L57" s="23">
        <v>1</v>
      </c>
      <c r="M57" s="25">
        <f t="shared" ref="M57:O59" si="80">$AH57/$C57*J57</f>
        <v>3759.5833333333335</v>
      </c>
      <c r="N57" s="25">
        <f t="shared" si="80"/>
        <v>3759.5833333333335</v>
      </c>
      <c r="O57" s="25">
        <f t="shared" si="80"/>
        <v>3759.5833333333335</v>
      </c>
      <c r="P57" s="23">
        <v>1</v>
      </c>
      <c r="Q57" s="23">
        <v>1</v>
      </c>
      <c r="R57" s="23">
        <v>1</v>
      </c>
      <c r="S57" s="25">
        <f t="shared" ref="S57:U59" si="81">$AH57/$C57*P57</f>
        <v>3759.5833333333335</v>
      </c>
      <c r="T57" s="25">
        <f t="shared" si="81"/>
        <v>3759.5833333333335</v>
      </c>
      <c r="U57" s="25">
        <f t="shared" si="81"/>
        <v>3759.5833333333335</v>
      </c>
      <c r="V57" s="23">
        <v>1</v>
      </c>
      <c r="W57" s="23">
        <v>1</v>
      </c>
      <c r="X57" s="23">
        <v>1</v>
      </c>
      <c r="Y57" s="25">
        <f t="shared" ref="Y57:AA59" si="82">$AH57/$C57*V57</f>
        <v>3759.5833333333335</v>
      </c>
      <c r="Z57" s="25">
        <f t="shared" si="82"/>
        <v>3759.5833333333335</v>
      </c>
      <c r="AA57" s="25">
        <f t="shared" si="82"/>
        <v>3759.5833333333335</v>
      </c>
      <c r="AB57" s="23">
        <v>1</v>
      </c>
      <c r="AC57" s="23">
        <v>1</v>
      </c>
      <c r="AD57" s="23">
        <v>1</v>
      </c>
      <c r="AE57" s="25">
        <f t="shared" ref="AE57:AG61" si="83">$AH57/$C57*AB57</f>
        <v>3759.5833333333335</v>
      </c>
      <c r="AF57" s="25">
        <f t="shared" si="83"/>
        <v>3759.5833333333335</v>
      </c>
      <c r="AG57" s="25">
        <f t="shared" si="83"/>
        <v>3759.5833333333335</v>
      </c>
      <c r="AH57" s="26">
        <v>45115</v>
      </c>
      <c r="AI57" s="26">
        <v>32030</v>
      </c>
      <c r="AJ57" s="26"/>
      <c r="AK57" s="26"/>
      <c r="AL57" s="26">
        <v>13085</v>
      </c>
      <c r="AM57" s="26"/>
      <c r="AN57" s="26"/>
      <c r="AO57" s="36" t="s">
        <v>210</v>
      </c>
      <c r="AP57" s="22" t="s">
        <v>211</v>
      </c>
      <c r="AQ57" s="36" t="s">
        <v>212</v>
      </c>
    </row>
    <row r="58" spans="1:43" ht="105">
      <c r="A58" s="22" t="s">
        <v>213</v>
      </c>
      <c r="B58" s="22" t="s">
        <v>214</v>
      </c>
      <c r="C58" s="23">
        <v>9365</v>
      </c>
      <c r="D58" s="22" t="s">
        <v>149</v>
      </c>
      <c r="E58" s="22" t="s">
        <v>206</v>
      </c>
      <c r="F58" s="22" t="s">
        <v>52</v>
      </c>
      <c r="G58" s="24">
        <f t="shared" si="0"/>
        <v>6.0793801927767417</v>
      </c>
      <c r="H58" s="24"/>
      <c r="I58" s="24">
        <v>42</v>
      </c>
      <c r="J58" s="43">
        <v>402</v>
      </c>
      <c r="K58" s="27">
        <v>676</v>
      </c>
      <c r="L58" s="27">
        <v>244</v>
      </c>
      <c r="M58" s="25">
        <f t="shared" si="80"/>
        <v>7002.6983449012287</v>
      </c>
      <c r="N58" s="25">
        <f t="shared" si="80"/>
        <v>11775.681793913509</v>
      </c>
      <c r="O58" s="25">
        <f t="shared" si="80"/>
        <v>4250.3940202883077</v>
      </c>
      <c r="P58" s="27">
        <v>637</v>
      </c>
      <c r="Q58" s="44">
        <v>1052</v>
      </c>
      <c r="R58" s="44">
        <v>1772</v>
      </c>
      <c r="S58" s="25">
        <f t="shared" si="81"/>
        <v>11096.315536572345</v>
      </c>
      <c r="T58" s="25">
        <f t="shared" si="81"/>
        <v>18325.469300587294</v>
      </c>
      <c r="U58" s="25">
        <f t="shared" si="81"/>
        <v>30867.615589962628</v>
      </c>
      <c r="V58" s="44">
        <v>2212</v>
      </c>
      <c r="W58" s="44">
        <v>1190</v>
      </c>
      <c r="X58" s="27">
        <v>300</v>
      </c>
      <c r="Y58" s="25">
        <f t="shared" si="82"/>
        <v>38532.260544580888</v>
      </c>
      <c r="Z58" s="25">
        <f t="shared" si="82"/>
        <v>20729.380672717565</v>
      </c>
      <c r="AA58" s="25">
        <f t="shared" si="82"/>
        <v>5225.8942872397229</v>
      </c>
      <c r="AB58" s="27">
        <v>300</v>
      </c>
      <c r="AC58" s="27">
        <v>330</v>
      </c>
      <c r="AD58" s="27">
        <v>250</v>
      </c>
      <c r="AE58" s="25">
        <f t="shared" si="83"/>
        <v>5225.8942872397229</v>
      </c>
      <c r="AF58" s="25">
        <f t="shared" si="83"/>
        <v>5748.4837159636954</v>
      </c>
      <c r="AG58" s="25">
        <f t="shared" si="83"/>
        <v>4354.9119060331022</v>
      </c>
      <c r="AH58" s="26">
        <v>163135</v>
      </c>
      <c r="AI58" s="26">
        <v>125205</v>
      </c>
      <c r="AJ58" s="26"/>
      <c r="AK58" s="26"/>
      <c r="AL58" s="26">
        <v>37930</v>
      </c>
      <c r="AM58" s="26"/>
      <c r="AN58" s="26"/>
      <c r="AO58" s="36" t="s">
        <v>210</v>
      </c>
      <c r="AP58" s="22" t="s">
        <v>154</v>
      </c>
      <c r="AQ58" s="36" t="s">
        <v>215</v>
      </c>
    </row>
    <row r="59" spans="1:43" ht="105">
      <c r="A59" s="22" t="s">
        <v>216</v>
      </c>
      <c r="B59" s="22" t="s">
        <v>217</v>
      </c>
      <c r="C59" s="23">
        <v>627</v>
      </c>
      <c r="D59" s="22" t="s">
        <v>149</v>
      </c>
      <c r="E59" s="22" t="s">
        <v>206</v>
      </c>
      <c r="F59" s="22" t="s">
        <v>52</v>
      </c>
      <c r="G59" s="24">
        <f t="shared" si="0"/>
        <v>3.8378335069305347</v>
      </c>
      <c r="H59" s="24"/>
      <c r="I59" s="24">
        <v>42</v>
      </c>
      <c r="J59" s="43">
        <v>38</v>
      </c>
      <c r="K59" s="27">
        <v>57</v>
      </c>
      <c r="L59" s="27">
        <v>57</v>
      </c>
      <c r="M59" s="25">
        <f t="shared" si="80"/>
        <v>6241.515151515152</v>
      </c>
      <c r="N59" s="25">
        <f t="shared" si="80"/>
        <v>9362.2727272727279</v>
      </c>
      <c r="O59" s="25">
        <f t="shared" si="80"/>
        <v>9362.2727272727279</v>
      </c>
      <c r="P59" s="27">
        <v>46</v>
      </c>
      <c r="Q59" s="27">
        <v>53</v>
      </c>
      <c r="R59" s="27">
        <v>56</v>
      </c>
      <c r="S59" s="25">
        <f t="shared" si="81"/>
        <v>7555.5183413078157</v>
      </c>
      <c r="T59" s="25">
        <f t="shared" si="81"/>
        <v>8705.2711323763961</v>
      </c>
      <c r="U59" s="25">
        <f t="shared" si="81"/>
        <v>9198.0223285486445</v>
      </c>
      <c r="V59" s="27">
        <v>87</v>
      </c>
      <c r="W59" s="27">
        <v>68</v>
      </c>
      <c r="X59" s="27">
        <v>45</v>
      </c>
      <c r="Y59" s="25">
        <f t="shared" si="82"/>
        <v>14289.784688995216</v>
      </c>
      <c r="Z59" s="25">
        <f t="shared" si="82"/>
        <v>11169.02711323764</v>
      </c>
      <c r="AA59" s="25">
        <f t="shared" si="82"/>
        <v>7391.2679425837323</v>
      </c>
      <c r="AB59" s="27">
        <v>45</v>
      </c>
      <c r="AC59" s="27">
        <v>45</v>
      </c>
      <c r="AD59" s="27">
        <v>30</v>
      </c>
      <c r="AE59" s="25">
        <f t="shared" si="83"/>
        <v>7391.2679425837323</v>
      </c>
      <c r="AF59" s="25">
        <f t="shared" si="83"/>
        <v>7391.2679425837323</v>
      </c>
      <c r="AG59" s="25">
        <f t="shared" si="83"/>
        <v>4927.5119617224882</v>
      </c>
      <c r="AH59" s="26">
        <v>102985</v>
      </c>
      <c r="AI59" s="26">
        <v>85095</v>
      </c>
      <c r="AJ59" s="26"/>
      <c r="AK59" s="26"/>
      <c r="AL59" s="26">
        <v>17890</v>
      </c>
      <c r="AM59" s="26"/>
      <c r="AN59" s="26"/>
      <c r="AO59" s="36" t="s">
        <v>210</v>
      </c>
      <c r="AP59" s="22" t="s">
        <v>154</v>
      </c>
      <c r="AQ59" s="36" t="s">
        <v>215</v>
      </c>
    </row>
    <row r="60" spans="1:43" ht="90">
      <c r="A60" s="18" t="s">
        <v>218</v>
      </c>
      <c r="B60" s="18" t="s">
        <v>219</v>
      </c>
      <c r="C60" s="19"/>
      <c r="D60" s="18" t="s">
        <v>220</v>
      </c>
      <c r="E60" s="18" t="s">
        <v>221</v>
      </c>
      <c r="F60" s="18" t="s">
        <v>52</v>
      </c>
      <c r="G60" s="20">
        <f t="shared" si="0"/>
        <v>1.5675920422297707</v>
      </c>
      <c r="H60" s="20"/>
      <c r="I60" s="20"/>
      <c r="J60" s="19"/>
      <c r="K60" s="19"/>
      <c r="L60" s="19"/>
      <c r="M60" s="21"/>
      <c r="N60" s="21"/>
      <c r="O60" s="21"/>
      <c r="P60" s="19"/>
      <c r="Q60" s="19"/>
      <c r="R60" s="19"/>
      <c r="S60" s="21"/>
      <c r="T60" s="21"/>
      <c r="U60" s="21"/>
      <c r="V60" s="19"/>
      <c r="W60" s="19"/>
      <c r="X60" s="19"/>
      <c r="Y60" s="21"/>
      <c r="Z60" s="21"/>
      <c r="AA60" s="21"/>
      <c r="AB60" s="19"/>
      <c r="AC60" s="19"/>
      <c r="AD60" s="19"/>
      <c r="AE60" s="21"/>
      <c r="AF60" s="21">
        <f>AF61</f>
        <v>42065</v>
      </c>
      <c r="AG60" s="21"/>
      <c r="AH60" s="21">
        <f>AH61</f>
        <v>42065</v>
      </c>
      <c r="AI60" s="21">
        <f>AI61</f>
        <v>15985</v>
      </c>
      <c r="AJ60" s="21"/>
      <c r="AK60" s="21"/>
      <c r="AL60" s="21">
        <f>AL61</f>
        <v>26080</v>
      </c>
      <c r="AM60" s="21"/>
      <c r="AN60" s="21"/>
      <c r="AO60" s="18"/>
      <c r="AP60" s="18" t="s">
        <v>43</v>
      </c>
      <c r="AQ60" s="18"/>
    </row>
    <row r="61" spans="1:43" ht="105">
      <c r="A61" s="22" t="s">
        <v>222</v>
      </c>
      <c r="B61" s="22" t="s">
        <v>223</v>
      </c>
      <c r="C61" s="23">
        <v>1</v>
      </c>
      <c r="D61" s="22" t="s">
        <v>220</v>
      </c>
      <c r="E61" s="22" t="s">
        <v>224</v>
      </c>
      <c r="F61" s="22" t="s">
        <v>52</v>
      </c>
      <c r="G61" s="24">
        <f t="shared" si="0"/>
        <v>1.5675920422297707</v>
      </c>
      <c r="H61" s="24"/>
      <c r="I61" s="24">
        <v>100</v>
      </c>
      <c r="J61" s="23"/>
      <c r="K61" s="23"/>
      <c r="L61" s="23"/>
      <c r="M61" s="26"/>
      <c r="N61" s="26"/>
      <c r="O61" s="26"/>
      <c r="P61" s="23"/>
      <c r="Q61" s="23"/>
      <c r="R61" s="23"/>
      <c r="S61" s="26"/>
      <c r="T61" s="26"/>
      <c r="U61" s="26"/>
      <c r="V61" s="23"/>
      <c r="W61" s="23"/>
      <c r="X61" s="23"/>
      <c r="Y61" s="26"/>
      <c r="Z61" s="26"/>
      <c r="AA61" s="26"/>
      <c r="AB61" s="23"/>
      <c r="AC61" s="23">
        <v>1</v>
      </c>
      <c r="AD61" s="23"/>
      <c r="AE61" s="26"/>
      <c r="AF61" s="25">
        <f t="shared" si="83"/>
        <v>42065</v>
      </c>
      <c r="AG61" s="26"/>
      <c r="AH61" s="26">
        <v>42065</v>
      </c>
      <c r="AI61" s="26">
        <v>15985</v>
      </c>
      <c r="AJ61" s="26"/>
      <c r="AK61" s="26"/>
      <c r="AL61" s="26">
        <v>26080</v>
      </c>
      <c r="AM61" s="26"/>
      <c r="AN61" s="26"/>
      <c r="AO61" s="36" t="s">
        <v>100</v>
      </c>
      <c r="AP61" s="42" t="s">
        <v>225</v>
      </c>
      <c r="AQ61" s="37" t="s">
        <v>226</v>
      </c>
    </row>
    <row r="62" spans="1:43" ht="75">
      <c r="A62" s="14" t="s">
        <v>227</v>
      </c>
      <c r="B62" s="14" t="s">
        <v>228</v>
      </c>
      <c r="C62" s="15"/>
      <c r="D62" s="14"/>
      <c r="E62" s="14"/>
      <c r="F62" s="14"/>
      <c r="G62" s="16">
        <f t="shared" si="0"/>
        <v>9.1430136598327127</v>
      </c>
      <c r="H62" s="16"/>
      <c r="I62" s="16"/>
      <c r="J62" s="15"/>
      <c r="K62" s="15"/>
      <c r="L62" s="15"/>
      <c r="M62" s="17">
        <f>M63+M65++M67+M69+M71+M73</f>
        <v>5150.54054054054</v>
      </c>
      <c r="N62" s="17">
        <f>N63+N65++N67+N69+N71+N73</f>
        <v>36683.738738738743</v>
      </c>
      <c r="O62" s="17">
        <f>O63+O65++O67+O69+O71+O73</f>
        <v>26839.797297297297</v>
      </c>
      <c r="P62" s="15"/>
      <c r="Q62" s="15"/>
      <c r="R62" s="15"/>
      <c r="S62" s="17">
        <f>S63+S65++S67+S69+S71+S73</f>
        <v>29995.596846846849</v>
      </c>
      <c r="T62" s="17">
        <f>T63+T65++T67+T69+T71+T73</f>
        <v>5761.6216216216217</v>
      </c>
      <c r="U62" s="17">
        <f>U63+U65++U67+U69+U71+U73</f>
        <v>33413.502252252256</v>
      </c>
      <c r="V62" s="15"/>
      <c r="W62" s="15"/>
      <c r="X62" s="15"/>
      <c r="Y62" s="17">
        <f>Y63+Y65++Y67+Y69+Y71+Y73</f>
        <v>6372.7027027027025</v>
      </c>
      <c r="Z62" s="17">
        <f>Z63+Z65++Z67+Z69+Z71+Z73</f>
        <v>19809.144144144142</v>
      </c>
      <c r="AA62" s="17">
        <f>AA63+AA65++AA67+AA69+AA71+AA73</f>
        <v>16821.047297297297</v>
      </c>
      <c r="AB62" s="15"/>
      <c r="AC62" s="15"/>
      <c r="AD62" s="15"/>
      <c r="AE62" s="17">
        <f>AE63+AE65++AE67+AE69+AE71+AE73</f>
        <v>20245.630630630629</v>
      </c>
      <c r="AF62" s="17">
        <f>AF63+AF65++AF67+AF69+AF71+AF73</f>
        <v>20413.547297297297</v>
      </c>
      <c r="AG62" s="17">
        <f>AG63+AG65++AG67+AG69+AG71+AG73</f>
        <v>23838.130630630632</v>
      </c>
      <c r="AH62" s="17">
        <f>AH63+AH65++AH67+AH69+AH71+AH73</f>
        <v>245345</v>
      </c>
      <c r="AI62" s="17">
        <f>AI63+AI65++AI67+AI69+AI71+AI73</f>
        <v>160295</v>
      </c>
      <c r="AJ62" s="17"/>
      <c r="AK62" s="17"/>
      <c r="AL62" s="17">
        <f>AL63+AL65++AL67+AL69+AL71+AL73</f>
        <v>85050</v>
      </c>
      <c r="AM62" s="17"/>
      <c r="AN62" s="17"/>
      <c r="AO62" s="14"/>
      <c r="AP62" s="14" t="s">
        <v>43</v>
      </c>
      <c r="AQ62" s="14"/>
    </row>
    <row r="63" spans="1:43" ht="60">
      <c r="A63" s="18" t="s">
        <v>229</v>
      </c>
      <c r="B63" s="18" t="s">
        <v>230</v>
      </c>
      <c r="C63" s="19"/>
      <c r="D63" s="18" t="s">
        <v>231</v>
      </c>
      <c r="E63" s="18" t="s">
        <v>232</v>
      </c>
      <c r="F63" s="18" t="s">
        <v>233</v>
      </c>
      <c r="G63" s="20">
        <f t="shared" si="0"/>
        <v>3.0628881481246846</v>
      </c>
      <c r="H63" s="20"/>
      <c r="I63" s="20"/>
      <c r="J63" s="19"/>
      <c r="K63" s="19"/>
      <c r="L63" s="19"/>
      <c r="M63" s="21"/>
      <c r="N63" s="21">
        <f>N64</f>
        <v>13698.333333333334</v>
      </c>
      <c r="O63" s="21"/>
      <c r="P63" s="19"/>
      <c r="Q63" s="19"/>
      <c r="R63" s="19"/>
      <c r="S63" s="21">
        <f>S64</f>
        <v>13698.333333333334</v>
      </c>
      <c r="T63" s="21"/>
      <c r="U63" s="21">
        <f>U64</f>
        <v>13698.333333333334</v>
      </c>
      <c r="V63" s="19"/>
      <c r="W63" s="19"/>
      <c r="X63" s="19"/>
      <c r="Y63" s="21"/>
      <c r="Z63" s="21">
        <f>Z64</f>
        <v>13698.333333333334</v>
      </c>
      <c r="AA63" s="21"/>
      <c r="AB63" s="19"/>
      <c r="AC63" s="19"/>
      <c r="AD63" s="19"/>
      <c r="AE63" s="21">
        <f>AE64</f>
        <v>13698.333333333334</v>
      </c>
      <c r="AF63" s="21"/>
      <c r="AG63" s="21">
        <f>AG64</f>
        <v>13698.333333333334</v>
      </c>
      <c r="AH63" s="21">
        <f>AH64</f>
        <v>82190</v>
      </c>
      <c r="AI63" s="21">
        <f>AI64</f>
        <v>55890</v>
      </c>
      <c r="AJ63" s="21"/>
      <c r="AK63" s="21"/>
      <c r="AL63" s="21">
        <f>AL64</f>
        <v>26300</v>
      </c>
      <c r="AM63" s="21"/>
      <c r="AN63" s="21"/>
      <c r="AO63" s="18"/>
      <c r="AP63" s="18" t="s">
        <v>43</v>
      </c>
      <c r="AQ63" s="18"/>
    </row>
    <row r="64" spans="1:43" ht="105">
      <c r="A64" s="22" t="s">
        <v>234</v>
      </c>
      <c r="B64" s="22" t="s">
        <v>235</v>
      </c>
      <c r="C64" s="23">
        <v>12</v>
      </c>
      <c r="D64" s="22" t="s">
        <v>231</v>
      </c>
      <c r="E64" s="22" t="s">
        <v>232</v>
      </c>
      <c r="F64" s="22" t="s">
        <v>233</v>
      </c>
      <c r="G64" s="24">
        <f t="shared" si="0"/>
        <v>3.0628881481246846</v>
      </c>
      <c r="H64" s="24"/>
      <c r="I64" s="24">
        <v>100</v>
      </c>
      <c r="J64" s="23"/>
      <c r="K64" s="23">
        <v>2</v>
      </c>
      <c r="L64" s="23"/>
      <c r="M64" s="26"/>
      <c r="N64" s="25">
        <f t="shared" ref="N64" si="84">$AH64/$C64*K64</f>
        <v>13698.333333333334</v>
      </c>
      <c r="O64" s="26"/>
      <c r="P64" s="23">
        <v>2</v>
      </c>
      <c r="Q64" s="23"/>
      <c r="R64" s="23">
        <v>2</v>
      </c>
      <c r="S64" s="25">
        <f t="shared" ref="S64" si="85">$AH64/$C64*P64</f>
        <v>13698.333333333334</v>
      </c>
      <c r="T64" s="26"/>
      <c r="U64" s="25">
        <f t="shared" ref="U64" si="86">$AH64/$C64*R64</f>
        <v>13698.333333333334</v>
      </c>
      <c r="V64" s="23"/>
      <c r="W64" s="23">
        <v>2</v>
      </c>
      <c r="X64" s="23"/>
      <c r="Y64" s="26"/>
      <c r="Z64" s="25">
        <f t="shared" ref="Z64" si="87">$AH64/$C64*W64</f>
        <v>13698.333333333334</v>
      </c>
      <c r="AA64" s="26"/>
      <c r="AB64" s="23">
        <v>2</v>
      </c>
      <c r="AC64" s="23"/>
      <c r="AD64" s="23">
        <v>2</v>
      </c>
      <c r="AE64" s="25">
        <f t="shared" ref="AE64" si="88">$AH64/$C64*AB64</f>
        <v>13698.333333333334</v>
      </c>
      <c r="AF64" s="26"/>
      <c r="AG64" s="25">
        <f t="shared" ref="AG64" si="89">$AH64/$C64*AD64</f>
        <v>13698.333333333334</v>
      </c>
      <c r="AH64" s="26">
        <v>82190</v>
      </c>
      <c r="AI64" s="26">
        <v>55890</v>
      </c>
      <c r="AJ64" s="26"/>
      <c r="AK64" s="26"/>
      <c r="AL64" s="26">
        <v>26300</v>
      </c>
      <c r="AM64" s="26"/>
      <c r="AN64" s="26"/>
      <c r="AO64" s="36" t="s">
        <v>100</v>
      </c>
      <c r="AP64" s="22" t="s">
        <v>154</v>
      </c>
      <c r="AQ64" s="22" t="s">
        <v>236</v>
      </c>
    </row>
    <row r="65" spans="1:43" ht="45">
      <c r="A65" s="18" t="s">
        <v>237</v>
      </c>
      <c r="B65" s="18" t="s">
        <v>238</v>
      </c>
      <c r="C65" s="19"/>
      <c r="D65" s="18" t="s">
        <v>231</v>
      </c>
      <c r="E65" s="18" t="s">
        <v>232</v>
      </c>
      <c r="F65" s="18" t="s">
        <v>233</v>
      </c>
      <c r="G65" s="20">
        <f t="shared" si="0"/>
        <v>1.5314440740623423</v>
      </c>
      <c r="H65" s="20"/>
      <c r="I65" s="20"/>
      <c r="J65" s="19"/>
      <c r="K65" s="19"/>
      <c r="L65" s="19"/>
      <c r="M65" s="21"/>
      <c r="N65" s="21"/>
      <c r="O65" s="21"/>
      <c r="P65" s="19"/>
      <c r="Q65" s="19"/>
      <c r="R65" s="19"/>
      <c r="S65" s="21">
        <f>S66</f>
        <v>10273.75</v>
      </c>
      <c r="T65" s="21"/>
      <c r="U65" s="21">
        <f>U66</f>
        <v>10273.75</v>
      </c>
      <c r="V65" s="19"/>
      <c r="W65" s="19"/>
      <c r="X65" s="19"/>
      <c r="Y65" s="21"/>
      <c r="Z65" s="21"/>
      <c r="AA65" s="21">
        <f>AA66</f>
        <v>10273.75</v>
      </c>
      <c r="AB65" s="19"/>
      <c r="AC65" s="19"/>
      <c r="AD65" s="19"/>
      <c r="AE65" s="21"/>
      <c r="AF65" s="21">
        <f>AF66</f>
        <v>10273.75</v>
      </c>
      <c r="AG65" s="21"/>
      <c r="AH65" s="21">
        <f>AH66</f>
        <v>41095</v>
      </c>
      <c r="AI65" s="21">
        <f>AI66</f>
        <v>27945</v>
      </c>
      <c r="AJ65" s="21"/>
      <c r="AK65" s="21"/>
      <c r="AL65" s="21">
        <f>AL66</f>
        <v>13150</v>
      </c>
      <c r="AM65" s="21"/>
      <c r="AN65" s="21"/>
      <c r="AO65" s="18"/>
      <c r="AP65" s="18" t="s">
        <v>43</v>
      </c>
      <c r="AQ65" s="18"/>
    </row>
    <row r="66" spans="1:43" ht="105">
      <c r="A66" s="22" t="s">
        <v>239</v>
      </c>
      <c r="B66" s="22" t="s">
        <v>240</v>
      </c>
      <c r="C66" s="23">
        <v>4</v>
      </c>
      <c r="D66" s="22" t="s">
        <v>231</v>
      </c>
      <c r="E66" s="22" t="s">
        <v>232</v>
      </c>
      <c r="F66" s="22" t="s">
        <v>233</v>
      </c>
      <c r="G66" s="24">
        <f t="shared" si="0"/>
        <v>1.5314440740623423</v>
      </c>
      <c r="H66" s="24"/>
      <c r="I66" s="24">
        <v>100</v>
      </c>
      <c r="J66" s="23"/>
      <c r="K66" s="23"/>
      <c r="L66" s="23"/>
      <c r="M66" s="26"/>
      <c r="N66" s="26"/>
      <c r="O66" s="26"/>
      <c r="P66" s="23">
        <v>1</v>
      </c>
      <c r="Q66" s="23"/>
      <c r="R66" s="23">
        <v>1</v>
      </c>
      <c r="S66" s="25">
        <f t="shared" ref="S66" si="90">$AH66/$C66*P66</f>
        <v>10273.75</v>
      </c>
      <c r="T66" s="26"/>
      <c r="U66" s="25">
        <f t="shared" ref="U66" si="91">$AH66/$C66*R66</f>
        <v>10273.75</v>
      </c>
      <c r="V66" s="23"/>
      <c r="W66" s="23"/>
      <c r="X66" s="23">
        <v>1</v>
      </c>
      <c r="Y66" s="26"/>
      <c r="Z66" s="26"/>
      <c r="AA66" s="25">
        <f t="shared" ref="AA66" si="92">$AH66/$C66*X66</f>
        <v>10273.75</v>
      </c>
      <c r="AB66" s="23"/>
      <c r="AC66" s="23">
        <v>1</v>
      </c>
      <c r="AD66" s="23"/>
      <c r="AE66" s="26"/>
      <c r="AF66" s="25">
        <f t="shared" ref="AF66" si="93">$AH66/$C66*AC66</f>
        <v>10273.75</v>
      </c>
      <c r="AG66" s="26"/>
      <c r="AH66" s="26">
        <v>41095</v>
      </c>
      <c r="AI66" s="26">
        <v>27945</v>
      </c>
      <c r="AJ66" s="26"/>
      <c r="AK66" s="26"/>
      <c r="AL66" s="26">
        <v>13150</v>
      </c>
      <c r="AM66" s="26"/>
      <c r="AN66" s="26"/>
      <c r="AO66" s="36" t="s">
        <v>100</v>
      </c>
      <c r="AP66" s="22" t="s">
        <v>241</v>
      </c>
      <c r="AQ66" s="45" t="s">
        <v>242</v>
      </c>
    </row>
    <row r="67" spans="1:43" ht="75">
      <c r="A67" s="18" t="s">
        <v>243</v>
      </c>
      <c r="B67" s="18" t="s">
        <v>244</v>
      </c>
      <c r="C67" s="19"/>
      <c r="D67" s="18" t="s">
        <v>159</v>
      </c>
      <c r="E67" s="18" t="s">
        <v>245</v>
      </c>
      <c r="F67" s="18" t="s">
        <v>52</v>
      </c>
      <c r="G67" s="20">
        <f t="shared" si="0"/>
        <v>0.53551165212984198</v>
      </c>
      <c r="H67" s="20"/>
      <c r="I67" s="20"/>
      <c r="J67" s="19"/>
      <c r="K67" s="19"/>
      <c r="L67" s="19"/>
      <c r="M67" s="21"/>
      <c r="N67" s="21"/>
      <c r="O67" s="21">
        <f>O68</f>
        <v>3592.5</v>
      </c>
      <c r="P67" s="19"/>
      <c r="Q67" s="19"/>
      <c r="R67" s="19"/>
      <c r="S67" s="21"/>
      <c r="T67" s="21"/>
      <c r="U67" s="21">
        <f>U68</f>
        <v>3592.5</v>
      </c>
      <c r="V67" s="19"/>
      <c r="W67" s="19"/>
      <c r="X67" s="19"/>
      <c r="Y67" s="21"/>
      <c r="Z67" s="21"/>
      <c r="AA67" s="21"/>
      <c r="AB67" s="19"/>
      <c r="AC67" s="19"/>
      <c r="AD67" s="19"/>
      <c r="AE67" s="21"/>
      <c r="AF67" s="21">
        <f>AF68</f>
        <v>3592.5</v>
      </c>
      <c r="AG67" s="21">
        <f>AG68</f>
        <v>3592.5</v>
      </c>
      <c r="AH67" s="21">
        <f>AH68</f>
        <v>14370</v>
      </c>
      <c r="AI67" s="21">
        <f>AI68</f>
        <v>9915</v>
      </c>
      <c r="AJ67" s="21"/>
      <c r="AK67" s="21"/>
      <c r="AL67" s="21">
        <f>AL68</f>
        <v>4455</v>
      </c>
      <c r="AM67" s="21"/>
      <c r="AN67" s="21"/>
      <c r="AO67" s="18"/>
      <c r="AP67" s="18" t="s">
        <v>43</v>
      </c>
      <c r="AQ67" s="18"/>
    </row>
    <row r="68" spans="1:43" ht="105">
      <c r="A68" s="22" t="s">
        <v>246</v>
      </c>
      <c r="B68" s="22" t="s">
        <v>247</v>
      </c>
      <c r="C68" s="23">
        <v>4</v>
      </c>
      <c r="D68" s="22" t="s">
        <v>52</v>
      </c>
      <c r="E68" s="22" t="s">
        <v>245</v>
      </c>
      <c r="F68" s="22" t="s">
        <v>52</v>
      </c>
      <c r="G68" s="24">
        <f t="shared" si="0"/>
        <v>0.53551165212984198</v>
      </c>
      <c r="H68" s="24"/>
      <c r="I68" s="24">
        <v>100</v>
      </c>
      <c r="J68" s="23"/>
      <c r="K68" s="23"/>
      <c r="L68" s="23">
        <v>1</v>
      </c>
      <c r="M68" s="26"/>
      <c r="N68" s="26"/>
      <c r="O68" s="25">
        <f t="shared" ref="O68" si="94">$AH68/$C68*L68</f>
        <v>3592.5</v>
      </c>
      <c r="P68" s="23"/>
      <c r="Q68" s="23"/>
      <c r="R68" s="23">
        <v>1</v>
      </c>
      <c r="S68" s="26"/>
      <c r="T68" s="26"/>
      <c r="U68" s="25">
        <f t="shared" ref="U68" si="95">$AH68/$C68*R68</f>
        <v>3592.5</v>
      </c>
      <c r="V68" s="23"/>
      <c r="W68" s="23"/>
      <c r="X68" s="23"/>
      <c r="Y68" s="26"/>
      <c r="Z68" s="26"/>
      <c r="AA68" s="26"/>
      <c r="AB68" s="23"/>
      <c r="AC68" s="23">
        <v>1</v>
      </c>
      <c r="AD68" s="23">
        <v>1</v>
      </c>
      <c r="AE68" s="26"/>
      <c r="AF68" s="25">
        <f t="shared" ref="AF68:AG68" si="96">$AH68/$C68*AC68</f>
        <v>3592.5</v>
      </c>
      <c r="AG68" s="25">
        <f t="shared" si="96"/>
        <v>3592.5</v>
      </c>
      <c r="AH68" s="26">
        <v>14370</v>
      </c>
      <c r="AI68" s="26">
        <v>9915</v>
      </c>
      <c r="AJ68" s="26"/>
      <c r="AK68" s="26"/>
      <c r="AL68" s="26">
        <v>4455</v>
      </c>
      <c r="AM68" s="26"/>
      <c r="AN68" s="26"/>
      <c r="AO68" s="46" t="s">
        <v>248</v>
      </c>
      <c r="AP68" s="32" t="s">
        <v>59</v>
      </c>
      <c r="AQ68" s="32" t="s">
        <v>249</v>
      </c>
    </row>
    <row r="69" spans="1:43" ht="90">
      <c r="A69" s="18" t="s">
        <v>250</v>
      </c>
      <c r="B69" s="18" t="s">
        <v>251</v>
      </c>
      <c r="C69" s="19"/>
      <c r="D69" s="18" t="s">
        <v>252</v>
      </c>
      <c r="E69" s="18" t="s">
        <v>253</v>
      </c>
      <c r="F69" s="18" t="s">
        <v>52</v>
      </c>
      <c r="G69" s="20">
        <f t="shared" si="0"/>
        <v>2.7684871702662468</v>
      </c>
      <c r="H69" s="20"/>
      <c r="I69" s="20"/>
      <c r="J69" s="19"/>
      <c r="K69" s="19"/>
      <c r="L69" s="19"/>
      <c r="M69" s="21">
        <f>M70</f>
        <v>5150.54054054054</v>
      </c>
      <c r="N69" s="21">
        <f t="shared" ref="N69:AG69" si="97">N70</f>
        <v>6285.405405405405</v>
      </c>
      <c r="O69" s="21">
        <f t="shared" si="97"/>
        <v>6547.2972972972966</v>
      </c>
      <c r="P69" s="21"/>
      <c r="Q69" s="21"/>
      <c r="R69" s="21"/>
      <c r="S69" s="21">
        <f t="shared" si="97"/>
        <v>6023.5135135135133</v>
      </c>
      <c r="T69" s="21">
        <f t="shared" si="97"/>
        <v>5761.6216216216217</v>
      </c>
      <c r="U69" s="21">
        <f t="shared" si="97"/>
        <v>5848.9189189189183</v>
      </c>
      <c r="V69" s="21"/>
      <c r="W69" s="21"/>
      <c r="X69" s="21"/>
      <c r="Y69" s="21">
        <f t="shared" si="97"/>
        <v>6372.7027027027025</v>
      </c>
      <c r="Z69" s="21">
        <f t="shared" si="97"/>
        <v>6110.8108108108099</v>
      </c>
      <c r="AA69" s="21">
        <f t="shared" si="97"/>
        <v>6547.2972972972966</v>
      </c>
      <c r="AB69" s="21"/>
      <c r="AC69" s="21"/>
      <c r="AD69" s="21"/>
      <c r="AE69" s="21">
        <f t="shared" si="97"/>
        <v>6547.2972972972966</v>
      </c>
      <c r="AF69" s="21">
        <f t="shared" si="97"/>
        <v>6547.2972972972966</v>
      </c>
      <c r="AG69" s="21">
        <f t="shared" si="97"/>
        <v>6547.2972972972966</v>
      </c>
      <c r="AH69" s="21">
        <f t="shared" ref="AH69:AI69" si="98">+AH70</f>
        <v>74290</v>
      </c>
      <c r="AI69" s="21">
        <f t="shared" si="98"/>
        <v>50515</v>
      </c>
      <c r="AJ69" s="21"/>
      <c r="AK69" s="21"/>
      <c r="AL69" s="21">
        <f t="shared" ref="AL69" si="99">+AL70</f>
        <v>23775</v>
      </c>
      <c r="AM69" s="21"/>
      <c r="AN69" s="21"/>
      <c r="AO69" s="18"/>
      <c r="AP69" s="18" t="s">
        <v>43</v>
      </c>
      <c r="AQ69" s="18"/>
    </row>
    <row r="70" spans="1:43" ht="105">
      <c r="A70" s="22" t="s">
        <v>254</v>
      </c>
      <c r="B70" s="22" t="s">
        <v>255</v>
      </c>
      <c r="C70" s="23">
        <v>851</v>
      </c>
      <c r="D70" s="22" t="s">
        <v>252</v>
      </c>
      <c r="E70" s="22" t="s">
        <v>253</v>
      </c>
      <c r="F70" s="22" t="s">
        <v>52</v>
      </c>
      <c r="G70" s="24">
        <f t="shared" si="0"/>
        <v>2.7684871702662468</v>
      </c>
      <c r="H70" s="24"/>
      <c r="I70" s="24">
        <v>100</v>
      </c>
      <c r="J70" s="43">
        <v>59</v>
      </c>
      <c r="K70" s="27">
        <v>72</v>
      </c>
      <c r="L70" s="27">
        <v>75</v>
      </c>
      <c r="M70" s="25">
        <f t="shared" ref="M70:O74" si="100">$AH70/$C70*J70</f>
        <v>5150.54054054054</v>
      </c>
      <c r="N70" s="25">
        <f t="shared" si="100"/>
        <v>6285.405405405405</v>
      </c>
      <c r="O70" s="25">
        <f t="shared" si="100"/>
        <v>6547.2972972972966</v>
      </c>
      <c r="P70" s="27">
        <v>69</v>
      </c>
      <c r="Q70" s="27">
        <v>66</v>
      </c>
      <c r="R70" s="27">
        <v>67</v>
      </c>
      <c r="S70" s="25">
        <f t="shared" ref="S70:U70" si="101">$AH70/$C70*P70</f>
        <v>6023.5135135135133</v>
      </c>
      <c r="T70" s="25">
        <f t="shared" si="101"/>
        <v>5761.6216216216217</v>
      </c>
      <c r="U70" s="25">
        <f t="shared" si="101"/>
        <v>5848.9189189189183</v>
      </c>
      <c r="V70" s="27">
        <v>73</v>
      </c>
      <c r="W70" s="27">
        <v>70</v>
      </c>
      <c r="X70" s="27">
        <v>75</v>
      </c>
      <c r="Y70" s="25">
        <f t="shared" ref="Y70:AA70" si="102">$AH70/$C70*V70</f>
        <v>6372.7027027027025</v>
      </c>
      <c r="Z70" s="25">
        <f t="shared" si="102"/>
        <v>6110.8108108108099</v>
      </c>
      <c r="AA70" s="25">
        <f t="shared" si="102"/>
        <v>6547.2972972972966</v>
      </c>
      <c r="AB70" s="27">
        <v>75</v>
      </c>
      <c r="AC70" s="27">
        <v>75</v>
      </c>
      <c r="AD70" s="27">
        <v>75</v>
      </c>
      <c r="AE70" s="25">
        <f t="shared" ref="AE70:AG70" si="103">$AH70/$C70*AB70</f>
        <v>6547.2972972972966</v>
      </c>
      <c r="AF70" s="25">
        <f t="shared" si="103"/>
        <v>6547.2972972972966</v>
      </c>
      <c r="AG70" s="25">
        <f t="shared" si="103"/>
        <v>6547.2972972972966</v>
      </c>
      <c r="AH70" s="26">
        <v>74290</v>
      </c>
      <c r="AI70" s="26">
        <v>50515</v>
      </c>
      <c r="AJ70" s="26"/>
      <c r="AK70" s="26"/>
      <c r="AL70" s="26">
        <v>23775</v>
      </c>
      <c r="AM70" s="26"/>
      <c r="AN70" s="26"/>
      <c r="AO70" s="22" t="s">
        <v>256</v>
      </c>
      <c r="AP70" s="22" t="s">
        <v>154</v>
      </c>
      <c r="AQ70" s="37" t="s">
        <v>92</v>
      </c>
    </row>
    <row r="71" spans="1:43" ht="60">
      <c r="A71" s="18" t="s">
        <v>257</v>
      </c>
      <c r="B71" s="18" t="s">
        <v>258</v>
      </c>
      <c r="C71" s="19"/>
      <c r="D71" s="18" t="s">
        <v>57</v>
      </c>
      <c r="E71" s="18" t="s">
        <v>259</v>
      </c>
      <c r="F71" s="18" t="s">
        <v>57</v>
      </c>
      <c r="G71" s="20">
        <f t="shared" si="0"/>
        <v>0.622341307624799</v>
      </c>
      <c r="H71" s="20"/>
      <c r="I71" s="20"/>
      <c r="J71" s="19"/>
      <c r="K71" s="19"/>
      <c r="L71" s="19"/>
      <c r="M71" s="21"/>
      <c r="N71" s="21">
        <f>N72</f>
        <v>16700</v>
      </c>
      <c r="O71" s="21"/>
      <c r="P71" s="19"/>
      <c r="Q71" s="19"/>
      <c r="R71" s="19"/>
      <c r="S71" s="21"/>
      <c r="T71" s="21"/>
      <c r="U71" s="21"/>
      <c r="V71" s="19"/>
      <c r="W71" s="19"/>
      <c r="X71" s="19"/>
      <c r="Y71" s="21"/>
      <c r="Z71" s="21"/>
      <c r="AA71" s="21"/>
      <c r="AB71" s="19"/>
      <c r="AC71" s="19"/>
      <c r="AD71" s="19"/>
      <c r="AE71" s="21"/>
      <c r="AF71" s="21"/>
      <c r="AG71" s="21"/>
      <c r="AH71" s="21">
        <f>AH72</f>
        <v>16700</v>
      </c>
      <c r="AI71" s="21">
        <f>AI72</f>
        <v>8015</v>
      </c>
      <c r="AJ71" s="21"/>
      <c r="AK71" s="21"/>
      <c r="AL71" s="21">
        <f>AL72</f>
        <v>8685</v>
      </c>
      <c r="AM71" s="21"/>
      <c r="AN71" s="21"/>
      <c r="AO71" s="18"/>
      <c r="AP71" s="18" t="s">
        <v>43</v>
      </c>
      <c r="AQ71" s="18"/>
    </row>
    <row r="72" spans="1:43" ht="105">
      <c r="A72" s="22" t="s">
        <v>260</v>
      </c>
      <c r="B72" s="22" t="s">
        <v>261</v>
      </c>
      <c r="C72" s="23">
        <v>1</v>
      </c>
      <c r="D72" s="22" t="s">
        <v>57</v>
      </c>
      <c r="E72" s="22" t="s">
        <v>259</v>
      </c>
      <c r="F72" s="22" t="s">
        <v>57</v>
      </c>
      <c r="G72" s="24">
        <f t="shared" si="0"/>
        <v>0.622341307624799</v>
      </c>
      <c r="H72" s="24"/>
      <c r="I72" s="24">
        <v>100</v>
      </c>
      <c r="J72" s="23"/>
      <c r="K72" s="23">
        <v>1</v>
      </c>
      <c r="L72" s="23"/>
      <c r="M72" s="26"/>
      <c r="N72" s="25">
        <f t="shared" si="100"/>
        <v>16700</v>
      </c>
      <c r="O72" s="26"/>
      <c r="P72" s="23"/>
      <c r="Q72" s="23"/>
      <c r="R72" s="23"/>
      <c r="S72" s="26"/>
      <c r="T72" s="26"/>
      <c r="U72" s="26"/>
      <c r="V72" s="23"/>
      <c r="W72" s="23"/>
      <c r="X72" s="23"/>
      <c r="Y72" s="26"/>
      <c r="Z72" s="26"/>
      <c r="AA72" s="26"/>
      <c r="AB72" s="23"/>
      <c r="AC72" s="23"/>
      <c r="AD72" s="23"/>
      <c r="AE72" s="26"/>
      <c r="AF72" s="26"/>
      <c r="AG72" s="26"/>
      <c r="AH72" s="26">
        <v>16700</v>
      </c>
      <c r="AI72" s="26">
        <v>8015</v>
      </c>
      <c r="AJ72" s="26"/>
      <c r="AK72" s="26"/>
      <c r="AL72" s="26">
        <v>8685</v>
      </c>
      <c r="AM72" s="26"/>
      <c r="AN72" s="26"/>
      <c r="AO72" s="36" t="s">
        <v>100</v>
      </c>
      <c r="AP72" s="22" t="s">
        <v>154</v>
      </c>
      <c r="AQ72" s="22"/>
    </row>
    <row r="73" spans="1:43" ht="150">
      <c r="A73" s="18" t="s">
        <v>262</v>
      </c>
      <c r="B73" s="18" t="s">
        <v>263</v>
      </c>
      <c r="C73" s="19"/>
      <c r="D73" s="18" t="s">
        <v>52</v>
      </c>
      <c r="E73" s="18" t="s">
        <v>264</v>
      </c>
      <c r="F73" s="18" t="s">
        <v>52</v>
      </c>
      <c r="G73" s="20">
        <f t="shared" si="0"/>
        <v>0.622341307624799</v>
      </c>
      <c r="H73" s="20"/>
      <c r="I73" s="20"/>
      <c r="J73" s="19"/>
      <c r="K73" s="19"/>
      <c r="L73" s="19"/>
      <c r="M73" s="21"/>
      <c r="N73" s="21"/>
      <c r="O73" s="21">
        <f>O74</f>
        <v>16700</v>
      </c>
      <c r="P73" s="19"/>
      <c r="Q73" s="19"/>
      <c r="R73" s="19"/>
      <c r="S73" s="21"/>
      <c r="T73" s="21"/>
      <c r="U73" s="21"/>
      <c r="V73" s="19"/>
      <c r="W73" s="19"/>
      <c r="X73" s="19"/>
      <c r="Y73" s="21"/>
      <c r="Z73" s="21"/>
      <c r="AA73" s="21"/>
      <c r="AB73" s="19"/>
      <c r="AC73" s="19"/>
      <c r="AD73" s="19"/>
      <c r="AE73" s="21"/>
      <c r="AF73" s="21"/>
      <c r="AG73" s="21"/>
      <c r="AH73" s="21">
        <f>AH74</f>
        <v>16700</v>
      </c>
      <c r="AI73" s="21">
        <f>AI74</f>
        <v>8015</v>
      </c>
      <c r="AJ73" s="21"/>
      <c r="AK73" s="21"/>
      <c r="AL73" s="21">
        <f>AL74</f>
        <v>8685</v>
      </c>
      <c r="AM73" s="21"/>
      <c r="AN73" s="21"/>
      <c r="AO73" s="18"/>
      <c r="AP73" s="18" t="s">
        <v>43</v>
      </c>
      <c r="AQ73" s="18"/>
    </row>
    <row r="74" spans="1:43" ht="105">
      <c r="A74" s="22" t="s">
        <v>265</v>
      </c>
      <c r="B74" s="22" t="s">
        <v>266</v>
      </c>
      <c r="C74" s="23">
        <v>1</v>
      </c>
      <c r="D74" s="22" t="s">
        <v>52</v>
      </c>
      <c r="E74" s="22" t="s">
        <v>264</v>
      </c>
      <c r="F74" s="22" t="s">
        <v>52</v>
      </c>
      <c r="G74" s="24">
        <f t="shared" si="0"/>
        <v>0.622341307624799</v>
      </c>
      <c r="H74" s="24"/>
      <c r="I74" s="24">
        <v>100</v>
      </c>
      <c r="J74" s="23"/>
      <c r="K74" s="23"/>
      <c r="L74" s="23">
        <v>1</v>
      </c>
      <c r="M74" s="26"/>
      <c r="N74" s="26"/>
      <c r="O74" s="25">
        <f t="shared" si="100"/>
        <v>16700</v>
      </c>
      <c r="P74" s="23"/>
      <c r="Q74" s="23"/>
      <c r="R74" s="23"/>
      <c r="S74" s="26"/>
      <c r="T74" s="26"/>
      <c r="U74" s="26"/>
      <c r="V74" s="23"/>
      <c r="W74" s="23"/>
      <c r="X74" s="23"/>
      <c r="Y74" s="26"/>
      <c r="Z74" s="26"/>
      <c r="AA74" s="26"/>
      <c r="AB74" s="23"/>
      <c r="AC74" s="23"/>
      <c r="AD74" s="23"/>
      <c r="AE74" s="26"/>
      <c r="AF74" s="26"/>
      <c r="AG74" s="26"/>
      <c r="AH74" s="26">
        <v>16700</v>
      </c>
      <c r="AI74" s="26">
        <v>8015</v>
      </c>
      <c r="AJ74" s="26"/>
      <c r="AK74" s="26"/>
      <c r="AL74" s="26">
        <v>8685</v>
      </c>
      <c r="AM74" s="26"/>
      <c r="AN74" s="26"/>
      <c r="AO74" s="36" t="s">
        <v>100</v>
      </c>
      <c r="AP74" s="22" t="s">
        <v>154</v>
      </c>
      <c r="AQ74" s="37"/>
    </row>
    <row r="75" spans="1:43" ht="60">
      <c r="A75" s="14" t="s">
        <v>267</v>
      </c>
      <c r="B75" s="14" t="s">
        <v>268</v>
      </c>
      <c r="C75" s="15"/>
      <c r="D75" s="14"/>
      <c r="E75" s="14"/>
      <c r="F75" s="14"/>
      <c r="G75" s="16">
        <f t="shared" ref="G75:G79" si="104">$AH75/$AH$118*100</f>
        <v>2.1573256466107553</v>
      </c>
      <c r="H75" s="16"/>
      <c r="I75" s="16"/>
      <c r="J75" s="15"/>
      <c r="K75" s="15"/>
      <c r="L75" s="15"/>
      <c r="M75" s="17">
        <f>M76</f>
        <v>8350</v>
      </c>
      <c r="N75" s="17"/>
      <c r="O75" s="17"/>
      <c r="P75" s="15"/>
      <c r="Q75" s="15"/>
      <c r="R75" s="15"/>
      <c r="S75" s="17"/>
      <c r="T75" s="17">
        <f>T76</f>
        <v>8256.6666666666661</v>
      </c>
      <c r="U75" s="17">
        <f>U76</f>
        <v>8256.6666666666661</v>
      </c>
      <c r="V75" s="15"/>
      <c r="W75" s="15"/>
      <c r="X75" s="15"/>
      <c r="Y75" s="17">
        <f>Y76</f>
        <v>8256.6666666666661</v>
      </c>
      <c r="Z75" s="17">
        <f>Z76</f>
        <v>8256.6666666666661</v>
      </c>
      <c r="AA75" s="17"/>
      <c r="AB75" s="15"/>
      <c r="AC75" s="15"/>
      <c r="AD75" s="15"/>
      <c r="AE75" s="17">
        <f>AE76</f>
        <v>8256.6666666666661</v>
      </c>
      <c r="AF75" s="17">
        <f>AF76</f>
        <v>8256.6666666666661</v>
      </c>
      <c r="AG75" s="17"/>
      <c r="AH75" s="17">
        <f>AH76</f>
        <v>57890</v>
      </c>
      <c r="AI75" s="17">
        <f>AI76</f>
        <v>35710</v>
      </c>
      <c r="AJ75" s="17"/>
      <c r="AK75" s="17"/>
      <c r="AL75" s="17">
        <f>AL76</f>
        <v>22180</v>
      </c>
      <c r="AM75" s="17"/>
      <c r="AN75" s="17"/>
      <c r="AO75" s="14"/>
      <c r="AP75" s="14" t="s">
        <v>43</v>
      </c>
      <c r="AQ75" s="14"/>
    </row>
    <row r="76" spans="1:43" ht="45">
      <c r="A76" s="18" t="s">
        <v>269</v>
      </c>
      <c r="B76" s="18" t="s">
        <v>270</v>
      </c>
      <c r="C76" s="19"/>
      <c r="D76" s="18" t="s">
        <v>271</v>
      </c>
      <c r="E76" s="18" t="s">
        <v>272</v>
      </c>
      <c r="F76" s="18" t="s">
        <v>52</v>
      </c>
      <c r="G76" s="20">
        <f t="shared" si="104"/>
        <v>2.1573256466107553</v>
      </c>
      <c r="H76" s="20"/>
      <c r="I76" s="20"/>
      <c r="J76" s="19"/>
      <c r="K76" s="19"/>
      <c r="L76" s="19"/>
      <c r="M76" s="21">
        <f>SUM(M77:M79)</f>
        <v>8350</v>
      </c>
      <c r="N76" s="21"/>
      <c r="O76" s="21"/>
      <c r="P76" s="19"/>
      <c r="Q76" s="19"/>
      <c r="R76" s="19"/>
      <c r="S76" s="21"/>
      <c r="T76" s="21">
        <f t="shared" ref="T76:U76" si="105">SUM(T77:T79)</f>
        <v>8256.6666666666661</v>
      </c>
      <c r="U76" s="21">
        <f t="shared" si="105"/>
        <v>8256.6666666666661</v>
      </c>
      <c r="V76" s="19"/>
      <c r="W76" s="19"/>
      <c r="X76" s="19"/>
      <c r="Y76" s="21">
        <f t="shared" ref="Y76:Z76" si="106">SUM(Y77:Y79)</f>
        <v>8256.6666666666661</v>
      </c>
      <c r="Z76" s="21">
        <f t="shared" si="106"/>
        <v>8256.6666666666661</v>
      </c>
      <c r="AA76" s="21"/>
      <c r="AB76" s="19"/>
      <c r="AC76" s="19"/>
      <c r="AD76" s="19"/>
      <c r="AE76" s="21">
        <f t="shared" ref="AE76:AF76" si="107">SUM(AE77:AE79)</f>
        <v>8256.6666666666661</v>
      </c>
      <c r="AF76" s="21">
        <f t="shared" si="107"/>
        <v>8256.6666666666661</v>
      </c>
      <c r="AG76" s="21"/>
      <c r="AH76" s="21">
        <f t="shared" ref="AH76:AI76" si="108">SUM(AH77:AH79)</f>
        <v>57890</v>
      </c>
      <c r="AI76" s="21">
        <f t="shared" si="108"/>
        <v>35710</v>
      </c>
      <c r="AJ76" s="21"/>
      <c r="AK76" s="21"/>
      <c r="AL76" s="21">
        <f>SUM(AL77:AL79)</f>
        <v>22180</v>
      </c>
      <c r="AM76" s="21"/>
      <c r="AN76" s="21"/>
      <c r="AO76" s="18"/>
      <c r="AP76" s="18" t="s">
        <v>43</v>
      </c>
      <c r="AQ76" s="18"/>
    </row>
    <row r="77" spans="1:43" ht="105">
      <c r="A77" s="22" t="s">
        <v>273</v>
      </c>
      <c r="B77" s="22" t="s">
        <v>274</v>
      </c>
      <c r="C77" s="23">
        <v>1</v>
      </c>
      <c r="D77" s="22" t="s">
        <v>55</v>
      </c>
      <c r="E77" s="22" t="s">
        <v>56</v>
      </c>
      <c r="F77" s="22" t="s">
        <v>57</v>
      </c>
      <c r="G77" s="24">
        <f t="shared" si="104"/>
        <v>0.3111706538123995</v>
      </c>
      <c r="H77" s="24"/>
      <c r="I77" s="24">
        <v>18</v>
      </c>
      <c r="J77" s="23">
        <v>1</v>
      </c>
      <c r="K77" s="23"/>
      <c r="L77" s="23"/>
      <c r="M77" s="25">
        <f t="shared" ref="M77" si="109">$AH77/$C77*J77</f>
        <v>8350</v>
      </c>
      <c r="N77" s="26"/>
      <c r="O77" s="26"/>
      <c r="P77" s="23"/>
      <c r="Q77" s="23"/>
      <c r="R77" s="23"/>
      <c r="S77" s="26"/>
      <c r="T77" s="26"/>
      <c r="U77" s="26"/>
      <c r="V77" s="23"/>
      <c r="W77" s="23"/>
      <c r="X77" s="23"/>
      <c r="Y77" s="26"/>
      <c r="Z77" s="26"/>
      <c r="AA77" s="26"/>
      <c r="AB77" s="23"/>
      <c r="AC77" s="23"/>
      <c r="AD77" s="23"/>
      <c r="AE77" s="26"/>
      <c r="AF77" s="26"/>
      <c r="AG77" s="26"/>
      <c r="AH77" s="26">
        <v>8350</v>
      </c>
      <c r="AI77" s="26">
        <v>4010</v>
      </c>
      <c r="AJ77" s="26"/>
      <c r="AK77" s="26"/>
      <c r="AL77" s="26">
        <v>4340</v>
      </c>
      <c r="AM77" s="26"/>
      <c r="AN77" s="26"/>
      <c r="AO77" s="46" t="s">
        <v>248</v>
      </c>
      <c r="AP77" s="32" t="s">
        <v>59</v>
      </c>
      <c r="AQ77" s="32" t="s">
        <v>249</v>
      </c>
    </row>
    <row r="78" spans="1:43" ht="105">
      <c r="A78" s="22" t="s">
        <v>275</v>
      </c>
      <c r="B78" s="22" t="s">
        <v>276</v>
      </c>
      <c r="C78" s="23">
        <v>3</v>
      </c>
      <c r="D78" s="22" t="s">
        <v>271</v>
      </c>
      <c r="E78" s="22" t="s">
        <v>277</v>
      </c>
      <c r="F78" s="22" t="s">
        <v>52</v>
      </c>
      <c r="G78" s="24">
        <f t="shared" si="104"/>
        <v>0.92307749639917791</v>
      </c>
      <c r="H78" s="24"/>
      <c r="I78" s="24">
        <v>41</v>
      </c>
      <c r="J78" s="23"/>
      <c r="K78" s="23"/>
      <c r="L78" s="23"/>
      <c r="M78" s="26"/>
      <c r="N78" s="26"/>
      <c r="O78" s="26"/>
      <c r="P78" s="23"/>
      <c r="Q78" s="23">
        <v>1</v>
      </c>
      <c r="R78" s="23"/>
      <c r="S78" s="25"/>
      <c r="T78" s="25">
        <f t="shared" ref="T78:U79" si="110">$AH78/$C78*Q78</f>
        <v>8256.6666666666661</v>
      </c>
      <c r="U78" s="26"/>
      <c r="V78" s="23">
        <v>1</v>
      </c>
      <c r="W78" s="23"/>
      <c r="X78" s="23"/>
      <c r="Y78" s="25">
        <f t="shared" ref="Y78" si="111">$AH78/$C78*V78</f>
        <v>8256.6666666666661</v>
      </c>
      <c r="Z78" s="26"/>
      <c r="AA78" s="26"/>
      <c r="AB78" s="23">
        <v>1</v>
      </c>
      <c r="AC78" s="23"/>
      <c r="AD78" s="23"/>
      <c r="AE78" s="25">
        <f t="shared" ref="AE78" si="112">$AH78/$C78*AB78</f>
        <v>8256.6666666666661</v>
      </c>
      <c r="AF78" s="26"/>
      <c r="AG78" s="26"/>
      <c r="AH78" s="26">
        <v>24770</v>
      </c>
      <c r="AI78" s="26">
        <v>15850</v>
      </c>
      <c r="AJ78" s="26"/>
      <c r="AK78" s="26"/>
      <c r="AL78" s="26">
        <v>8920</v>
      </c>
      <c r="AM78" s="26"/>
      <c r="AN78" s="26"/>
      <c r="AO78" s="46" t="s">
        <v>278</v>
      </c>
      <c r="AP78" s="32" t="s">
        <v>59</v>
      </c>
      <c r="AQ78" s="32" t="s">
        <v>249</v>
      </c>
    </row>
    <row r="79" spans="1:43" ht="105">
      <c r="A79" s="22" t="s">
        <v>279</v>
      </c>
      <c r="B79" s="22" t="s">
        <v>280</v>
      </c>
      <c r="C79" s="23">
        <v>3</v>
      </c>
      <c r="D79" s="22" t="s">
        <v>271</v>
      </c>
      <c r="E79" s="22" t="s">
        <v>281</v>
      </c>
      <c r="F79" s="22" t="s">
        <v>52</v>
      </c>
      <c r="G79" s="24">
        <f t="shared" si="104"/>
        <v>0.92307749639917791</v>
      </c>
      <c r="H79" s="24"/>
      <c r="I79" s="24">
        <v>41</v>
      </c>
      <c r="J79" s="23"/>
      <c r="K79" s="23"/>
      <c r="L79" s="23"/>
      <c r="M79" s="26"/>
      <c r="N79" s="26"/>
      <c r="O79" s="26"/>
      <c r="P79" s="23"/>
      <c r="Q79" s="23"/>
      <c r="R79" s="23">
        <v>1</v>
      </c>
      <c r="S79" s="26"/>
      <c r="T79" s="25"/>
      <c r="U79" s="25">
        <f t="shared" si="110"/>
        <v>8256.6666666666661</v>
      </c>
      <c r="V79" s="23"/>
      <c r="W79" s="23">
        <v>1</v>
      </c>
      <c r="X79" s="23"/>
      <c r="Y79" s="26"/>
      <c r="Z79" s="25">
        <f t="shared" ref="Z79" si="113">$AH79/$C79*W79</f>
        <v>8256.6666666666661</v>
      </c>
      <c r="AA79" s="26"/>
      <c r="AB79" s="23"/>
      <c r="AC79" s="23">
        <v>1</v>
      </c>
      <c r="AD79" s="23"/>
      <c r="AE79" s="26"/>
      <c r="AF79" s="25">
        <f t="shared" ref="AF79" si="114">$AH79/$C79*AC79</f>
        <v>8256.6666666666661</v>
      </c>
      <c r="AG79" s="26"/>
      <c r="AH79" s="26">
        <v>24770</v>
      </c>
      <c r="AI79" s="26">
        <v>15850</v>
      </c>
      <c r="AJ79" s="26"/>
      <c r="AK79" s="26"/>
      <c r="AL79" s="26">
        <v>8920</v>
      </c>
      <c r="AM79" s="26"/>
      <c r="AN79" s="26"/>
      <c r="AO79" s="46" t="s">
        <v>282</v>
      </c>
      <c r="AP79" s="32" t="s">
        <v>59</v>
      </c>
      <c r="AQ79" s="32" t="s">
        <v>249</v>
      </c>
    </row>
    <row r="80" spans="1:43" ht="30">
      <c r="A80" s="6" t="s">
        <v>283</v>
      </c>
      <c r="B80" s="6" t="s">
        <v>284</v>
      </c>
      <c r="C80" s="7"/>
      <c r="D80" s="6"/>
      <c r="E80" s="6"/>
      <c r="F80" s="6"/>
      <c r="G80" s="8">
        <f>$AH80/$AH$118*100</f>
        <v>1.6611295681063125</v>
      </c>
      <c r="H80" s="8"/>
      <c r="I80" s="8"/>
      <c r="J80" s="7"/>
      <c r="K80" s="7"/>
      <c r="L80" s="7"/>
      <c r="M80" s="9"/>
      <c r="N80" s="9">
        <f>N81</f>
        <v>4450.3220611916267</v>
      </c>
      <c r="O80" s="9">
        <f t="shared" ref="O80:AG83" si="115">O81</f>
        <v>3732.5281803542675</v>
      </c>
      <c r="P80" s="9"/>
      <c r="Q80" s="9"/>
      <c r="R80" s="9"/>
      <c r="S80" s="9">
        <f t="shared" si="115"/>
        <v>3014.7342995169083</v>
      </c>
      <c r="T80" s="9">
        <f t="shared" si="115"/>
        <v>3158.2930756843798</v>
      </c>
      <c r="U80" s="9">
        <f t="shared" si="115"/>
        <v>4163.2045088566829</v>
      </c>
      <c r="V80" s="9"/>
      <c r="W80" s="9"/>
      <c r="X80" s="9"/>
      <c r="Y80" s="9">
        <f t="shared" si="115"/>
        <v>4522.101449275362</v>
      </c>
      <c r="Z80" s="9">
        <f t="shared" si="115"/>
        <v>4306.7632850241544</v>
      </c>
      <c r="AA80" s="9">
        <f t="shared" si="115"/>
        <v>4306.7632850241544</v>
      </c>
      <c r="AB80" s="9"/>
      <c r="AC80" s="9"/>
      <c r="AD80" s="9"/>
      <c r="AE80" s="9">
        <f t="shared" si="115"/>
        <v>4306.7632850241544</v>
      </c>
      <c r="AF80" s="9">
        <f t="shared" si="115"/>
        <v>4306.7632850241544</v>
      </c>
      <c r="AG80" s="9">
        <f t="shared" si="115"/>
        <v>4306.7632850241544</v>
      </c>
      <c r="AH80" s="9">
        <f t="shared" ref="AH80:AI83" si="116">AH81</f>
        <v>44575</v>
      </c>
      <c r="AI80" s="9">
        <f t="shared" si="116"/>
        <v>31650</v>
      </c>
      <c r="AJ80" s="9"/>
      <c r="AK80" s="9"/>
      <c r="AL80" s="9">
        <f>AL81</f>
        <v>12925</v>
      </c>
      <c r="AM80" s="9"/>
      <c r="AN80" s="9"/>
      <c r="AO80" s="6"/>
      <c r="AP80" s="6" t="s">
        <v>43</v>
      </c>
      <c r="AQ80" s="6"/>
    </row>
    <row r="81" spans="1:43" ht="30">
      <c r="A81" s="10" t="s">
        <v>285</v>
      </c>
      <c r="B81" s="10" t="s">
        <v>286</v>
      </c>
      <c r="C81" s="11"/>
      <c r="D81" s="10"/>
      <c r="E81" s="10"/>
      <c r="F81" s="10"/>
      <c r="G81" s="12">
        <f>$AH81/$AH$118*100</f>
        <v>1.6611295681063125</v>
      </c>
      <c r="H81" s="12"/>
      <c r="I81" s="12"/>
      <c r="J81" s="11"/>
      <c r="K81" s="11"/>
      <c r="L81" s="11"/>
      <c r="M81" s="13"/>
      <c r="N81" s="13">
        <f>N82</f>
        <v>4450.3220611916267</v>
      </c>
      <c r="O81" s="13">
        <f t="shared" si="115"/>
        <v>3732.5281803542675</v>
      </c>
      <c r="P81" s="13"/>
      <c r="Q81" s="13"/>
      <c r="R81" s="13"/>
      <c r="S81" s="13">
        <f t="shared" si="115"/>
        <v>3014.7342995169083</v>
      </c>
      <c r="T81" s="13">
        <f t="shared" si="115"/>
        <v>3158.2930756843798</v>
      </c>
      <c r="U81" s="13">
        <f t="shared" si="115"/>
        <v>4163.2045088566829</v>
      </c>
      <c r="V81" s="13"/>
      <c r="W81" s="13"/>
      <c r="X81" s="13"/>
      <c r="Y81" s="13">
        <f t="shared" si="115"/>
        <v>4522.101449275362</v>
      </c>
      <c r="Z81" s="13">
        <f t="shared" si="115"/>
        <v>4306.7632850241544</v>
      </c>
      <c r="AA81" s="13">
        <f t="shared" si="115"/>
        <v>4306.7632850241544</v>
      </c>
      <c r="AB81" s="13"/>
      <c r="AC81" s="13"/>
      <c r="AD81" s="13"/>
      <c r="AE81" s="13">
        <f t="shared" si="115"/>
        <v>4306.7632850241544</v>
      </c>
      <c r="AF81" s="13">
        <f t="shared" si="115"/>
        <v>4306.7632850241544</v>
      </c>
      <c r="AG81" s="13">
        <f t="shared" si="115"/>
        <v>4306.7632850241544</v>
      </c>
      <c r="AH81" s="13">
        <f t="shared" si="116"/>
        <v>44575</v>
      </c>
      <c r="AI81" s="13">
        <f t="shared" si="116"/>
        <v>31650</v>
      </c>
      <c r="AJ81" s="13"/>
      <c r="AK81" s="13"/>
      <c r="AL81" s="13">
        <f>AL82</f>
        <v>12925</v>
      </c>
      <c r="AM81" s="13"/>
      <c r="AN81" s="13"/>
      <c r="AO81" s="10"/>
      <c r="AP81" s="10" t="s">
        <v>43</v>
      </c>
      <c r="AQ81" s="10"/>
    </row>
    <row r="82" spans="1:43" ht="45">
      <c r="A82" s="14" t="s">
        <v>287</v>
      </c>
      <c r="B82" s="14" t="s">
        <v>288</v>
      </c>
      <c r="C82" s="15"/>
      <c r="D82" s="14"/>
      <c r="E82" s="14"/>
      <c r="F82" s="14"/>
      <c r="G82" s="16">
        <f>$AH82/$AH$118*100</f>
        <v>1.6611295681063125</v>
      </c>
      <c r="H82" s="16"/>
      <c r="I82" s="16"/>
      <c r="J82" s="15"/>
      <c r="K82" s="15"/>
      <c r="L82" s="15"/>
      <c r="M82" s="17"/>
      <c r="N82" s="17">
        <f>N83</f>
        <v>4450.3220611916267</v>
      </c>
      <c r="O82" s="17">
        <f t="shared" si="115"/>
        <v>3732.5281803542675</v>
      </c>
      <c r="P82" s="17"/>
      <c r="Q82" s="17"/>
      <c r="R82" s="17"/>
      <c r="S82" s="17">
        <f t="shared" si="115"/>
        <v>3014.7342995169083</v>
      </c>
      <c r="T82" s="17">
        <f t="shared" si="115"/>
        <v>3158.2930756843798</v>
      </c>
      <c r="U82" s="17">
        <f t="shared" si="115"/>
        <v>4163.2045088566829</v>
      </c>
      <c r="V82" s="17"/>
      <c r="W82" s="17"/>
      <c r="X82" s="17"/>
      <c r="Y82" s="17">
        <f t="shared" si="115"/>
        <v>4522.101449275362</v>
      </c>
      <c r="Z82" s="17">
        <f t="shared" si="115"/>
        <v>4306.7632850241544</v>
      </c>
      <c r="AA82" s="17">
        <f t="shared" si="115"/>
        <v>4306.7632850241544</v>
      </c>
      <c r="AB82" s="17"/>
      <c r="AC82" s="17"/>
      <c r="AD82" s="17"/>
      <c r="AE82" s="17">
        <f t="shared" si="115"/>
        <v>4306.7632850241544</v>
      </c>
      <c r="AF82" s="17">
        <f t="shared" si="115"/>
        <v>4306.7632850241544</v>
      </c>
      <c r="AG82" s="17">
        <f t="shared" si="115"/>
        <v>4306.7632850241544</v>
      </c>
      <c r="AH82" s="17">
        <f t="shared" si="116"/>
        <v>44575</v>
      </c>
      <c r="AI82" s="17">
        <f t="shared" si="116"/>
        <v>31650</v>
      </c>
      <c r="AJ82" s="17"/>
      <c r="AK82" s="17"/>
      <c r="AL82" s="17">
        <f>AL83</f>
        <v>12925</v>
      </c>
      <c r="AM82" s="17"/>
      <c r="AN82" s="17"/>
      <c r="AO82" s="14"/>
      <c r="AP82" s="14" t="s">
        <v>43</v>
      </c>
      <c r="AQ82" s="14"/>
    </row>
    <row r="83" spans="1:43" ht="90">
      <c r="A83" s="18" t="s">
        <v>289</v>
      </c>
      <c r="B83" s="18" t="s">
        <v>290</v>
      </c>
      <c r="C83" s="19"/>
      <c r="D83" s="18" t="s">
        <v>67</v>
      </c>
      <c r="E83" s="18" t="s">
        <v>291</v>
      </c>
      <c r="F83" s="18" t="s">
        <v>52</v>
      </c>
      <c r="G83" s="20">
        <f>$AH83/$AH$118*100</f>
        <v>1.6611295681063125</v>
      </c>
      <c r="H83" s="20"/>
      <c r="I83" s="20"/>
      <c r="J83" s="19"/>
      <c r="K83" s="19"/>
      <c r="L83" s="19"/>
      <c r="M83" s="21"/>
      <c r="N83" s="21">
        <f>N84</f>
        <v>4450.3220611916267</v>
      </c>
      <c r="O83" s="21">
        <f t="shared" si="115"/>
        <v>3732.5281803542675</v>
      </c>
      <c r="P83" s="21"/>
      <c r="Q83" s="21"/>
      <c r="R83" s="21"/>
      <c r="S83" s="21">
        <f t="shared" si="115"/>
        <v>3014.7342995169083</v>
      </c>
      <c r="T83" s="21">
        <f t="shared" si="115"/>
        <v>3158.2930756843798</v>
      </c>
      <c r="U83" s="21">
        <f t="shared" si="115"/>
        <v>4163.2045088566829</v>
      </c>
      <c r="V83" s="21"/>
      <c r="W83" s="21"/>
      <c r="X83" s="21"/>
      <c r="Y83" s="21">
        <f t="shared" si="115"/>
        <v>4522.101449275362</v>
      </c>
      <c r="Z83" s="21">
        <f t="shared" si="115"/>
        <v>4306.7632850241544</v>
      </c>
      <c r="AA83" s="21">
        <f t="shared" si="115"/>
        <v>4306.7632850241544</v>
      </c>
      <c r="AB83" s="21"/>
      <c r="AC83" s="21"/>
      <c r="AD83" s="21"/>
      <c r="AE83" s="21">
        <f t="shared" si="115"/>
        <v>4306.7632850241544</v>
      </c>
      <c r="AF83" s="21">
        <f t="shared" si="115"/>
        <v>4306.7632850241544</v>
      </c>
      <c r="AG83" s="21">
        <f t="shared" si="115"/>
        <v>4306.7632850241544</v>
      </c>
      <c r="AH83" s="21">
        <f t="shared" si="116"/>
        <v>44575</v>
      </c>
      <c r="AI83" s="21">
        <f t="shared" si="116"/>
        <v>31650</v>
      </c>
      <c r="AJ83" s="21"/>
      <c r="AK83" s="21"/>
      <c r="AL83" s="21">
        <f>AL84</f>
        <v>12925</v>
      </c>
      <c r="AM83" s="21"/>
      <c r="AN83" s="21"/>
      <c r="AO83" s="18"/>
      <c r="AP83" s="18" t="s">
        <v>43</v>
      </c>
      <c r="AQ83" s="18"/>
    </row>
    <row r="84" spans="1:43" ht="105">
      <c r="A84" s="22" t="s">
        <v>292</v>
      </c>
      <c r="B84" s="22" t="s">
        <v>293</v>
      </c>
      <c r="C84" s="23">
        <v>621</v>
      </c>
      <c r="D84" s="22" t="s">
        <v>67</v>
      </c>
      <c r="E84" s="22" t="s">
        <v>291</v>
      </c>
      <c r="F84" s="22" t="s">
        <v>52</v>
      </c>
      <c r="G84" s="24">
        <f>$AH84/$AH$118*100</f>
        <v>1.6611295681063125</v>
      </c>
      <c r="H84" s="24"/>
      <c r="I84" s="24">
        <v>100</v>
      </c>
      <c r="J84" s="27"/>
      <c r="K84" s="27">
        <v>62</v>
      </c>
      <c r="L84" s="27">
        <v>52</v>
      </c>
      <c r="M84" s="26"/>
      <c r="N84" s="25">
        <f t="shared" ref="N84:O84" si="117">$AH84/$C84*K84</f>
        <v>4450.3220611916267</v>
      </c>
      <c r="O84" s="25">
        <f t="shared" si="117"/>
        <v>3732.5281803542675</v>
      </c>
      <c r="P84" s="27">
        <v>42</v>
      </c>
      <c r="Q84" s="27">
        <v>44</v>
      </c>
      <c r="R84" s="27">
        <v>58</v>
      </c>
      <c r="S84" s="25">
        <f t="shared" ref="S84:U84" si="118">$AH84/$C84*P84</f>
        <v>3014.7342995169083</v>
      </c>
      <c r="T84" s="25">
        <f t="shared" si="118"/>
        <v>3158.2930756843798</v>
      </c>
      <c r="U84" s="25">
        <f t="shared" si="118"/>
        <v>4163.2045088566829</v>
      </c>
      <c r="V84" s="27">
        <v>63</v>
      </c>
      <c r="W84" s="27">
        <v>60</v>
      </c>
      <c r="X84" s="27">
        <v>60</v>
      </c>
      <c r="Y84" s="25">
        <f t="shared" ref="Y84:AA84" si="119">$AH84/$C84*V84</f>
        <v>4522.101449275362</v>
      </c>
      <c r="Z84" s="25">
        <f t="shared" si="119"/>
        <v>4306.7632850241544</v>
      </c>
      <c r="AA84" s="25">
        <f t="shared" si="119"/>
        <v>4306.7632850241544</v>
      </c>
      <c r="AB84" s="27">
        <v>60</v>
      </c>
      <c r="AC84" s="27">
        <v>60</v>
      </c>
      <c r="AD84" s="27">
        <v>60</v>
      </c>
      <c r="AE84" s="25">
        <f t="shared" ref="AE84:AG84" si="120">$AH84/$C84*AB84</f>
        <v>4306.7632850241544</v>
      </c>
      <c r="AF84" s="25">
        <f t="shared" si="120"/>
        <v>4306.7632850241544</v>
      </c>
      <c r="AG84" s="25">
        <f t="shared" si="120"/>
        <v>4306.7632850241544</v>
      </c>
      <c r="AH84" s="26">
        <v>44575</v>
      </c>
      <c r="AI84" s="26">
        <v>31650</v>
      </c>
      <c r="AJ84" s="26"/>
      <c r="AK84" s="26"/>
      <c r="AL84" s="26">
        <v>12925</v>
      </c>
      <c r="AM84" s="26"/>
      <c r="AN84" s="26"/>
      <c r="AO84" s="46" t="s">
        <v>294</v>
      </c>
      <c r="AP84" s="32" t="s">
        <v>59</v>
      </c>
      <c r="AQ84" s="32" t="s">
        <v>295</v>
      </c>
    </row>
    <row r="85" spans="1:43" ht="30">
      <c r="A85" s="6" t="s">
        <v>296</v>
      </c>
      <c r="B85" s="6" t="s">
        <v>297</v>
      </c>
      <c r="C85" s="7"/>
      <c r="D85" s="6"/>
      <c r="E85" s="6"/>
      <c r="F85" s="6"/>
      <c r="G85" s="8">
        <f t="shared" ref="G85:G87" si="121">$AH85/$AH$118*100</f>
        <v>2.0462731258489648</v>
      </c>
      <c r="H85" s="8"/>
      <c r="I85" s="8"/>
      <c r="J85" s="7"/>
      <c r="K85" s="7"/>
      <c r="L85" s="7"/>
      <c r="M85" s="9"/>
      <c r="N85" s="9"/>
      <c r="O85" s="9"/>
      <c r="P85" s="7"/>
      <c r="Q85" s="7"/>
      <c r="R85" s="7"/>
      <c r="S85" s="9"/>
      <c r="T85" s="9">
        <f>T86</f>
        <v>9685</v>
      </c>
      <c r="U85" s="9">
        <f t="shared" ref="U85:AE85" si="122">U86</f>
        <v>9155</v>
      </c>
      <c r="V85" s="9"/>
      <c r="W85" s="9"/>
      <c r="X85" s="9"/>
      <c r="Y85" s="9">
        <f t="shared" si="122"/>
        <v>9685</v>
      </c>
      <c r="Z85" s="9">
        <f t="shared" si="122"/>
        <v>16700</v>
      </c>
      <c r="AA85" s="9"/>
      <c r="AB85" s="9"/>
      <c r="AC85" s="9"/>
      <c r="AD85" s="9"/>
      <c r="AE85" s="9">
        <f t="shared" si="122"/>
        <v>9685</v>
      </c>
      <c r="AF85" s="9"/>
      <c r="AG85" s="9"/>
      <c r="AH85" s="9">
        <f>AH86</f>
        <v>54910</v>
      </c>
      <c r="AI85" s="9">
        <f>AI86</f>
        <v>28755</v>
      </c>
      <c r="AJ85" s="9"/>
      <c r="AK85" s="9"/>
      <c r="AL85" s="9">
        <f>AL86</f>
        <v>26155</v>
      </c>
      <c r="AM85" s="9"/>
      <c r="AN85" s="9"/>
      <c r="AO85" s="6"/>
      <c r="AP85" s="6" t="s">
        <v>43</v>
      </c>
      <c r="AQ85" s="6"/>
    </row>
    <row r="86" spans="1:43" ht="45">
      <c r="A86" s="10" t="s">
        <v>298</v>
      </c>
      <c r="B86" s="10" t="s">
        <v>299</v>
      </c>
      <c r="C86" s="11"/>
      <c r="D86" s="10"/>
      <c r="E86" s="10"/>
      <c r="F86" s="10"/>
      <c r="G86" s="12">
        <f t="shared" si="121"/>
        <v>2.0462731258489648</v>
      </c>
      <c r="H86" s="12"/>
      <c r="I86" s="12"/>
      <c r="J86" s="11"/>
      <c r="K86" s="11"/>
      <c r="L86" s="11"/>
      <c r="M86" s="13"/>
      <c r="N86" s="13"/>
      <c r="O86" s="13"/>
      <c r="P86" s="11"/>
      <c r="Q86" s="11"/>
      <c r="R86" s="11"/>
      <c r="S86" s="13"/>
      <c r="T86" s="13">
        <f>+T87</f>
        <v>9685</v>
      </c>
      <c r="U86" s="13">
        <f>+U87</f>
        <v>9155</v>
      </c>
      <c r="V86" s="11"/>
      <c r="W86" s="11"/>
      <c r="X86" s="11"/>
      <c r="Y86" s="13">
        <f t="shared" ref="Y86:Z86" si="123">+Y87</f>
        <v>9685</v>
      </c>
      <c r="Z86" s="13">
        <f t="shared" si="123"/>
        <v>16700</v>
      </c>
      <c r="AA86" s="13"/>
      <c r="AB86" s="11"/>
      <c r="AC86" s="11"/>
      <c r="AD86" s="11"/>
      <c r="AE86" s="13">
        <f>+AE87</f>
        <v>9685</v>
      </c>
      <c r="AF86" s="13"/>
      <c r="AG86" s="13"/>
      <c r="AH86" s="13">
        <f>AH87</f>
        <v>54910</v>
      </c>
      <c r="AI86" s="13">
        <f>AI87</f>
        <v>28755</v>
      </c>
      <c r="AJ86" s="13"/>
      <c r="AK86" s="13"/>
      <c r="AL86" s="13">
        <f>AL87</f>
        <v>26155</v>
      </c>
      <c r="AM86" s="13"/>
      <c r="AN86" s="13"/>
      <c r="AO86" s="10"/>
      <c r="AP86" s="10" t="s">
        <v>43</v>
      </c>
      <c r="AQ86" s="10"/>
    </row>
    <row r="87" spans="1:43" ht="45">
      <c r="A87" s="14" t="s">
        <v>300</v>
      </c>
      <c r="B87" s="14" t="s">
        <v>301</v>
      </c>
      <c r="C87" s="15"/>
      <c r="D87" s="14"/>
      <c r="E87" s="14"/>
      <c r="F87" s="14"/>
      <c r="G87" s="16">
        <f t="shared" si="121"/>
        <v>2.0462731258489648</v>
      </c>
      <c r="H87" s="16"/>
      <c r="I87" s="16"/>
      <c r="J87" s="15"/>
      <c r="K87" s="15"/>
      <c r="L87" s="15"/>
      <c r="M87" s="17"/>
      <c r="N87" s="17"/>
      <c r="O87" s="17"/>
      <c r="P87" s="15"/>
      <c r="Q87" s="15"/>
      <c r="R87" s="15"/>
      <c r="S87" s="17"/>
      <c r="T87" s="17">
        <f>T88+T90</f>
        <v>9685</v>
      </c>
      <c r="U87" s="17">
        <f t="shared" ref="U87:AE87" si="124">U88+U90</f>
        <v>9155</v>
      </c>
      <c r="V87" s="17">
        <f t="shared" si="124"/>
        <v>0</v>
      </c>
      <c r="W87" s="17">
        <f t="shared" si="124"/>
        <v>0</v>
      </c>
      <c r="X87" s="17">
        <f t="shared" si="124"/>
        <v>0</v>
      </c>
      <c r="Y87" s="17">
        <f t="shared" si="124"/>
        <v>9685</v>
      </c>
      <c r="Z87" s="17">
        <f t="shared" si="124"/>
        <v>16700</v>
      </c>
      <c r="AA87" s="17"/>
      <c r="AB87" s="17"/>
      <c r="AC87" s="17"/>
      <c r="AD87" s="17"/>
      <c r="AE87" s="17">
        <f t="shared" si="124"/>
        <v>9685</v>
      </c>
      <c r="AF87" s="17"/>
      <c r="AG87" s="17"/>
      <c r="AH87" s="17">
        <f>AH88+AH90</f>
        <v>54910</v>
      </c>
      <c r="AI87" s="17">
        <f>AI88+AI90</f>
        <v>28755</v>
      </c>
      <c r="AJ87" s="17"/>
      <c r="AK87" s="17"/>
      <c r="AL87" s="17">
        <f>AL88+AL90</f>
        <v>26155</v>
      </c>
      <c r="AM87" s="17"/>
      <c r="AN87" s="17"/>
      <c r="AO87" s="14"/>
      <c r="AP87" s="14" t="s">
        <v>43</v>
      </c>
      <c r="AQ87" s="14"/>
    </row>
    <row r="88" spans="1:43" ht="90">
      <c r="A88" s="18" t="s">
        <v>302</v>
      </c>
      <c r="B88" s="18" t="s">
        <v>303</v>
      </c>
      <c r="C88" s="19"/>
      <c r="D88" s="18" t="s">
        <v>52</v>
      </c>
      <c r="E88" s="18" t="s">
        <v>304</v>
      </c>
      <c r="F88" s="18" t="s">
        <v>305</v>
      </c>
      <c r="G88" s="20">
        <f>$AH88/$AH$118*100</f>
        <v>0.622341307624799</v>
      </c>
      <c r="H88" s="20"/>
      <c r="I88" s="20"/>
      <c r="J88" s="19"/>
      <c r="K88" s="19"/>
      <c r="L88" s="19"/>
      <c r="M88" s="21"/>
      <c r="N88" s="21"/>
      <c r="O88" s="21"/>
      <c r="P88" s="19"/>
      <c r="Q88" s="19"/>
      <c r="R88" s="19"/>
      <c r="S88" s="21"/>
      <c r="T88" s="21"/>
      <c r="U88" s="21"/>
      <c r="V88" s="19"/>
      <c r="W88" s="19"/>
      <c r="X88" s="19"/>
      <c r="Y88" s="21"/>
      <c r="Z88" s="21">
        <f>+Z89</f>
        <v>16700</v>
      </c>
      <c r="AA88" s="21"/>
      <c r="AB88" s="19"/>
      <c r="AC88" s="19"/>
      <c r="AD88" s="19"/>
      <c r="AE88" s="21"/>
      <c r="AF88" s="21"/>
      <c r="AG88" s="21"/>
      <c r="AH88" s="21">
        <f t="shared" ref="AH88:AI88" si="125">+AH89</f>
        <v>16700</v>
      </c>
      <c r="AI88" s="21">
        <f t="shared" si="125"/>
        <v>8015</v>
      </c>
      <c r="AJ88" s="21"/>
      <c r="AK88" s="21"/>
      <c r="AL88" s="21">
        <f>+AL89</f>
        <v>8685</v>
      </c>
      <c r="AM88" s="21"/>
      <c r="AN88" s="21"/>
      <c r="AO88" s="18"/>
      <c r="AP88" s="18" t="s">
        <v>43</v>
      </c>
      <c r="AQ88" s="18"/>
    </row>
    <row r="89" spans="1:43" ht="120">
      <c r="A89" s="22" t="s">
        <v>306</v>
      </c>
      <c r="B89" s="22" t="s">
        <v>307</v>
      </c>
      <c r="C89" s="23">
        <v>1</v>
      </c>
      <c r="D89" s="22" t="s">
        <v>52</v>
      </c>
      <c r="E89" s="22" t="s">
        <v>308</v>
      </c>
      <c r="F89" s="22" t="s">
        <v>309</v>
      </c>
      <c r="G89" s="24">
        <f>$AH89/$AH$118*100</f>
        <v>0.622341307624799</v>
      </c>
      <c r="H89" s="24"/>
      <c r="I89" s="24">
        <v>100</v>
      </c>
      <c r="J89" s="23"/>
      <c r="K89" s="23"/>
      <c r="L89" s="23"/>
      <c r="M89" s="26"/>
      <c r="N89" s="26"/>
      <c r="O89" s="26"/>
      <c r="P89" s="23"/>
      <c r="Q89" s="23"/>
      <c r="R89" s="23"/>
      <c r="S89" s="26"/>
      <c r="T89" s="26"/>
      <c r="U89" s="26"/>
      <c r="V89" s="23"/>
      <c r="W89" s="23">
        <v>1</v>
      </c>
      <c r="X89" s="23"/>
      <c r="Y89" s="26"/>
      <c r="Z89" s="25">
        <f t="shared" ref="Y89:Z91" si="126">$AH89/$C89*W89</f>
        <v>16700</v>
      </c>
      <c r="AA89" s="26"/>
      <c r="AB89" s="23"/>
      <c r="AC89" s="23"/>
      <c r="AD89" s="23"/>
      <c r="AE89" s="26"/>
      <c r="AF89" s="26"/>
      <c r="AG89" s="26"/>
      <c r="AH89" s="26">
        <v>16700</v>
      </c>
      <c r="AI89" s="26">
        <v>8015</v>
      </c>
      <c r="AJ89" s="26"/>
      <c r="AK89" s="26"/>
      <c r="AL89" s="26">
        <v>8685</v>
      </c>
      <c r="AM89" s="26"/>
      <c r="AN89" s="26"/>
      <c r="AO89" s="46" t="s">
        <v>248</v>
      </c>
      <c r="AP89" s="22" t="s">
        <v>135</v>
      </c>
      <c r="AQ89" s="42" t="s">
        <v>310</v>
      </c>
    </row>
    <row r="90" spans="1:43" ht="90">
      <c r="A90" s="18" t="s">
        <v>311</v>
      </c>
      <c r="B90" s="18" t="s">
        <v>312</v>
      </c>
      <c r="C90" s="19"/>
      <c r="D90" s="18" t="s">
        <v>52</v>
      </c>
      <c r="E90" s="18" t="s">
        <v>313</v>
      </c>
      <c r="F90" s="18" t="s">
        <v>314</v>
      </c>
      <c r="G90" s="20">
        <f>$AH90/$AH$118*100</f>
        <v>1.4239318182241658</v>
      </c>
      <c r="H90" s="20"/>
      <c r="I90" s="20"/>
      <c r="J90" s="19"/>
      <c r="K90" s="19"/>
      <c r="L90" s="19"/>
      <c r="M90" s="21"/>
      <c r="N90" s="21"/>
      <c r="O90" s="21"/>
      <c r="P90" s="19"/>
      <c r="Q90" s="19"/>
      <c r="R90" s="19"/>
      <c r="S90" s="21"/>
      <c r="T90" s="21">
        <f>SUM(T91:T92)</f>
        <v>9685</v>
      </c>
      <c r="U90" s="21">
        <f>SUM(U91:U92)</f>
        <v>9155</v>
      </c>
      <c r="V90" s="19"/>
      <c r="W90" s="19"/>
      <c r="X90" s="19"/>
      <c r="Y90" s="21">
        <f>SUM(Y91:Y92)</f>
        <v>9685</v>
      </c>
      <c r="Z90" s="21"/>
      <c r="AA90" s="21"/>
      <c r="AB90" s="19"/>
      <c r="AC90" s="19"/>
      <c r="AD90" s="19"/>
      <c r="AE90" s="21">
        <f>SUM(AE91:AE92)</f>
        <v>9685</v>
      </c>
      <c r="AF90" s="21"/>
      <c r="AG90" s="21"/>
      <c r="AH90" s="21">
        <f t="shared" ref="AH90:AI90" si="127">SUM(AH91:AH92)</f>
        <v>38210</v>
      </c>
      <c r="AI90" s="21">
        <f t="shared" si="127"/>
        <v>20740</v>
      </c>
      <c r="AJ90" s="21"/>
      <c r="AK90" s="21"/>
      <c r="AL90" s="21">
        <f>SUM(AL91:AL92)</f>
        <v>17470</v>
      </c>
      <c r="AM90" s="21"/>
      <c r="AN90" s="21"/>
      <c r="AO90" s="18"/>
      <c r="AP90" s="18" t="s">
        <v>43</v>
      </c>
      <c r="AQ90" s="18"/>
    </row>
    <row r="91" spans="1:43" ht="105">
      <c r="A91" s="22" t="s">
        <v>315</v>
      </c>
      <c r="B91" s="22" t="s">
        <v>316</v>
      </c>
      <c r="C91" s="23">
        <v>3</v>
      </c>
      <c r="D91" s="22" t="s">
        <v>52</v>
      </c>
      <c r="E91" s="22" t="s">
        <v>313</v>
      </c>
      <c r="F91" s="22" t="s">
        <v>314</v>
      </c>
      <c r="G91" s="24">
        <f t="shared" ref="G91:G117" si="128">$AH91/$AH$118*100</f>
        <v>1.0827620774274571</v>
      </c>
      <c r="H91" s="24"/>
      <c r="I91" s="24">
        <v>50</v>
      </c>
      <c r="J91" s="23"/>
      <c r="K91" s="23"/>
      <c r="L91" s="23"/>
      <c r="M91" s="26"/>
      <c r="N91" s="26"/>
      <c r="O91" s="26"/>
      <c r="P91" s="23"/>
      <c r="Q91" s="23">
        <v>1</v>
      </c>
      <c r="R91" s="23"/>
      <c r="S91" s="26"/>
      <c r="T91" s="25">
        <f t="shared" ref="T91" si="129">$AH91/$C91*Q91</f>
        <v>9685</v>
      </c>
      <c r="U91" s="26"/>
      <c r="V91" s="23">
        <v>1</v>
      </c>
      <c r="W91" s="23"/>
      <c r="X91" s="23"/>
      <c r="Y91" s="25">
        <f t="shared" si="126"/>
        <v>9685</v>
      </c>
      <c r="Z91" s="26"/>
      <c r="AA91" s="26"/>
      <c r="AB91" s="23">
        <v>1</v>
      </c>
      <c r="AC91" s="23"/>
      <c r="AD91" s="23"/>
      <c r="AE91" s="25">
        <f t="shared" ref="AE91" si="130">$AH91/$C91*AB91</f>
        <v>9685</v>
      </c>
      <c r="AF91" s="26"/>
      <c r="AG91" s="26"/>
      <c r="AH91" s="26">
        <v>29055</v>
      </c>
      <c r="AI91" s="26">
        <v>15980</v>
      </c>
      <c r="AJ91" s="26"/>
      <c r="AK91" s="26"/>
      <c r="AL91" s="26">
        <v>13075</v>
      </c>
      <c r="AM91" s="26"/>
      <c r="AN91" s="26"/>
      <c r="AO91" s="46" t="s">
        <v>317</v>
      </c>
      <c r="AP91" s="32" t="s">
        <v>59</v>
      </c>
      <c r="AQ91" s="32" t="s">
        <v>318</v>
      </c>
    </row>
    <row r="92" spans="1:43" ht="105">
      <c r="A92" s="22" t="s">
        <v>319</v>
      </c>
      <c r="B92" s="22" t="s">
        <v>320</v>
      </c>
      <c r="C92" s="23">
        <v>1</v>
      </c>
      <c r="D92" s="22" t="s">
        <v>321</v>
      </c>
      <c r="E92" s="22" t="s">
        <v>99</v>
      </c>
      <c r="F92" s="22" t="s">
        <v>52</v>
      </c>
      <c r="G92" s="24">
        <f t="shared" si="128"/>
        <v>0.3411697407967087</v>
      </c>
      <c r="H92" s="24"/>
      <c r="I92" s="24">
        <v>50</v>
      </c>
      <c r="J92" s="23"/>
      <c r="K92" s="23"/>
      <c r="L92" s="23"/>
      <c r="M92" s="26"/>
      <c r="N92" s="26"/>
      <c r="O92" s="26"/>
      <c r="P92" s="23"/>
      <c r="Q92" s="23"/>
      <c r="R92" s="23">
        <v>1</v>
      </c>
      <c r="S92" s="26"/>
      <c r="T92" s="26"/>
      <c r="U92" s="25">
        <f t="shared" ref="U92" si="131">$AH92/$C92*R92</f>
        <v>9155</v>
      </c>
      <c r="V92" s="23"/>
      <c r="W92" s="23"/>
      <c r="X92" s="23"/>
      <c r="Y92" s="26"/>
      <c r="Z92" s="26"/>
      <c r="AA92" s="26"/>
      <c r="AB92" s="23"/>
      <c r="AC92" s="23"/>
      <c r="AD92" s="23"/>
      <c r="AE92" s="26"/>
      <c r="AF92" s="26"/>
      <c r="AG92" s="26"/>
      <c r="AH92" s="26">
        <v>9155</v>
      </c>
      <c r="AI92" s="26">
        <v>4760</v>
      </c>
      <c r="AJ92" s="26"/>
      <c r="AK92" s="26"/>
      <c r="AL92" s="26">
        <v>4395</v>
      </c>
      <c r="AM92" s="26"/>
      <c r="AN92" s="26"/>
      <c r="AO92" s="46" t="s">
        <v>317</v>
      </c>
      <c r="AP92" s="32" t="s">
        <v>59</v>
      </c>
      <c r="AQ92" s="32" t="s">
        <v>318</v>
      </c>
    </row>
    <row r="93" spans="1:43" ht="30">
      <c r="A93" s="6" t="s">
        <v>322</v>
      </c>
      <c r="B93" s="6" t="s">
        <v>323</v>
      </c>
      <c r="C93" s="7"/>
      <c r="D93" s="6"/>
      <c r="E93" s="6"/>
      <c r="F93" s="6"/>
      <c r="G93" s="8">
        <f t="shared" si="128"/>
        <v>1.232012193417716</v>
      </c>
      <c r="H93" s="8"/>
      <c r="I93" s="8"/>
      <c r="J93" s="7"/>
      <c r="K93" s="7"/>
      <c r="L93" s="7"/>
      <c r="M93" s="9">
        <f>+M95</f>
        <v>8345</v>
      </c>
      <c r="N93" s="9">
        <f t="shared" ref="N93:O93" si="132">+N95</f>
        <v>2471.5</v>
      </c>
      <c r="O93" s="9">
        <f t="shared" si="132"/>
        <v>2471.5</v>
      </c>
      <c r="P93" s="7"/>
      <c r="Q93" s="7"/>
      <c r="R93" s="7"/>
      <c r="S93" s="9">
        <f t="shared" ref="S93:U93" si="133">+S95</f>
        <v>2471.5</v>
      </c>
      <c r="T93" s="9">
        <f t="shared" si="133"/>
        <v>2471.5</v>
      </c>
      <c r="U93" s="9">
        <f t="shared" si="133"/>
        <v>2471.5</v>
      </c>
      <c r="V93" s="7"/>
      <c r="W93" s="7"/>
      <c r="X93" s="7"/>
      <c r="Y93" s="9">
        <f t="shared" ref="Y93:AA93" si="134">+Y95</f>
        <v>2471.5</v>
      </c>
      <c r="Z93" s="9">
        <f t="shared" si="134"/>
        <v>2471.5</v>
      </c>
      <c r="AA93" s="9">
        <f t="shared" si="134"/>
        <v>2471.5</v>
      </c>
      <c r="AB93" s="7"/>
      <c r="AC93" s="7"/>
      <c r="AD93" s="7"/>
      <c r="AE93" s="9">
        <f t="shared" ref="AE93:AI93" si="135">+AE95</f>
        <v>2471.5</v>
      </c>
      <c r="AF93" s="9">
        <f t="shared" si="135"/>
        <v>2471.5</v>
      </c>
      <c r="AG93" s="9"/>
      <c r="AH93" s="9">
        <f t="shared" si="135"/>
        <v>33060</v>
      </c>
      <c r="AI93" s="9">
        <f t="shared" si="135"/>
        <v>19825</v>
      </c>
      <c r="AJ93" s="9"/>
      <c r="AK93" s="9"/>
      <c r="AL93" s="9">
        <f t="shared" ref="AL93" si="136">+AL95</f>
        <v>13235</v>
      </c>
      <c r="AM93" s="9"/>
      <c r="AN93" s="9"/>
      <c r="AO93" s="6"/>
      <c r="AP93" s="6" t="s">
        <v>43</v>
      </c>
      <c r="AQ93" s="6"/>
    </row>
    <row r="94" spans="1:43" ht="105">
      <c r="A94" s="10" t="s">
        <v>324</v>
      </c>
      <c r="B94" s="10" t="s">
        <v>325</v>
      </c>
      <c r="C94" s="11"/>
      <c r="D94" s="10"/>
      <c r="E94" s="10"/>
      <c r="F94" s="10"/>
      <c r="G94" s="12">
        <f t="shared" si="128"/>
        <v>1.232012193417716</v>
      </c>
      <c r="H94" s="12"/>
      <c r="I94" s="12"/>
      <c r="J94" s="11"/>
      <c r="K94" s="11"/>
      <c r="L94" s="11"/>
      <c r="M94" s="13">
        <f>+M95</f>
        <v>8345</v>
      </c>
      <c r="N94" s="13">
        <f t="shared" ref="N94:O95" si="137">+N95</f>
        <v>2471.5</v>
      </c>
      <c r="O94" s="13">
        <f t="shared" si="137"/>
        <v>2471.5</v>
      </c>
      <c r="P94" s="11"/>
      <c r="Q94" s="11"/>
      <c r="R94" s="11"/>
      <c r="S94" s="13">
        <f t="shared" ref="S94:U95" si="138">+S95</f>
        <v>2471.5</v>
      </c>
      <c r="T94" s="13">
        <f t="shared" si="138"/>
        <v>2471.5</v>
      </c>
      <c r="U94" s="13">
        <f t="shared" si="138"/>
        <v>2471.5</v>
      </c>
      <c r="V94" s="11"/>
      <c r="W94" s="11"/>
      <c r="X94" s="11"/>
      <c r="Y94" s="13">
        <f t="shared" ref="Y94:AA95" si="139">+Y95</f>
        <v>2471.5</v>
      </c>
      <c r="Z94" s="13">
        <f t="shared" si="139"/>
        <v>2471.5</v>
      </c>
      <c r="AA94" s="13">
        <f t="shared" si="139"/>
        <v>2471.5</v>
      </c>
      <c r="AB94" s="11"/>
      <c r="AC94" s="11"/>
      <c r="AD94" s="11"/>
      <c r="AE94" s="13">
        <f t="shared" ref="AE94:AI95" si="140">+AE95</f>
        <v>2471.5</v>
      </c>
      <c r="AF94" s="13">
        <f t="shared" si="140"/>
        <v>2471.5</v>
      </c>
      <c r="AG94" s="13"/>
      <c r="AH94" s="13">
        <f t="shared" si="140"/>
        <v>33060</v>
      </c>
      <c r="AI94" s="13">
        <f t="shared" si="140"/>
        <v>19825</v>
      </c>
      <c r="AJ94" s="13"/>
      <c r="AK94" s="13"/>
      <c r="AL94" s="13">
        <f t="shared" ref="AL94:AL95" si="141">+AL95</f>
        <v>13235</v>
      </c>
      <c r="AM94" s="13"/>
      <c r="AN94" s="13"/>
      <c r="AO94" s="10"/>
      <c r="AP94" s="10" t="s">
        <v>43</v>
      </c>
      <c r="AQ94" s="10"/>
    </row>
    <row r="95" spans="1:43" ht="30">
      <c r="A95" s="14" t="s">
        <v>326</v>
      </c>
      <c r="B95" s="14" t="s">
        <v>327</v>
      </c>
      <c r="C95" s="15"/>
      <c r="D95" s="14"/>
      <c r="E95" s="14"/>
      <c r="F95" s="14"/>
      <c r="G95" s="16">
        <f t="shared" si="128"/>
        <v>1.232012193417716</v>
      </c>
      <c r="H95" s="16"/>
      <c r="I95" s="16"/>
      <c r="J95" s="15"/>
      <c r="K95" s="15"/>
      <c r="L95" s="15"/>
      <c r="M95" s="17">
        <f>+M96</f>
        <v>8345</v>
      </c>
      <c r="N95" s="17">
        <f t="shared" si="137"/>
        <v>2471.5</v>
      </c>
      <c r="O95" s="17">
        <f t="shared" si="137"/>
        <v>2471.5</v>
      </c>
      <c r="P95" s="15"/>
      <c r="Q95" s="15"/>
      <c r="R95" s="15"/>
      <c r="S95" s="17">
        <f t="shared" si="138"/>
        <v>2471.5</v>
      </c>
      <c r="T95" s="17">
        <f t="shared" si="138"/>
        <v>2471.5</v>
      </c>
      <c r="U95" s="17">
        <f t="shared" si="138"/>
        <v>2471.5</v>
      </c>
      <c r="V95" s="15"/>
      <c r="W95" s="15"/>
      <c r="X95" s="15"/>
      <c r="Y95" s="17">
        <f t="shared" si="139"/>
        <v>2471.5</v>
      </c>
      <c r="Z95" s="17">
        <f t="shared" si="139"/>
        <v>2471.5</v>
      </c>
      <c r="AA95" s="17">
        <f t="shared" si="139"/>
        <v>2471.5</v>
      </c>
      <c r="AB95" s="15"/>
      <c r="AC95" s="15"/>
      <c r="AD95" s="15"/>
      <c r="AE95" s="17">
        <f t="shared" si="140"/>
        <v>2471.5</v>
      </c>
      <c r="AF95" s="17">
        <f t="shared" si="140"/>
        <v>2471.5</v>
      </c>
      <c r="AG95" s="17"/>
      <c r="AH95" s="17">
        <f t="shared" si="140"/>
        <v>33060</v>
      </c>
      <c r="AI95" s="17">
        <f t="shared" si="140"/>
        <v>19825</v>
      </c>
      <c r="AJ95" s="17"/>
      <c r="AK95" s="17"/>
      <c r="AL95" s="17">
        <f t="shared" si="141"/>
        <v>13235</v>
      </c>
      <c r="AM95" s="17"/>
      <c r="AN95" s="17"/>
      <c r="AO95" s="14"/>
      <c r="AP95" s="14" t="s">
        <v>43</v>
      </c>
      <c r="AQ95" s="14"/>
    </row>
    <row r="96" spans="1:43" ht="75">
      <c r="A96" s="18" t="s">
        <v>328</v>
      </c>
      <c r="B96" s="18" t="s">
        <v>329</v>
      </c>
      <c r="C96" s="19"/>
      <c r="D96" s="18" t="s">
        <v>52</v>
      </c>
      <c r="E96" s="18" t="s">
        <v>330</v>
      </c>
      <c r="F96" s="18" t="s">
        <v>52</v>
      </c>
      <c r="G96" s="20">
        <f t="shared" si="128"/>
        <v>1.232012193417716</v>
      </c>
      <c r="H96" s="20"/>
      <c r="I96" s="20"/>
      <c r="J96" s="19"/>
      <c r="K96" s="19"/>
      <c r="L96" s="19"/>
      <c r="M96" s="21">
        <f>SUM(M97:M98)</f>
        <v>8345</v>
      </c>
      <c r="N96" s="21">
        <f t="shared" ref="N96:O96" si="142">SUM(N97:N98)</f>
        <v>2471.5</v>
      </c>
      <c r="O96" s="21">
        <f t="shared" si="142"/>
        <v>2471.5</v>
      </c>
      <c r="P96" s="19"/>
      <c r="Q96" s="19"/>
      <c r="R96" s="19"/>
      <c r="S96" s="21">
        <f t="shared" ref="S96:U96" si="143">SUM(S97:S98)</f>
        <v>2471.5</v>
      </c>
      <c r="T96" s="21">
        <f t="shared" si="143"/>
        <v>2471.5</v>
      </c>
      <c r="U96" s="21">
        <f t="shared" si="143"/>
        <v>2471.5</v>
      </c>
      <c r="V96" s="19"/>
      <c r="W96" s="19"/>
      <c r="X96" s="19"/>
      <c r="Y96" s="21">
        <f t="shared" ref="Y96:AA96" si="144">SUM(Y97:Y98)</f>
        <v>2471.5</v>
      </c>
      <c r="Z96" s="21">
        <f t="shared" si="144"/>
        <v>2471.5</v>
      </c>
      <c r="AA96" s="21">
        <f t="shared" si="144"/>
        <v>2471.5</v>
      </c>
      <c r="AB96" s="19"/>
      <c r="AC96" s="19"/>
      <c r="AD96" s="19"/>
      <c r="AE96" s="21">
        <f t="shared" ref="AE96:AF96" si="145">SUM(AE97:AE98)</f>
        <v>2471.5</v>
      </c>
      <c r="AF96" s="21">
        <f t="shared" si="145"/>
        <v>2471.5</v>
      </c>
      <c r="AG96" s="21"/>
      <c r="AH96" s="21">
        <f t="shared" ref="AH96:AI96" si="146">SUM(AH97:AH98)</f>
        <v>33060</v>
      </c>
      <c r="AI96" s="21">
        <f t="shared" si="146"/>
        <v>19825</v>
      </c>
      <c r="AJ96" s="21"/>
      <c r="AK96" s="21"/>
      <c r="AL96" s="21">
        <f t="shared" ref="AL96" si="147">SUM(AL97:AL98)</f>
        <v>13235</v>
      </c>
      <c r="AM96" s="21"/>
      <c r="AN96" s="21"/>
      <c r="AO96" s="18"/>
      <c r="AP96" s="18" t="s">
        <v>43</v>
      </c>
      <c r="AQ96" s="18"/>
    </row>
    <row r="97" spans="1:43" ht="105">
      <c r="A97" s="22" t="s">
        <v>331</v>
      </c>
      <c r="B97" s="22" t="s">
        <v>332</v>
      </c>
      <c r="C97" s="23">
        <v>1</v>
      </c>
      <c r="D97" s="22" t="s">
        <v>57</v>
      </c>
      <c r="E97" s="22" t="s">
        <v>333</v>
      </c>
      <c r="F97" s="22" t="s">
        <v>57</v>
      </c>
      <c r="G97" s="24">
        <f t="shared" si="128"/>
        <v>0.31098432407957771</v>
      </c>
      <c r="H97" s="24"/>
      <c r="I97" s="24">
        <v>30</v>
      </c>
      <c r="J97" s="23">
        <v>1</v>
      </c>
      <c r="K97" s="23"/>
      <c r="L97" s="23"/>
      <c r="M97" s="25">
        <f t="shared" ref="M97" si="148">$AH97/$C97*J97</f>
        <v>8345</v>
      </c>
      <c r="N97" s="26"/>
      <c r="O97" s="26"/>
      <c r="P97" s="23"/>
      <c r="Q97" s="23"/>
      <c r="R97" s="23"/>
      <c r="S97" s="26"/>
      <c r="T97" s="26"/>
      <c r="U97" s="26"/>
      <c r="V97" s="23"/>
      <c r="W97" s="23"/>
      <c r="X97" s="23"/>
      <c r="Y97" s="26"/>
      <c r="Z97" s="26"/>
      <c r="AA97" s="26"/>
      <c r="AB97" s="23"/>
      <c r="AC97" s="23"/>
      <c r="AD97" s="23"/>
      <c r="AE97" s="26"/>
      <c r="AF97" s="26"/>
      <c r="AG97" s="26"/>
      <c r="AH97" s="26">
        <v>8345</v>
      </c>
      <c r="AI97" s="26">
        <v>4005</v>
      </c>
      <c r="AJ97" s="26"/>
      <c r="AK97" s="26"/>
      <c r="AL97" s="26">
        <v>4340</v>
      </c>
      <c r="AM97" s="26"/>
      <c r="AN97" s="26"/>
      <c r="AO97" s="32" t="s">
        <v>334</v>
      </c>
      <c r="AP97" s="32" t="s">
        <v>59</v>
      </c>
      <c r="AQ97" s="32" t="s">
        <v>249</v>
      </c>
    </row>
    <row r="98" spans="1:43" ht="105">
      <c r="A98" s="22" t="s">
        <v>335</v>
      </c>
      <c r="B98" s="22" t="s">
        <v>336</v>
      </c>
      <c r="C98" s="23">
        <v>10</v>
      </c>
      <c r="D98" s="22" t="s">
        <v>71</v>
      </c>
      <c r="E98" s="22" t="s">
        <v>337</v>
      </c>
      <c r="F98" s="22" t="s">
        <v>52</v>
      </c>
      <c r="G98" s="24">
        <f t="shared" si="128"/>
        <v>0.92102786933813818</v>
      </c>
      <c r="H98" s="24"/>
      <c r="I98" s="24">
        <v>70</v>
      </c>
      <c r="J98" s="23"/>
      <c r="K98" s="23">
        <v>1</v>
      </c>
      <c r="L98" s="23">
        <v>1</v>
      </c>
      <c r="M98" s="26"/>
      <c r="N98" s="25">
        <f t="shared" ref="N98:O98" si="149">$AH98/$C98*K98</f>
        <v>2471.5</v>
      </c>
      <c r="O98" s="25">
        <f t="shared" si="149"/>
        <v>2471.5</v>
      </c>
      <c r="P98" s="23">
        <v>1</v>
      </c>
      <c r="Q98" s="23">
        <v>1</v>
      </c>
      <c r="R98" s="23">
        <v>1</v>
      </c>
      <c r="S98" s="25">
        <f t="shared" ref="S98:U98" si="150">$AH98/$C98*P98</f>
        <v>2471.5</v>
      </c>
      <c r="T98" s="25">
        <f t="shared" si="150"/>
        <v>2471.5</v>
      </c>
      <c r="U98" s="25">
        <f t="shared" si="150"/>
        <v>2471.5</v>
      </c>
      <c r="V98" s="23">
        <v>1</v>
      </c>
      <c r="W98" s="23">
        <v>1</v>
      </c>
      <c r="X98" s="23">
        <v>1</v>
      </c>
      <c r="Y98" s="25">
        <f t="shared" ref="Y98:AA98" si="151">$AH98/$C98*V98</f>
        <v>2471.5</v>
      </c>
      <c r="Z98" s="25">
        <f t="shared" si="151"/>
        <v>2471.5</v>
      </c>
      <c r="AA98" s="25">
        <f t="shared" si="151"/>
        <v>2471.5</v>
      </c>
      <c r="AB98" s="23">
        <v>1</v>
      </c>
      <c r="AC98" s="23">
        <v>1</v>
      </c>
      <c r="AD98" s="23"/>
      <c r="AE98" s="25">
        <f t="shared" ref="AE98:AF98" si="152">$AH98/$C98*AB98</f>
        <v>2471.5</v>
      </c>
      <c r="AF98" s="25">
        <f t="shared" si="152"/>
        <v>2471.5</v>
      </c>
      <c r="AG98" s="25"/>
      <c r="AH98" s="26">
        <v>24715</v>
      </c>
      <c r="AI98" s="26">
        <v>15820</v>
      </c>
      <c r="AJ98" s="26"/>
      <c r="AK98" s="26"/>
      <c r="AL98" s="26">
        <v>8895</v>
      </c>
      <c r="AM98" s="26"/>
      <c r="AN98" s="26"/>
      <c r="AO98" s="32" t="s">
        <v>334</v>
      </c>
      <c r="AP98" s="32" t="s">
        <v>59</v>
      </c>
      <c r="AQ98" s="32" t="s">
        <v>249</v>
      </c>
    </row>
    <row r="99" spans="1:43" ht="30">
      <c r="A99" s="6" t="s">
        <v>338</v>
      </c>
      <c r="B99" s="47" t="s">
        <v>339</v>
      </c>
      <c r="C99" s="7"/>
      <c r="D99" s="6"/>
      <c r="E99" s="6"/>
      <c r="F99" s="6"/>
      <c r="G99" s="8">
        <f t="shared" si="128"/>
        <v>0.9215868585366036</v>
      </c>
      <c r="H99" s="8"/>
      <c r="I99" s="8"/>
      <c r="J99" s="7"/>
      <c r="K99" s="7"/>
      <c r="L99" s="7"/>
      <c r="M99" s="9"/>
      <c r="N99" s="9"/>
      <c r="O99" s="9"/>
      <c r="P99" s="7"/>
      <c r="Q99" s="7"/>
      <c r="R99" s="7"/>
      <c r="S99" s="9">
        <f>S100</f>
        <v>12365</v>
      </c>
      <c r="T99" s="9"/>
      <c r="U99" s="9"/>
      <c r="V99" s="7"/>
      <c r="W99" s="7"/>
      <c r="X99" s="7"/>
      <c r="Y99" s="9"/>
      <c r="Z99" s="9"/>
      <c r="AA99" s="9">
        <f>AA100</f>
        <v>12365</v>
      </c>
      <c r="AB99" s="7"/>
      <c r="AC99" s="7"/>
      <c r="AD99" s="7"/>
      <c r="AE99" s="9"/>
      <c r="AF99" s="9"/>
      <c r="AG99" s="9"/>
      <c r="AH99" s="9">
        <f t="shared" ref="AH99:AI102" si="153">AH100</f>
        <v>24730</v>
      </c>
      <c r="AI99" s="9">
        <f t="shared" si="153"/>
        <v>15835</v>
      </c>
      <c r="AJ99" s="9"/>
      <c r="AK99" s="9"/>
      <c r="AL99" s="9">
        <f>AL100</f>
        <v>8895</v>
      </c>
      <c r="AM99" s="9"/>
      <c r="AN99" s="9"/>
      <c r="AO99" s="6"/>
      <c r="AP99" s="6" t="s">
        <v>43</v>
      </c>
      <c r="AQ99" s="6"/>
    </row>
    <row r="100" spans="1:43" ht="45">
      <c r="A100" s="10" t="s">
        <v>340</v>
      </c>
      <c r="B100" s="10" t="s">
        <v>341</v>
      </c>
      <c r="C100" s="11"/>
      <c r="D100" s="10"/>
      <c r="E100" s="10"/>
      <c r="F100" s="48"/>
      <c r="G100" s="12">
        <f t="shared" si="128"/>
        <v>0.9215868585366036</v>
      </c>
      <c r="H100" s="12"/>
      <c r="I100" s="12"/>
      <c r="J100" s="11"/>
      <c r="K100" s="11"/>
      <c r="L100" s="11"/>
      <c r="M100" s="13"/>
      <c r="N100" s="13"/>
      <c r="O100" s="13"/>
      <c r="P100" s="11"/>
      <c r="Q100" s="11"/>
      <c r="R100" s="11"/>
      <c r="S100" s="13">
        <f>S101</f>
        <v>12365</v>
      </c>
      <c r="T100" s="13"/>
      <c r="U100" s="13"/>
      <c r="V100" s="11"/>
      <c r="W100" s="11"/>
      <c r="X100" s="11"/>
      <c r="Y100" s="13"/>
      <c r="Z100" s="13"/>
      <c r="AA100" s="13">
        <f>AA101</f>
        <v>12365</v>
      </c>
      <c r="AB100" s="11"/>
      <c r="AC100" s="11"/>
      <c r="AD100" s="11"/>
      <c r="AE100" s="13"/>
      <c r="AF100" s="13"/>
      <c r="AG100" s="13"/>
      <c r="AH100" s="13">
        <f t="shared" si="153"/>
        <v>24730</v>
      </c>
      <c r="AI100" s="13">
        <f t="shared" si="153"/>
        <v>15835</v>
      </c>
      <c r="AJ100" s="13"/>
      <c r="AK100" s="13"/>
      <c r="AL100" s="13">
        <f>AL101</f>
        <v>8895</v>
      </c>
      <c r="AM100" s="13"/>
      <c r="AN100" s="13"/>
      <c r="AO100" s="10"/>
      <c r="AP100" s="10" t="s">
        <v>43</v>
      </c>
      <c r="AQ100" s="10"/>
    </row>
    <row r="101" spans="1:43" ht="45">
      <c r="A101" s="14" t="s">
        <v>342</v>
      </c>
      <c r="B101" s="14" t="s">
        <v>343</v>
      </c>
      <c r="C101" s="15"/>
      <c r="D101" s="14"/>
      <c r="E101" s="14"/>
      <c r="F101" s="14"/>
      <c r="G101" s="16">
        <f t="shared" si="128"/>
        <v>0.9215868585366036</v>
      </c>
      <c r="H101" s="16"/>
      <c r="I101" s="16"/>
      <c r="J101" s="15"/>
      <c r="K101" s="15"/>
      <c r="L101" s="15"/>
      <c r="M101" s="17"/>
      <c r="N101" s="17"/>
      <c r="O101" s="17"/>
      <c r="P101" s="15"/>
      <c r="Q101" s="15"/>
      <c r="R101" s="15"/>
      <c r="S101" s="17">
        <f>S102</f>
        <v>12365</v>
      </c>
      <c r="T101" s="17"/>
      <c r="U101" s="17"/>
      <c r="V101" s="15"/>
      <c r="W101" s="15"/>
      <c r="X101" s="15"/>
      <c r="Y101" s="17"/>
      <c r="Z101" s="17"/>
      <c r="AA101" s="17">
        <f>AA102</f>
        <v>12365</v>
      </c>
      <c r="AB101" s="15"/>
      <c r="AC101" s="15"/>
      <c r="AD101" s="15"/>
      <c r="AE101" s="17"/>
      <c r="AF101" s="17"/>
      <c r="AG101" s="17"/>
      <c r="AH101" s="17">
        <f t="shared" si="153"/>
        <v>24730</v>
      </c>
      <c r="AI101" s="17">
        <f t="shared" si="153"/>
        <v>15835</v>
      </c>
      <c r="AJ101" s="17"/>
      <c r="AK101" s="17"/>
      <c r="AL101" s="17">
        <f>AL102</f>
        <v>8895</v>
      </c>
      <c r="AM101" s="17"/>
      <c r="AN101" s="17"/>
      <c r="AO101" s="14"/>
      <c r="AP101" s="14" t="s">
        <v>43</v>
      </c>
      <c r="AQ101" s="14"/>
    </row>
    <row r="102" spans="1:43" ht="90">
      <c r="A102" s="18" t="s">
        <v>344</v>
      </c>
      <c r="B102" s="18" t="s">
        <v>345</v>
      </c>
      <c r="C102" s="19"/>
      <c r="D102" s="18" t="s">
        <v>57</v>
      </c>
      <c r="E102" s="18" t="s">
        <v>79</v>
      </c>
      <c r="F102" s="18" t="s">
        <v>57</v>
      </c>
      <c r="G102" s="20">
        <f t="shared" si="128"/>
        <v>0.9215868585366036</v>
      </c>
      <c r="H102" s="20"/>
      <c r="I102" s="20"/>
      <c r="J102" s="19"/>
      <c r="K102" s="19"/>
      <c r="L102" s="19"/>
      <c r="M102" s="21"/>
      <c r="N102" s="21"/>
      <c r="O102" s="21"/>
      <c r="P102" s="19"/>
      <c r="Q102" s="19"/>
      <c r="R102" s="19"/>
      <c r="S102" s="21">
        <f>S103</f>
        <v>12365</v>
      </c>
      <c r="T102" s="21"/>
      <c r="U102" s="21"/>
      <c r="V102" s="19"/>
      <c r="W102" s="19"/>
      <c r="X102" s="19"/>
      <c r="Y102" s="21"/>
      <c r="Z102" s="21"/>
      <c r="AA102" s="21">
        <f>AA103</f>
        <v>12365</v>
      </c>
      <c r="AB102" s="19"/>
      <c r="AC102" s="19"/>
      <c r="AD102" s="19"/>
      <c r="AE102" s="21"/>
      <c r="AF102" s="21"/>
      <c r="AG102" s="21"/>
      <c r="AH102" s="21">
        <f t="shared" si="153"/>
        <v>24730</v>
      </c>
      <c r="AI102" s="21">
        <f t="shared" si="153"/>
        <v>15835</v>
      </c>
      <c r="AJ102" s="21"/>
      <c r="AK102" s="21"/>
      <c r="AL102" s="21">
        <f>AL103</f>
        <v>8895</v>
      </c>
      <c r="AM102" s="21"/>
      <c r="AN102" s="21"/>
      <c r="AO102" s="18"/>
      <c r="AP102" s="18" t="s">
        <v>43</v>
      </c>
      <c r="AQ102" s="18"/>
    </row>
    <row r="103" spans="1:43" ht="105">
      <c r="A103" s="22" t="s">
        <v>346</v>
      </c>
      <c r="B103" s="22" t="s">
        <v>347</v>
      </c>
      <c r="C103" s="23">
        <v>2</v>
      </c>
      <c r="D103" s="22" t="s">
        <v>57</v>
      </c>
      <c r="E103" s="22" t="s">
        <v>79</v>
      </c>
      <c r="F103" s="22" t="s">
        <v>57</v>
      </c>
      <c r="G103" s="24">
        <f t="shared" si="128"/>
        <v>0.9215868585366036</v>
      </c>
      <c r="H103" s="24"/>
      <c r="I103" s="24">
        <v>100</v>
      </c>
      <c r="J103" s="23"/>
      <c r="K103" s="23"/>
      <c r="L103" s="23"/>
      <c r="M103" s="26"/>
      <c r="N103" s="26"/>
      <c r="O103" s="26"/>
      <c r="P103" s="23">
        <v>1</v>
      </c>
      <c r="Q103" s="23"/>
      <c r="R103" s="23"/>
      <c r="S103" s="25">
        <f t="shared" ref="S103" si="154">$AH103/$C103*P103</f>
        <v>12365</v>
      </c>
      <c r="T103" s="26"/>
      <c r="U103" s="26"/>
      <c r="V103" s="23"/>
      <c r="W103" s="23"/>
      <c r="X103" s="23">
        <v>1</v>
      </c>
      <c r="Y103" s="26"/>
      <c r="Z103" s="26"/>
      <c r="AA103" s="25">
        <f t="shared" ref="AA103" si="155">$AH103/$C103*X103</f>
        <v>12365</v>
      </c>
      <c r="AB103" s="23"/>
      <c r="AC103" s="23"/>
      <c r="AD103" s="23"/>
      <c r="AE103" s="26"/>
      <c r="AF103" s="26"/>
      <c r="AG103" s="26"/>
      <c r="AH103" s="26">
        <v>24730</v>
      </c>
      <c r="AI103" s="26">
        <v>15835</v>
      </c>
      <c r="AJ103" s="26"/>
      <c r="AK103" s="26"/>
      <c r="AL103" s="26">
        <v>8895</v>
      </c>
      <c r="AM103" s="26"/>
      <c r="AN103" s="26"/>
      <c r="AO103" s="46" t="s">
        <v>348</v>
      </c>
      <c r="AP103" s="32" t="s">
        <v>59</v>
      </c>
      <c r="AQ103" s="22"/>
    </row>
    <row r="104" spans="1:43" ht="30">
      <c r="A104" s="6" t="s">
        <v>349</v>
      </c>
      <c r="B104" s="6" t="s">
        <v>350</v>
      </c>
      <c r="C104" s="7"/>
      <c r="D104" s="6"/>
      <c r="E104" s="6"/>
      <c r="F104" s="6"/>
      <c r="G104" s="8">
        <f t="shared" si="128"/>
        <v>1.9620520866135132</v>
      </c>
      <c r="H104" s="8"/>
      <c r="I104" s="8"/>
      <c r="J104" s="7"/>
      <c r="K104" s="7"/>
      <c r="L104" s="7"/>
      <c r="M104" s="9"/>
      <c r="N104" s="9">
        <f>N105</f>
        <v>837.5</v>
      </c>
      <c r="O104" s="9">
        <f t="shared" ref="O104:AG105" si="156">O105</f>
        <v>14530</v>
      </c>
      <c r="P104" s="9"/>
      <c r="Q104" s="9"/>
      <c r="R104" s="9"/>
      <c r="S104" s="9">
        <f t="shared" si="156"/>
        <v>837.5</v>
      </c>
      <c r="T104" s="9">
        <f t="shared" si="156"/>
        <v>26825</v>
      </c>
      <c r="U104" s="9">
        <f t="shared" si="156"/>
        <v>2090</v>
      </c>
      <c r="V104" s="9"/>
      <c r="W104" s="9"/>
      <c r="X104" s="9"/>
      <c r="Y104" s="9"/>
      <c r="Z104" s="9"/>
      <c r="AA104" s="9">
        <f t="shared" si="156"/>
        <v>2927.5</v>
      </c>
      <c r="AB104" s="9"/>
      <c r="AC104" s="9"/>
      <c r="AD104" s="9"/>
      <c r="AE104" s="9">
        <f t="shared" si="156"/>
        <v>837.5</v>
      </c>
      <c r="AF104" s="9">
        <f t="shared" si="156"/>
        <v>837.5</v>
      </c>
      <c r="AG104" s="9">
        <f t="shared" si="156"/>
        <v>2927.5</v>
      </c>
      <c r="AH104" s="9">
        <f t="shared" ref="AH104:AI105" si="157">+AH105</f>
        <v>52650</v>
      </c>
      <c r="AI104" s="9">
        <f t="shared" si="157"/>
        <v>29240</v>
      </c>
      <c r="AJ104" s="9"/>
      <c r="AK104" s="9"/>
      <c r="AL104" s="9">
        <f>+AL105</f>
        <v>23410</v>
      </c>
      <c r="AM104" s="9"/>
      <c r="AN104" s="9"/>
      <c r="AO104" s="6"/>
      <c r="AP104" s="6" t="s">
        <v>43</v>
      </c>
      <c r="AQ104" s="6"/>
    </row>
    <row r="105" spans="1:43" ht="30">
      <c r="A105" s="10" t="s">
        <v>351</v>
      </c>
      <c r="B105" s="10" t="s">
        <v>352</v>
      </c>
      <c r="C105" s="11"/>
      <c r="D105" s="10"/>
      <c r="E105" s="10"/>
      <c r="F105" s="10"/>
      <c r="G105" s="12">
        <f t="shared" si="128"/>
        <v>1.9620520866135132</v>
      </c>
      <c r="H105" s="12"/>
      <c r="I105" s="12"/>
      <c r="J105" s="11"/>
      <c r="K105" s="11"/>
      <c r="L105" s="11"/>
      <c r="M105" s="13"/>
      <c r="N105" s="13">
        <f>N106</f>
        <v>837.5</v>
      </c>
      <c r="O105" s="13">
        <f t="shared" si="156"/>
        <v>14530</v>
      </c>
      <c r="P105" s="13"/>
      <c r="Q105" s="13"/>
      <c r="R105" s="13"/>
      <c r="S105" s="13">
        <f t="shared" si="156"/>
        <v>837.5</v>
      </c>
      <c r="T105" s="13">
        <f t="shared" si="156"/>
        <v>26825</v>
      </c>
      <c r="U105" s="13">
        <f t="shared" si="156"/>
        <v>2090</v>
      </c>
      <c r="V105" s="13"/>
      <c r="W105" s="13"/>
      <c r="X105" s="13"/>
      <c r="Y105" s="13"/>
      <c r="Z105" s="13"/>
      <c r="AA105" s="13">
        <f t="shared" si="156"/>
        <v>2927.5</v>
      </c>
      <c r="AB105" s="13"/>
      <c r="AC105" s="13"/>
      <c r="AD105" s="13"/>
      <c r="AE105" s="13">
        <f t="shared" si="156"/>
        <v>837.5</v>
      </c>
      <c r="AF105" s="13">
        <f t="shared" si="156"/>
        <v>837.5</v>
      </c>
      <c r="AG105" s="13">
        <f t="shared" si="156"/>
        <v>2927.5</v>
      </c>
      <c r="AH105" s="13">
        <f t="shared" si="157"/>
        <v>52650</v>
      </c>
      <c r="AI105" s="13">
        <f t="shared" si="157"/>
        <v>29240</v>
      </c>
      <c r="AJ105" s="13"/>
      <c r="AK105" s="13"/>
      <c r="AL105" s="13">
        <f>+AL106</f>
        <v>23410</v>
      </c>
      <c r="AM105" s="13"/>
      <c r="AN105" s="13"/>
      <c r="AO105" s="10"/>
      <c r="AP105" s="10" t="s">
        <v>43</v>
      </c>
      <c r="AQ105" s="10"/>
    </row>
    <row r="106" spans="1:43" ht="30">
      <c r="A106" s="14" t="s">
        <v>353</v>
      </c>
      <c r="B106" s="14" t="s">
        <v>354</v>
      </c>
      <c r="C106" s="15"/>
      <c r="D106" s="14"/>
      <c r="E106" s="14"/>
      <c r="F106" s="14"/>
      <c r="G106" s="16">
        <f t="shared" si="128"/>
        <v>1.9620520866135132</v>
      </c>
      <c r="H106" s="16"/>
      <c r="I106" s="16"/>
      <c r="J106" s="15"/>
      <c r="K106" s="15"/>
      <c r="L106" s="15"/>
      <c r="M106" s="17"/>
      <c r="N106" s="17">
        <f>N107+N110</f>
        <v>837.5</v>
      </c>
      <c r="O106" s="17">
        <f t="shared" ref="O106:AG106" si="158">O107+O110</f>
        <v>14530</v>
      </c>
      <c r="P106" s="17"/>
      <c r="Q106" s="17"/>
      <c r="R106" s="17"/>
      <c r="S106" s="17">
        <f t="shared" si="158"/>
        <v>837.5</v>
      </c>
      <c r="T106" s="17">
        <f t="shared" si="158"/>
        <v>26825</v>
      </c>
      <c r="U106" s="17">
        <f t="shared" si="158"/>
        <v>2090</v>
      </c>
      <c r="V106" s="17"/>
      <c r="W106" s="17"/>
      <c r="X106" s="17"/>
      <c r="Y106" s="17"/>
      <c r="Z106" s="17"/>
      <c r="AA106" s="17">
        <f t="shared" si="158"/>
        <v>2927.5</v>
      </c>
      <c r="AB106" s="17"/>
      <c r="AC106" s="17"/>
      <c r="AD106" s="17"/>
      <c r="AE106" s="17">
        <f t="shared" si="158"/>
        <v>837.5</v>
      </c>
      <c r="AF106" s="17">
        <f t="shared" si="158"/>
        <v>837.5</v>
      </c>
      <c r="AG106" s="17">
        <f t="shared" si="158"/>
        <v>2927.5</v>
      </c>
      <c r="AH106" s="17">
        <f t="shared" ref="AH106:AI106" si="159">+AH107+AH110</f>
        <v>52650</v>
      </c>
      <c r="AI106" s="17">
        <f t="shared" si="159"/>
        <v>29240</v>
      </c>
      <c r="AJ106" s="17"/>
      <c r="AK106" s="17"/>
      <c r="AL106" s="17">
        <f t="shared" ref="AL106" si="160">+AL107+AL110</f>
        <v>23410</v>
      </c>
      <c r="AM106" s="17"/>
      <c r="AN106" s="17"/>
      <c r="AO106" s="14"/>
      <c r="AP106" s="14" t="s">
        <v>43</v>
      </c>
      <c r="AQ106" s="14"/>
    </row>
    <row r="107" spans="1:43" ht="105">
      <c r="A107" s="18" t="s">
        <v>355</v>
      </c>
      <c r="B107" s="18" t="s">
        <v>356</v>
      </c>
      <c r="C107" s="19"/>
      <c r="D107" s="18" t="s">
        <v>357</v>
      </c>
      <c r="E107" s="18" t="s">
        <v>358</v>
      </c>
      <c r="F107" s="18" t="s">
        <v>57</v>
      </c>
      <c r="G107" s="20">
        <f t="shared" si="128"/>
        <v>0.42091886644443738</v>
      </c>
      <c r="H107" s="20"/>
      <c r="I107" s="20"/>
      <c r="J107" s="19"/>
      <c r="K107" s="19"/>
      <c r="L107" s="19"/>
      <c r="M107" s="21"/>
      <c r="N107" s="21">
        <f>SUM(N108:N109)</f>
        <v>837.5</v>
      </c>
      <c r="O107" s="21"/>
      <c r="P107" s="19"/>
      <c r="Q107" s="19"/>
      <c r="R107" s="19"/>
      <c r="S107" s="21">
        <f t="shared" ref="S107:U107" si="161">SUM(S108:S109)</f>
        <v>837.5</v>
      </c>
      <c r="T107" s="21"/>
      <c r="U107" s="21">
        <f t="shared" si="161"/>
        <v>2090</v>
      </c>
      <c r="V107" s="19"/>
      <c r="W107" s="19"/>
      <c r="X107" s="19"/>
      <c r="Y107" s="21"/>
      <c r="Z107" s="21"/>
      <c r="AA107" s="21">
        <f t="shared" ref="AA107" si="162">SUM(AA108:AA109)</f>
        <v>2927.5</v>
      </c>
      <c r="AB107" s="19"/>
      <c r="AC107" s="19"/>
      <c r="AD107" s="19"/>
      <c r="AE107" s="21">
        <f t="shared" ref="AE107:AI107" si="163">SUM(AE108:AE109)</f>
        <v>837.5</v>
      </c>
      <c r="AF107" s="21">
        <f t="shared" si="163"/>
        <v>837.5</v>
      </c>
      <c r="AG107" s="21">
        <f t="shared" si="163"/>
        <v>2927.5</v>
      </c>
      <c r="AH107" s="21">
        <f t="shared" si="163"/>
        <v>11295</v>
      </c>
      <c r="AI107" s="21">
        <f t="shared" si="163"/>
        <v>5420</v>
      </c>
      <c r="AJ107" s="21"/>
      <c r="AK107" s="21"/>
      <c r="AL107" s="21">
        <f t="shared" ref="AL107" si="164">SUM(AL108:AL109)</f>
        <v>5875</v>
      </c>
      <c r="AM107" s="21"/>
      <c r="AN107" s="21"/>
      <c r="AO107" s="18"/>
      <c r="AP107" s="18" t="s">
        <v>43</v>
      </c>
      <c r="AQ107" s="18"/>
    </row>
    <row r="108" spans="1:43" ht="75">
      <c r="A108" s="22" t="s">
        <v>359</v>
      </c>
      <c r="B108" s="22" t="s">
        <v>360</v>
      </c>
      <c r="C108" s="23">
        <v>6</v>
      </c>
      <c r="D108" s="22" t="s">
        <v>361</v>
      </c>
      <c r="E108" s="22" t="s">
        <v>362</v>
      </c>
      <c r="F108" s="22" t="s">
        <v>363</v>
      </c>
      <c r="G108" s="24">
        <f t="shared" si="128"/>
        <v>0.1872613814859051</v>
      </c>
      <c r="H108" s="24"/>
      <c r="I108" s="24">
        <v>60</v>
      </c>
      <c r="J108" s="23"/>
      <c r="K108" s="23">
        <v>1</v>
      </c>
      <c r="L108" s="23"/>
      <c r="M108" s="26"/>
      <c r="N108" s="25">
        <f t="shared" ref="N108" si="165">$AH108/$C108*K108</f>
        <v>837.5</v>
      </c>
      <c r="O108" s="26"/>
      <c r="P108" s="23">
        <v>1</v>
      </c>
      <c r="Q108" s="23"/>
      <c r="R108" s="23"/>
      <c r="S108" s="25">
        <f t="shared" ref="S108" si="166">$AH108/$C108*P108</f>
        <v>837.5</v>
      </c>
      <c r="T108" s="26"/>
      <c r="U108" s="26"/>
      <c r="V108" s="23"/>
      <c r="W108" s="23"/>
      <c r="X108" s="23">
        <v>1</v>
      </c>
      <c r="Y108" s="26"/>
      <c r="Z108" s="26"/>
      <c r="AA108" s="25">
        <f t="shared" ref="AA108:AA109" si="167">$AH108/$C108*X108</f>
        <v>837.5</v>
      </c>
      <c r="AB108" s="23">
        <v>1</v>
      </c>
      <c r="AC108" s="23">
        <v>1</v>
      </c>
      <c r="AD108" s="23">
        <v>1</v>
      </c>
      <c r="AE108" s="25">
        <f t="shared" ref="AE108:AG109" si="168">$AH108/$C108*AB108</f>
        <v>837.5</v>
      </c>
      <c r="AF108" s="25">
        <f t="shared" si="168"/>
        <v>837.5</v>
      </c>
      <c r="AG108" s="25">
        <f t="shared" si="168"/>
        <v>837.5</v>
      </c>
      <c r="AH108" s="26">
        <v>5025</v>
      </c>
      <c r="AI108" s="26">
        <v>2410</v>
      </c>
      <c r="AJ108" s="26"/>
      <c r="AK108" s="26"/>
      <c r="AL108" s="26">
        <v>2615</v>
      </c>
      <c r="AM108" s="26"/>
      <c r="AN108" s="26"/>
      <c r="AO108" s="46" t="s">
        <v>348</v>
      </c>
      <c r="AP108" s="22" t="s">
        <v>241</v>
      </c>
      <c r="AQ108" s="22" t="s">
        <v>364</v>
      </c>
    </row>
    <row r="109" spans="1:43" ht="90">
      <c r="A109" s="22" t="s">
        <v>365</v>
      </c>
      <c r="B109" s="22" t="s">
        <v>366</v>
      </c>
      <c r="C109" s="23">
        <v>3</v>
      </c>
      <c r="D109" s="22" t="s">
        <v>52</v>
      </c>
      <c r="E109" s="22" t="s">
        <v>367</v>
      </c>
      <c r="F109" s="22" t="s">
        <v>52</v>
      </c>
      <c r="G109" s="24">
        <f t="shared" si="128"/>
        <v>0.23365748495853234</v>
      </c>
      <c r="H109" s="24"/>
      <c r="I109" s="24">
        <v>40</v>
      </c>
      <c r="J109" s="23"/>
      <c r="K109" s="23"/>
      <c r="L109" s="23"/>
      <c r="M109" s="26"/>
      <c r="N109" s="26"/>
      <c r="O109" s="26"/>
      <c r="P109" s="23"/>
      <c r="Q109" s="23"/>
      <c r="R109" s="23">
        <v>1</v>
      </c>
      <c r="S109" s="26"/>
      <c r="T109" s="26"/>
      <c r="U109" s="25">
        <f t="shared" ref="U109" si="169">$AH109/$C109*R109</f>
        <v>2090</v>
      </c>
      <c r="V109" s="23"/>
      <c r="W109" s="23"/>
      <c r="X109" s="23">
        <v>1</v>
      </c>
      <c r="Y109" s="26"/>
      <c r="Z109" s="26"/>
      <c r="AA109" s="25">
        <f t="shared" si="167"/>
        <v>2090</v>
      </c>
      <c r="AB109" s="23"/>
      <c r="AC109" s="23"/>
      <c r="AD109" s="23">
        <v>1</v>
      </c>
      <c r="AE109" s="26"/>
      <c r="AF109" s="26"/>
      <c r="AG109" s="25">
        <f t="shared" si="168"/>
        <v>2090</v>
      </c>
      <c r="AH109" s="26">
        <v>6270</v>
      </c>
      <c r="AI109" s="26">
        <v>3010</v>
      </c>
      <c r="AJ109" s="26"/>
      <c r="AK109" s="26"/>
      <c r="AL109" s="26">
        <v>3260</v>
      </c>
      <c r="AM109" s="26"/>
      <c r="AN109" s="26"/>
      <c r="AO109" s="46" t="s">
        <v>348</v>
      </c>
      <c r="AP109" s="22" t="s">
        <v>241</v>
      </c>
      <c r="AQ109" s="22" t="s">
        <v>364</v>
      </c>
    </row>
    <row r="110" spans="1:43" ht="60">
      <c r="A110" s="18" t="s">
        <v>368</v>
      </c>
      <c r="B110" s="18" t="s">
        <v>369</v>
      </c>
      <c r="C110" s="19"/>
      <c r="D110" s="18" t="s">
        <v>57</v>
      </c>
      <c r="E110" s="18" t="s">
        <v>370</v>
      </c>
      <c r="F110" s="18" t="s">
        <v>371</v>
      </c>
      <c r="G110" s="20">
        <f t="shared" si="128"/>
        <v>1.5411332201690755</v>
      </c>
      <c r="H110" s="20"/>
      <c r="I110" s="20"/>
      <c r="J110" s="19"/>
      <c r="K110" s="19"/>
      <c r="L110" s="19"/>
      <c r="M110" s="21"/>
      <c r="N110" s="21"/>
      <c r="O110" s="21">
        <f>SUM(O111:O112)</f>
        <v>14530</v>
      </c>
      <c r="P110" s="19"/>
      <c r="Q110" s="19"/>
      <c r="R110" s="19"/>
      <c r="S110" s="21"/>
      <c r="T110" s="21">
        <f t="shared" ref="T110" si="170">SUM(T111:T112)</f>
        <v>26825</v>
      </c>
      <c r="U110" s="21"/>
      <c r="V110" s="19"/>
      <c r="W110" s="19"/>
      <c r="X110" s="19"/>
      <c r="Y110" s="21"/>
      <c r="Z110" s="21"/>
      <c r="AA110" s="21"/>
      <c r="AB110" s="19"/>
      <c r="AC110" s="19"/>
      <c r="AD110" s="19"/>
      <c r="AE110" s="21"/>
      <c r="AF110" s="21"/>
      <c r="AG110" s="21"/>
      <c r="AH110" s="21">
        <f t="shared" ref="AH110:AI110" si="171">SUM(AH111:AH112)</f>
        <v>41355</v>
      </c>
      <c r="AI110" s="21">
        <f t="shared" si="171"/>
        <v>23820</v>
      </c>
      <c r="AJ110" s="21"/>
      <c r="AK110" s="21"/>
      <c r="AL110" s="21">
        <f t="shared" ref="AL110" si="172">SUM(AL111:AL112)</f>
        <v>17535</v>
      </c>
      <c r="AM110" s="21"/>
      <c r="AN110" s="21"/>
      <c r="AO110" s="18"/>
      <c r="AP110" s="18" t="s">
        <v>43</v>
      </c>
      <c r="AQ110" s="18"/>
    </row>
    <row r="111" spans="1:43" ht="105">
      <c r="A111" s="22" t="s">
        <v>372</v>
      </c>
      <c r="B111" s="22" t="s">
        <v>373</v>
      </c>
      <c r="C111" s="23">
        <v>1</v>
      </c>
      <c r="D111" s="22" t="s">
        <v>57</v>
      </c>
      <c r="E111" s="22" t="s">
        <v>374</v>
      </c>
      <c r="F111" s="22" t="s">
        <v>375</v>
      </c>
      <c r="G111" s="24">
        <f t="shared" si="128"/>
        <v>0.54147420358013953</v>
      </c>
      <c r="H111" s="24"/>
      <c r="I111" s="24">
        <v>30</v>
      </c>
      <c r="J111" s="23"/>
      <c r="K111" s="23"/>
      <c r="L111" s="23">
        <v>1</v>
      </c>
      <c r="M111" s="26"/>
      <c r="N111" s="26"/>
      <c r="O111" s="25">
        <f t="shared" ref="O111" si="173">$AH111/$C111*L111</f>
        <v>14530</v>
      </c>
      <c r="P111" s="23"/>
      <c r="Q111" s="23"/>
      <c r="R111" s="23"/>
      <c r="S111" s="26"/>
      <c r="T111" s="26"/>
      <c r="U111" s="26"/>
      <c r="V111" s="23"/>
      <c r="W111" s="23"/>
      <c r="X111" s="23"/>
      <c r="Y111" s="26"/>
      <c r="Z111" s="26"/>
      <c r="AA111" s="26"/>
      <c r="AB111" s="23"/>
      <c r="AC111" s="23"/>
      <c r="AD111" s="23"/>
      <c r="AE111" s="26"/>
      <c r="AF111" s="26"/>
      <c r="AG111" s="26"/>
      <c r="AH111" s="26">
        <v>14530</v>
      </c>
      <c r="AI111" s="26">
        <v>7990</v>
      </c>
      <c r="AJ111" s="26"/>
      <c r="AK111" s="26"/>
      <c r="AL111" s="26">
        <v>6540</v>
      </c>
      <c r="AM111" s="26"/>
      <c r="AN111" s="26"/>
      <c r="AO111" s="46" t="s">
        <v>348</v>
      </c>
      <c r="AP111" s="22" t="s">
        <v>195</v>
      </c>
      <c r="AQ111" s="22"/>
    </row>
    <row r="112" spans="1:43" ht="105">
      <c r="A112" s="22" t="s">
        <v>376</v>
      </c>
      <c r="B112" s="22" t="s">
        <v>377</v>
      </c>
      <c r="C112" s="23">
        <v>1</v>
      </c>
      <c r="D112" s="22" t="s">
        <v>57</v>
      </c>
      <c r="E112" s="22" t="s">
        <v>378</v>
      </c>
      <c r="F112" s="22" t="s">
        <v>371</v>
      </c>
      <c r="G112" s="24">
        <f t="shared" si="128"/>
        <v>0.99965901658893608</v>
      </c>
      <c r="H112" s="24"/>
      <c r="I112" s="24">
        <v>70</v>
      </c>
      <c r="J112" s="23"/>
      <c r="K112" s="23"/>
      <c r="L112" s="23"/>
      <c r="M112" s="26"/>
      <c r="N112" s="26"/>
      <c r="O112" s="26"/>
      <c r="P112" s="23"/>
      <c r="Q112" s="23">
        <v>1</v>
      </c>
      <c r="R112" s="23"/>
      <c r="S112" s="26"/>
      <c r="T112" s="25">
        <f t="shared" ref="T112" si="174">$AH112/$C112*Q112</f>
        <v>26825</v>
      </c>
      <c r="U112" s="26"/>
      <c r="V112" s="23"/>
      <c r="W112" s="23"/>
      <c r="X112" s="23"/>
      <c r="Y112" s="26"/>
      <c r="Z112" s="26"/>
      <c r="AA112" s="26"/>
      <c r="AB112" s="23"/>
      <c r="AC112" s="23"/>
      <c r="AD112" s="23"/>
      <c r="AE112" s="26"/>
      <c r="AF112" s="26"/>
      <c r="AG112" s="26"/>
      <c r="AH112" s="26">
        <v>26825</v>
      </c>
      <c r="AI112" s="26">
        <v>15830</v>
      </c>
      <c r="AJ112" s="26"/>
      <c r="AK112" s="26"/>
      <c r="AL112" s="26">
        <v>10995</v>
      </c>
      <c r="AM112" s="26"/>
      <c r="AN112" s="26"/>
      <c r="AO112" s="46" t="s">
        <v>348</v>
      </c>
      <c r="AP112" s="22" t="s">
        <v>195</v>
      </c>
      <c r="AQ112" s="22"/>
    </row>
    <row r="113" spans="1:43" ht="15">
      <c r="A113" s="49" t="s">
        <v>379</v>
      </c>
      <c r="B113" s="50" t="s">
        <v>380</v>
      </c>
      <c r="C113" s="51"/>
      <c r="D113" s="50"/>
      <c r="E113" s="50"/>
      <c r="F113" s="50"/>
      <c r="G113" s="52">
        <f t="shared" si="128"/>
        <v>5.3273533911079722</v>
      </c>
      <c r="H113" s="52"/>
      <c r="I113" s="52"/>
      <c r="J113" s="53"/>
      <c r="K113" s="53"/>
      <c r="L113" s="53"/>
      <c r="M113" s="54"/>
      <c r="N113" s="54"/>
      <c r="O113" s="54"/>
      <c r="P113" s="53"/>
      <c r="Q113" s="53"/>
      <c r="R113" s="53"/>
      <c r="S113" s="54"/>
      <c r="T113" s="54"/>
      <c r="U113" s="54"/>
      <c r="V113" s="53"/>
      <c r="W113" s="53"/>
      <c r="X113" s="53"/>
      <c r="Y113" s="54"/>
      <c r="Z113" s="54"/>
      <c r="AA113" s="54"/>
      <c r="AB113" s="53"/>
      <c r="AC113" s="53"/>
      <c r="AD113" s="53"/>
      <c r="AE113" s="54"/>
      <c r="AF113" s="54">
        <f>AF114</f>
        <v>142955</v>
      </c>
      <c r="AG113" s="54"/>
      <c r="AH113" s="54">
        <f>AH114</f>
        <v>142955</v>
      </c>
      <c r="AI113" s="54"/>
      <c r="AJ113" s="54"/>
      <c r="AK113" s="54"/>
      <c r="AL113" s="54"/>
      <c r="AM113" s="54">
        <f>AM114</f>
        <v>142955</v>
      </c>
      <c r="AN113" s="54"/>
      <c r="AO113" s="50"/>
      <c r="AP113" s="50" t="s">
        <v>43</v>
      </c>
      <c r="AQ113" s="50"/>
    </row>
    <row r="114" spans="1:43" ht="45">
      <c r="A114" s="55" t="s">
        <v>381</v>
      </c>
      <c r="B114" s="56" t="s">
        <v>382</v>
      </c>
      <c r="C114" s="57"/>
      <c r="D114" s="56"/>
      <c r="E114" s="56"/>
      <c r="F114" s="56"/>
      <c r="G114" s="58">
        <f t="shared" si="128"/>
        <v>5.3273533911079722</v>
      </c>
      <c r="H114" s="58"/>
      <c r="I114" s="58"/>
      <c r="J114" s="59"/>
      <c r="K114" s="59"/>
      <c r="L114" s="59"/>
      <c r="M114" s="60"/>
      <c r="N114" s="60"/>
      <c r="O114" s="60"/>
      <c r="P114" s="59"/>
      <c r="Q114" s="59"/>
      <c r="R114" s="59"/>
      <c r="S114" s="60"/>
      <c r="T114" s="60"/>
      <c r="U114" s="60"/>
      <c r="V114" s="59"/>
      <c r="W114" s="59"/>
      <c r="X114" s="59"/>
      <c r="Y114" s="60"/>
      <c r="Z114" s="60"/>
      <c r="AA114" s="60"/>
      <c r="AB114" s="59"/>
      <c r="AC114" s="59"/>
      <c r="AD114" s="59"/>
      <c r="AE114" s="60"/>
      <c r="AF114" s="60">
        <f>AF115</f>
        <v>142955</v>
      </c>
      <c r="AG114" s="60"/>
      <c r="AH114" s="60">
        <f>AH115</f>
        <v>142955</v>
      </c>
      <c r="AI114" s="60"/>
      <c r="AJ114" s="60"/>
      <c r="AK114" s="60"/>
      <c r="AL114" s="60"/>
      <c r="AM114" s="60">
        <f>AM115</f>
        <v>142955</v>
      </c>
      <c r="AN114" s="60"/>
      <c r="AO114" s="56"/>
      <c r="AP114" s="56" t="s">
        <v>43</v>
      </c>
      <c r="AQ114" s="56"/>
    </row>
    <row r="115" spans="1:43" ht="45">
      <c r="A115" s="61" t="s">
        <v>383</v>
      </c>
      <c r="B115" s="62" t="s">
        <v>384</v>
      </c>
      <c r="C115" s="63"/>
      <c r="D115" s="62"/>
      <c r="E115" s="62"/>
      <c r="F115" s="62"/>
      <c r="G115" s="64">
        <f t="shared" si="128"/>
        <v>5.3273533911079722</v>
      </c>
      <c r="H115" s="64"/>
      <c r="I115" s="64"/>
      <c r="J115" s="65"/>
      <c r="K115" s="65"/>
      <c r="L115" s="65"/>
      <c r="M115" s="66"/>
      <c r="N115" s="66"/>
      <c r="O115" s="66"/>
      <c r="P115" s="65"/>
      <c r="Q115" s="65"/>
      <c r="R115" s="65"/>
      <c r="S115" s="66"/>
      <c r="T115" s="66"/>
      <c r="U115" s="66"/>
      <c r="V115" s="65"/>
      <c r="W115" s="65"/>
      <c r="X115" s="65"/>
      <c r="Y115" s="66"/>
      <c r="Z115" s="66"/>
      <c r="AA115" s="66"/>
      <c r="AB115" s="65"/>
      <c r="AC115" s="65"/>
      <c r="AD115" s="65"/>
      <c r="AE115" s="66"/>
      <c r="AF115" s="66">
        <f>AF116</f>
        <v>142955</v>
      </c>
      <c r="AG115" s="66"/>
      <c r="AH115" s="66">
        <f>AH116</f>
        <v>142955</v>
      </c>
      <c r="AI115" s="66"/>
      <c r="AJ115" s="66"/>
      <c r="AK115" s="66"/>
      <c r="AL115" s="66"/>
      <c r="AM115" s="66">
        <f>AM116</f>
        <v>142955</v>
      </c>
      <c r="AN115" s="66"/>
      <c r="AO115" s="62"/>
      <c r="AP115" s="62" t="s">
        <v>43</v>
      </c>
      <c r="AQ115" s="62"/>
    </row>
    <row r="116" spans="1:43" ht="75">
      <c r="A116" s="67" t="s">
        <v>385</v>
      </c>
      <c r="B116" s="68" t="s">
        <v>386</v>
      </c>
      <c r="C116" s="69"/>
      <c r="D116" s="68"/>
      <c r="E116" s="68"/>
      <c r="F116" s="68"/>
      <c r="G116" s="20">
        <f t="shared" si="128"/>
        <v>5.3273533911079722</v>
      </c>
      <c r="H116" s="70"/>
      <c r="I116" s="70"/>
      <c r="J116" s="71"/>
      <c r="K116" s="71"/>
      <c r="L116" s="71"/>
      <c r="M116" s="72"/>
      <c r="N116" s="72"/>
      <c r="O116" s="72"/>
      <c r="P116" s="71"/>
      <c r="Q116" s="71"/>
      <c r="R116" s="71"/>
      <c r="S116" s="72"/>
      <c r="T116" s="72"/>
      <c r="U116" s="72"/>
      <c r="V116" s="71"/>
      <c r="W116" s="71"/>
      <c r="X116" s="71"/>
      <c r="Y116" s="72"/>
      <c r="Z116" s="72"/>
      <c r="AA116" s="72"/>
      <c r="AB116" s="71"/>
      <c r="AC116" s="71"/>
      <c r="AD116" s="71"/>
      <c r="AE116" s="72"/>
      <c r="AF116" s="72">
        <f>AF117</f>
        <v>142955</v>
      </c>
      <c r="AG116" s="72"/>
      <c r="AH116" s="72">
        <f>AH117</f>
        <v>142955</v>
      </c>
      <c r="AI116" s="72"/>
      <c r="AJ116" s="72"/>
      <c r="AK116" s="72"/>
      <c r="AL116" s="72"/>
      <c r="AM116" s="72">
        <f>AM117</f>
        <v>142955</v>
      </c>
      <c r="AN116" s="72"/>
      <c r="AO116" s="68"/>
      <c r="AP116" s="68" t="s">
        <v>43</v>
      </c>
      <c r="AQ116" s="68"/>
    </row>
    <row r="117" spans="1:43" ht="105">
      <c r="A117" s="73" t="s">
        <v>387</v>
      </c>
      <c r="B117" s="74" t="s">
        <v>388</v>
      </c>
      <c r="C117" s="75">
        <f t="shared" ref="C117" si="175">SUM(J117+K117+L117+P117+Q117+R117+V117+W117+X117+AB117+AC117+AD117)</f>
        <v>1</v>
      </c>
      <c r="D117" s="74" t="s">
        <v>52</v>
      </c>
      <c r="E117" s="74" t="s">
        <v>389</v>
      </c>
      <c r="F117" s="74" t="s">
        <v>390</v>
      </c>
      <c r="G117" s="76">
        <f t="shared" si="128"/>
        <v>5.3273533911079722</v>
      </c>
      <c r="H117" s="76"/>
      <c r="I117" s="76">
        <v>100</v>
      </c>
      <c r="J117" s="77"/>
      <c r="K117" s="77"/>
      <c r="L117" s="77"/>
      <c r="M117" s="25"/>
      <c r="N117" s="25"/>
      <c r="O117" s="25"/>
      <c r="P117" s="77"/>
      <c r="Q117" s="77"/>
      <c r="R117" s="77"/>
      <c r="S117" s="25"/>
      <c r="T117" s="25"/>
      <c r="U117" s="25"/>
      <c r="V117" s="77"/>
      <c r="W117" s="77"/>
      <c r="X117" s="77"/>
      <c r="Y117" s="25"/>
      <c r="Z117" s="25"/>
      <c r="AA117" s="25"/>
      <c r="AB117" s="77"/>
      <c r="AC117" s="77">
        <v>1</v>
      </c>
      <c r="AD117" s="77"/>
      <c r="AE117" s="25"/>
      <c r="AF117" s="25">
        <v>142955</v>
      </c>
      <c r="AG117" s="25"/>
      <c r="AH117" s="26">
        <f>+AF117</f>
        <v>142955</v>
      </c>
      <c r="AI117" s="78"/>
      <c r="AJ117" s="78"/>
      <c r="AK117" s="78"/>
      <c r="AL117" s="78"/>
      <c r="AM117" s="78">
        <f>+AF117</f>
        <v>142955</v>
      </c>
      <c r="AN117" s="78"/>
      <c r="AO117" s="74" t="s">
        <v>391</v>
      </c>
      <c r="AP117" s="32" t="s">
        <v>59</v>
      </c>
      <c r="AQ117" s="74" t="s">
        <v>392</v>
      </c>
    </row>
    <row r="118" spans="1:43" ht="15">
      <c r="A118" s="79"/>
      <c r="B118" s="62"/>
      <c r="C118" s="79"/>
      <c r="D118" s="62"/>
      <c r="E118" s="62"/>
      <c r="F118" s="62"/>
      <c r="G118" s="16">
        <f>$AH118/$AH$118*100</f>
        <v>100</v>
      </c>
      <c r="H118" s="16"/>
      <c r="I118" s="16"/>
      <c r="J118" s="15"/>
      <c r="K118" s="15"/>
      <c r="L118" s="15"/>
      <c r="M118" s="17">
        <f>M11+M80+M85+M93+M99+M104+M113</f>
        <v>52766.004036956918</v>
      </c>
      <c r="N118" s="17">
        <f>N11+N80+N85+N93+N99+N104+N113</f>
        <v>114479.53632487047</v>
      </c>
      <c r="O118" s="17">
        <f>O11+O80+O85+O93+O99+O104+O113</f>
        <v>163159.46572768531</v>
      </c>
      <c r="P118" s="17"/>
      <c r="Q118" s="17"/>
      <c r="R118" s="17"/>
      <c r="S118" s="17">
        <f>S11+S80+S85+S93+S99+S104+S113</f>
        <v>175177.70992648407</v>
      </c>
      <c r="T118" s="17">
        <f>T11+T80+T85+T93+T99+T104+T113</f>
        <v>177817.54449520723</v>
      </c>
      <c r="U118" s="17">
        <f>U11+U80+U85+U93+U99+U104+U113</f>
        <v>271966.16857757582</v>
      </c>
      <c r="V118" s="15"/>
      <c r="W118" s="15"/>
      <c r="X118" s="15"/>
      <c r="Y118" s="17">
        <f>Y11+Y80+Y85+Y93+Y99+Y104+Y113</f>
        <v>233303.68231156992</v>
      </c>
      <c r="Z118" s="17">
        <f>Z11+Z80+Z85+Z93+Z99+Z104+Z113</f>
        <v>288567.47383111127</v>
      </c>
      <c r="AA118" s="17">
        <f>AA11+AA80+AA85+AA93+AA99+AA104+AA113</f>
        <v>272162.07292382466</v>
      </c>
      <c r="AB118" s="15"/>
      <c r="AC118" s="15"/>
      <c r="AD118" s="15"/>
      <c r="AE118" s="17">
        <f>AE11+AE80+AE85+AE93+AE99+AE104+AE113</f>
        <v>201141.70563254476</v>
      </c>
      <c r="AF118" s="17">
        <f>AF11+AF80+AF85+AF93+AF99+AF104+AF113</f>
        <v>445509.62114822527</v>
      </c>
      <c r="AG118" s="17">
        <f>AG11+AG80+AG85+AG93+AG99+AG104+AG113</f>
        <v>287364.01506394427</v>
      </c>
      <c r="AH118" s="17">
        <v>2683415</v>
      </c>
      <c r="AI118" s="17">
        <f>AI11+AI80+AI85+AI93+AI99+AI104+AI113</f>
        <v>1389710</v>
      </c>
      <c r="AJ118" s="17"/>
      <c r="AK118" s="17"/>
      <c r="AL118" s="17">
        <f>AL11+AL80+AL85+AL93+AL99+AL104+AL113</f>
        <v>750750</v>
      </c>
      <c r="AM118" s="17">
        <f>AM11+AM80+AM85+AM93+AM99+AM104+AM113</f>
        <v>142955</v>
      </c>
      <c r="AN118" s="17">
        <f>AN11+AN80+AN85+AN93+AN99+AN104+AN113</f>
        <v>400000</v>
      </c>
      <c r="AO118" s="14"/>
      <c r="AP118" s="14"/>
      <c r="AQ118" s="14"/>
    </row>
  </sheetData>
  <sheetProtection algorithmName="SHA-512" hashValue="PgTiIMZcqQJMsdOCr9bdxEp/zl9xLQDjjWw2YUGX+Lvj//4RlUDl91CdxGRCsATewu1DtczZGQF6C+Iy/6nQZw==" saltValue="KX6ef6X1GXj1lZQ4ukbUpg==" spinCount="100000" sheet="1" objects="1" scenarios="1"/>
  <mergeCells count="41">
    <mergeCell ref="AP15:AP17"/>
    <mergeCell ref="AQ15:AQ17"/>
    <mergeCell ref="AP18:AP19"/>
    <mergeCell ref="AQ18:AQ19"/>
    <mergeCell ref="S9:U9"/>
    <mergeCell ref="V9:X9"/>
    <mergeCell ref="Y9:AA9"/>
    <mergeCell ref="AB9:AD9"/>
    <mergeCell ref="AO15:AO19"/>
    <mergeCell ref="AN8:AN10"/>
    <mergeCell ref="J9:L9"/>
    <mergeCell ref="M9:O9"/>
    <mergeCell ref="AE9:AG9"/>
    <mergeCell ref="AQ7:AQ10"/>
    <mergeCell ref="J8:O8"/>
    <mergeCell ref="P8:U8"/>
    <mergeCell ref="V8:AA8"/>
    <mergeCell ref="AB8:AG8"/>
    <mergeCell ref="AH8:AH10"/>
    <mergeCell ref="AI8:AI10"/>
    <mergeCell ref="AJ8:AJ10"/>
    <mergeCell ref="AK8:AK10"/>
    <mergeCell ref="AL8:AL10"/>
    <mergeCell ref="AP7:AP10"/>
    <mergeCell ref="P9:R9"/>
    <mergeCell ref="A1:AQ1"/>
    <mergeCell ref="A2:AQ2"/>
    <mergeCell ref="A3:AQ3"/>
    <mergeCell ref="A7:A10"/>
    <mergeCell ref="B7:B10"/>
    <mergeCell ref="C7:C10"/>
    <mergeCell ref="D7:D10"/>
    <mergeCell ref="E7:E10"/>
    <mergeCell ref="F7:F10"/>
    <mergeCell ref="G7:G10"/>
    <mergeCell ref="H7:H10"/>
    <mergeCell ref="I7:I10"/>
    <mergeCell ref="J7:AH7"/>
    <mergeCell ref="AI7:AN7"/>
    <mergeCell ref="AO7:AO10"/>
    <mergeCell ref="AM8:AM10"/>
  </mergeCells>
  <pageMargins left="0.7" right="0.7" top="0.75" bottom="0.75" header="0.3" footer="0.3"/>
  <pageSetup scale="6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9"/>
  <sheetViews>
    <sheetView workbookViewId="0">
      <selection activeCell="B6" sqref="B6"/>
    </sheetView>
  </sheetViews>
  <sheetFormatPr baseColWidth="10" defaultRowHeight="14.4"/>
  <cols>
    <col min="1" max="1" width="17.44140625" bestFit="1" customWidth="1"/>
    <col min="2" max="2" width="29.88671875" customWidth="1"/>
    <col min="3" max="3" width="10.33203125" customWidth="1"/>
    <col min="4" max="4" width="16.44140625" customWidth="1"/>
    <col min="5" max="5" width="31.6640625" customWidth="1"/>
    <col min="6" max="6" width="19.5546875" customWidth="1"/>
    <col min="7" max="7" width="9" customWidth="1"/>
    <col min="8" max="8" width="8.44140625" customWidth="1"/>
    <col min="9" max="9" width="9.109375" customWidth="1"/>
    <col min="10" max="12" width="5.5546875" bestFit="1" customWidth="1"/>
    <col min="13" max="13" width="13.33203125" bestFit="1" customWidth="1"/>
    <col min="14" max="14" width="13.6640625" customWidth="1"/>
    <col min="15" max="15" width="15.109375" bestFit="1" customWidth="1"/>
    <col min="16" max="18" width="5.5546875" bestFit="1" customWidth="1"/>
    <col min="19" max="20" width="13.6640625" bestFit="1" customWidth="1"/>
    <col min="21" max="21" width="15.109375" bestFit="1" customWidth="1"/>
    <col min="22" max="24" width="5.5546875" bestFit="1" customWidth="1"/>
    <col min="25" max="27" width="13.6640625" bestFit="1" customWidth="1"/>
    <col min="28" max="30" width="5.5546875" bestFit="1" customWidth="1"/>
    <col min="31" max="31" width="13.6640625" bestFit="1" customWidth="1"/>
    <col min="32" max="32" width="13.33203125" bestFit="1" customWidth="1"/>
    <col min="33" max="34" width="15.109375" bestFit="1" customWidth="1"/>
    <col min="35" max="35" width="18.5546875" bestFit="1" customWidth="1"/>
    <col min="36" max="36" width="7.44140625" customWidth="1"/>
    <col min="37" max="37" width="4.5546875" customWidth="1"/>
    <col min="38" max="38" width="19.44140625" customWidth="1"/>
    <col min="39" max="39" width="8.44140625" customWidth="1"/>
    <col min="40" max="40" width="6.44140625" customWidth="1"/>
    <col min="41" max="41" width="17.109375" customWidth="1"/>
    <col min="42" max="42" width="18.5546875" customWidth="1"/>
    <col min="43" max="43" width="7.33203125" customWidth="1"/>
  </cols>
  <sheetData>
    <row r="1" spans="1:43" ht="17.399999999999999">
      <c r="A1" s="2038" t="s">
        <v>0</v>
      </c>
      <c r="B1" s="2038"/>
      <c r="C1" s="2038"/>
      <c r="D1" s="2038"/>
      <c r="E1" s="2038"/>
      <c r="F1" s="2038"/>
      <c r="G1" s="2038"/>
      <c r="H1" s="2038"/>
      <c r="I1" s="2038"/>
      <c r="J1" s="2038"/>
      <c r="K1" s="2038"/>
      <c r="L1" s="2038"/>
      <c r="M1" s="2038"/>
      <c r="N1" s="2038"/>
      <c r="O1" s="2038"/>
      <c r="P1" s="2038"/>
      <c r="Q1" s="2038"/>
      <c r="R1" s="2038"/>
      <c r="S1" s="2038"/>
      <c r="T1" s="2038"/>
      <c r="U1" s="2038"/>
      <c r="V1" s="2038"/>
      <c r="W1" s="2038"/>
      <c r="X1" s="2038"/>
      <c r="Y1" s="2038"/>
      <c r="Z1" s="2038"/>
      <c r="AA1" s="2038"/>
      <c r="AB1" s="2038"/>
      <c r="AC1" s="2038"/>
      <c r="AD1" s="2038"/>
      <c r="AE1" s="2038"/>
      <c r="AF1" s="2038"/>
      <c r="AG1" s="2038"/>
      <c r="AH1" s="2038"/>
      <c r="AI1" s="2038"/>
      <c r="AJ1" s="2038"/>
      <c r="AK1" s="2038"/>
      <c r="AL1" s="2038"/>
      <c r="AM1" s="2038"/>
      <c r="AN1" s="2038"/>
      <c r="AO1" s="2038"/>
      <c r="AP1" s="2038"/>
      <c r="AQ1" s="2038"/>
    </row>
    <row r="2" spans="1:43" ht="17.399999999999999">
      <c r="A2" s="2038" t="s">
        <v>1</v>
      </c>
      <c r="B2" s="2038"/>
      <c r="C2" s="2038"/>
      <c r="D2" s="2038"/>
      <c r="E2" s="2038"/>
      <c r="F2" s="2038"/>
      <c r="G2" s="2038"/>
      <c r="H2" s="2038"/>
      <c r="I2" s="2038"/>
      <c r="J2" s="2038"/>
      <c r="K2" s="2038"/>
      <c r="L2" s="2038"/>
      <c r="M2" s="2038"/>
      <c r="N2" s="2038"/>
      <c r="O2" s="2038"/>
      <c r="P2" s="2038"/>
      <c r="Q2" s="2038"/>
      <c r="R2" s="2038"/>
      <c r="S2" s="2038"/>
      <c r="T2" s="2038"/>
      <c r="U2" s="2038"/>
      <c r="V2" s="2038"/>
      <c r="W2" s="2038"/>
      <c r="X2" s="2038"/>
      <c r="Y2" s="2038"/>
      <c r="Z2" s="2038"/>
      <c r="AA2" s="2038"/>
      <c r="AB2" s="2038"/>
      <c r="AC2" s="2038"/>
      <c r="AD2" s="2038"/>
      <c r="AE2" s="2038"/>
      <c r="AF2" s="2038"/>
      <c r="AG2" s="2038"/>
      <c r="AH2" s="2038"/>
      <c r="AI2" s="2038"/>
      <c r="AJ2" s="2038"/>
      <c r="AK2" s="2038"/>
      <c r="AL2" s="2038"/>
      <c r="AM2" s="2038"/>
      <c r="AN2" s="2038"/>
      <c r="AO2" s="2038"/>
      <c r="AP2" s="2038"/>
      <c r="AQ2" s="2038"/>
    </row>
    <row r="3" spans="1:43" ht="17.399999999999999">
      <c r="A3" s="2039"/>
      <c r="B3" s="2039"/>
      <c r="C3" s="2039"/>
      <c r="D3" s="2039"/>
      <c r="E3" s="2039"/>
      <c r="F3" s="2039"/>
      <c r="G3" s="2039"/>
      <c r="H3" s="2039"/>
      <c r="I3" s="2039"/>
      <c r="J3" s="2039"/>
      <c r="K3" s="2039"/>
      <c r="L3" s="2039"/>
      <c r="M3" s="2039"/>
      <c r="N3" s="2039"/>
      <c r="O3" s="2039"/>
      <c r="P3" s="2039"/>
      <c r="Q3" s="2039"/>
      <c r="R3" s="2039"/>
      <c r="S3" s="2039"/>
      <c r="T3" s="2039"/>
      <c r="U3" s="2039"/>
      <c r="V3" s="2039"/>
      <c r="W3" s="2039"/>
      <c r="X3" s="2039"/>
      <c r="Y3" s="2039"/>
      <c r="Z3" s="2039"/>
      <c r="AA3" s="2039"/>
      <c r="AB3" s="2039"/>
      <c r="AC3" s="2039"/>
      <c r="AD3" s="2039"/>
      <c r="AE3" s="2039"/>
      <c r="AF3" s="2039"/>
      <c r="AG3" s="2039"/>
      <c r="AH3" s="2039"/>
      <c r="AI3" s="2039"/>
      <c r="AJ3" s="2039"/>
      <c r="AK3" s="2039"/>
      <c r="AL3" s="2039"/>
      <c r="AM3" s="2039"/>
      <c r="AN3" s="2039"/>
      <c r="AO3" s="2039"/>
      <c r="AP3" s="2039"/>
      <c r="AQ3" s="2039"/>
    </row>
    <row r="4" spans="1:43" ht="15.6">
      <c r="A4" s="503"/>
      <c r="B4" s="504" t="s">
        <v>1390</v>
      </c>
      <c r="C4" s="505"/>
      <c r="D4" s="505"/>
      <c r="E4" s="506"/>
      <c r="F4" s="507"/>
      <c r="G4" s="505"/>
      <c r="H4" s="508"/>
      <c r="I4" s="505"/>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7"/>
    </row>
    <row r="5" spans="1:43" ht="15.6">
      <c r="A5" s="503"/>
      <c r="B5" s="504" t="s">
        <v>3400</v>
      </c>
      <c r="C5" s="505"/>
      <c r="D5" s="505"/>
      <c r="E5" s="506"/>
      <c r="F5" s="507"/>
      <c r="G5" s="505"/>
      <c r="H5" s="508"/>
      <c r="I5" s="505"/>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507"/>
      <c r="AL5" s="507"/>
      <c r="AM5" s="507"/>
      <c r="AN5" s="507"/>
      <c r="AO5" s="507"/>
      <c r="AP5" s="507"/>
      <c r="AQ5" s="507"/>
    </row>
    <row r="6" spans="1:43" ht="15.6">
      <c r="A6" s="503"/>
      <c r="B6" s="504" t="s">
        <v>1392</v>
      </c>
      <c r="C6" s="505"/>
      <c r="D6" s="505"/>
      <c r="E6" s="503"/>
      <c r="F6" s="509"/>
      <c r="G6" s="510"/>
      <c r="H6" s="511"/>
      <c r="I6" s="512"/>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513"/>
      <c r="AK6" s="513"/>
      <c r="AL6" s="513"/>
      <c r="AM6" s="513"/>
      <c r="AN6" s="513"/>
      <c r="AO6" s="513"/>
      <c r="AP6" s="513"/>
      <c r="AQ6" s="513"/>
    </row>
    <row r="7" spans="1:43" ht="15.6">
      <c r="A7" s="80" t="s">
        <v>5</v>
      </c>
      <c r="B7" s="2040" t="s">
        <v>1393</v>
      </c>
      <c r="C7" s="2042" t="s">
        <v>7</v>
      </c>
      <c r="D7" s="1957" t="s">
        <v>8</v>
      </c>
      <c r="E7" s="1957" t="s">
        <v>9</v>
      </c>
      <c r="F7" s="1957" t="s">
        <v>10</v>
      </c>
      <c r="G7" s="2044" t="s">
        <v>11</v>
      </c>
      <c r="H7" s="2044" t="s">
        <v>12</v>
      </c>
      <c r="I7" s="2044" t="s">
        <v>401</v>
      </c>
      <c r="J7" s="2042" t="s">
        <v>14</v>
      </c>
      <c r="K7" s="2042"/>
      <c r="L7" s="2042"/>
      <c r="M7" s="2042"/>
      <c r="N7" s="2042"/>
      <c r="O7" s="2042"/>
      <c r="P7" s="2042"/>
      <c r="Q7" s="2042"/>
      <c r="R7" s="2042"/>
      <c r="S7" s="2042"/>
      <c r="T7" s="2042"/>
      <c r="U7" s="2042"/>
      <c r="V7" s="2042"/>
      <c r="W7" s="2042"/>
      <c r="X7" s="2042"/>
      <c r="Y7" s="2042"/>
      <c r="Z7" s="2042"/>
      <c r="AA7" s="2042"/>
      <c r="AB7" s="2042"/>
      <c r="AC7" s="2042"/>
      <c r="AD7" s="2042"/>
      <c r="AE7" s="2042"/>
      <c r="AF7" s="2042"/>
      <c r="AG7" s="2042"/>
      <c r="AH7" s="2042"/>
      <c r="AI7" s="1957" t="s">
        <v>15</v>
      </c>
      <c r="AJ7" s="1957"/>
      <c r="AK7" s="1957"/>
      <c r="AL7" s="1957"/>
      <c r="AM7" s="1957"/>
      <c r="AN7" s="1957"/>
      <c r="AO7" s="1957" t="s">
        <v>16</v>
      </c>
      <c r="AP7" s="1957" t="s">
        <v>17</v>
      </c>
      <c r="AQ7" s="2044" t="s">
        <v>18</v>
      </c>
    </row>
    <row r="8" spans="1:43" ht="15.6">
      <c r="A8" s="1958" t="s">
        <v>1395</v>
      </c>
      <c r="B8" s="2040"/>
      <c r="C8" s="2042"/>
      <c r="D8" s="1957"/>
      <c r="E8" s="1957"/>
      <c r="F8" s="1957"/>
      <c r="G8" s="2044"/>
      <c r="H8" s="2044"/>
      <c r="I8" s="2044"/>
      <c r="J8" s="2048" t="s">
        <v>19</v>
      </c>
      <c r="K8" s="2048"/>
      <c r="L8" s="2048"/>
      <c r="M8" s="2048"/>
      <c r="N8" s="2048"/>
      <c r="O8" s="2048"/>
      <c r="P8" s="2048" t="s">
        <v>20</v>
      </c>
      <c r="Q8" s="2048"/>
      <c r="R8" s="2048"/>
      <c r="S8" s="2048"/>
      <c r="T8" s="2048"/>
      <c r="U8" s="2048"/>
      <c r="V8" s="2049" t="s">
        <v>21</v>
      </c>
      <c r="W8" s="2049"/>
      <c r="X8" s="2049"/>
      <c r="Y8" s="2049"/>
      <c r="Z8" s="2049"/>
      <c r="AA8" s="2049"/>
      <c r="AB8" s="2048" t="s">
        <v>22</v>
      </c>
      <c r="AC8" s="2048"/>
      <c r="AD8" s="2048"/>
      <c r="AE8" s="2048"/>
      <c r="AF8" s="2048"/>
      <c r="AG8" s="2048"/>
      <c r="AH8" s="2042" t="s">
        <v>403</v>
      </c>
      <c r="AI8" s="1957" t="s">
        <v>24</v>
      </c>
      <c r="AJ8" s="1954" t="s">
        <v>25</v>
      </c>
      <c r="AK8" s="2131" t="s">
        <v>916</v>
      </c>
      <c r="AL8" s="1957" t="s">
        <v>27</v>
      </c>
      <c r="AM8" s="1954" t="s">
        <v>28</v>
      </c>
      <c r="AN8" s="1954" t="s">
        <v>29</v>
      </c>
      <c r="AO8" s="1957"/>
      <c r="AP8" s="1957"/>
      <c r="AQ8" s="2044"/>
    </row>
    <row r="9" spans="1:43" ht="15.6">
      <c r="A9" s="1959"/>
      <c r="B9" s="2040"/>
      <c r="C9" s="2042"/>
      <c r="D9" s="1957"/>
      <c r="E9" s="1957"/>
      <c r="F9" s="1957"/>
      <c r="G9" s="2044"/>
      <c r="H9" s="2044"/>
      <c r="I9" s="2044"/>
      <c r="J9" s="2048" t="s">
        <v>1396</v>
      </c>
      <c r="K9" s="2048"/>
      <c r="L9" s="2048"/>
      <c r="M9" s="2048" t="s">
        <v>31</v>
      </c>
      <c r="N9" s="2048"/>
      <c r="O9" s="2048"/>
      <c r="P9" s="2048" t="s">
        <v>1396</v>
      </c>
      <c r="Q9" s="2048"/>
      <c r="R9" s="2048"/>
      <c r="S9" s="2048" t="s">
        <v>31</v>
      </c>
      <c r="T9" s="2048"/>
      <c r="U9" s="2048"/>
      <c r="V9" s="2048" t="s">
        <v>1396</v>
      </c>
      <c r="W9" s="2048"/>
      <c r="X9" s="2048"/>
      <c r="Y9" s="2048" t="s">
        <v>31</v>
      </c>
      <c r="Z9" s="2048"/>
      <c r="AA9" s="2048"/>
      <c r="AB9" s="2048" t="s">
        <v>1396</v>
      </c>
      <c r="AC9" s="2048"/>
      <c r="AD9" s="2048"/>
      <c r="AE9" s="2048" t="s">
        <v>31</v>
      </c>
      <c r="AF9" s="2048"/>
      <c r="AG9" s="2048"/>
      <c r="AH9" s="2042"/>
      <c r="AI9" s="1957"/>
      <c r="AJ9" s="1955"/>
      <c r="AK9" s="2132"/>
      <c r="AL9" s="1957"/>
      <c r="AM9" s="1955"/>
      <c r="AN9" s="1955"/>
      <c r="AO9" s="1957"/>
      <c r="AP9" s="1957"/>
      <c r="AQ9" s="2044"/>
    </row>
    <row r="10" spans="1:43" ht="15.6">
      <c r="A10" s="1959"/>
      <c r="B10" s="2041"/>
      <c r="C10" s="2043"/>
      <c r="D10" s="1958"/>
      <c r="E10" s="1958"/>
      <c r="F10" s="1958"/>
      <c r="G10" s="1954"/>
      <c r="H10" s="1954"/>
      <c r="I10" s="1954"/>
      <c r="J10" s="514" t="s">
        <v>32</v>
      </c>
      <c r="K10" s="514" t="s">
        <v>33</v>
      </c>
      <c r="L10" s="514" t="s">
        <v>34</v>
      </c>
      <c r="M10" s="514" t="s">
        <v>32</v>
      </c>
      <c r="N10" s="514" t="s">
        <v>33</v>
      </c>
      <c r="O10" s="514" t="s">
        <v>34</v>
      </c>
      <c r="P10" s="514" t="s">
        <v>35</v>
      </c>
      <c r="Q10" s="514" t="s">
        <v>34</v>
      </c>
      <c r="R10" s="514" t="s">
        <v>36</v>
      </c>
      <c r="S10" s="514" t="s">
        <v>35</v>
      </c>
      <c r="T10" s="514" t="s">
        <v>34</v>
      </c>
      <c r="U10" s="514" t="s">
        <v>36</v>
      </c>
      <c r="V10" s="514" t="s">
        <v>36</v>
      </c>
      <c r="W10" s="514" t="s">
        <v>35</v>
      </c>
      <c r="X10" s="514" t="s">
        <v>37</v>
      </c>
      <c r="Y10" s="514" t="s">
        <v>36</v>
      </c>
      <c r="Z10" s="514" t="s">
        <v>35</v>
      </c>
      <c r="AA10" s="514" t="s">
        <v>37</v>
      </c>
      <c r="AB10" s="514" t="s">
        <v>38</v>
      </c>
      <c r="AC10" s="514" t="s">
        <v>39</v>
      </c>
      <c r="AD10" s="514" t="s">
        <v>40</v>
      </c>
      <c r="AE10" s="514" t="s">
        <v>38</v>
      </c>
      <c r="AF10" s="514" t="s">
        <v>39</v>
      </c>
      <c r="AG10" s="514" t="s">
        <v>40</v>
      </c>
      <c r="AH10" s="2043"/>
      <c r="AI10" s="1958"/>
      <c r="AJ10" s="1955"/>
      <c r="AK10" s="2132"/>
      <c r="AL10" s="1958"/>
      <c r="AM10" s="1955"/>
      <c r="AN10" s="1955"/>
      <c r="AO10" s="1958"/>
      <c r="AP10" s="1958"/>
      <c r="AQ10" s="1954"/>
    </row>
    <row r="11" spans="1:43" ht="30">
      <c r="A11" s="1334" t="s">
        <v>763</v>
      </c>
      <c r="B11" s="47" t="s">
        <v>350</v>
      </c>
      <c r="C11" s="1335"/>
      <c r="D11" s="515"/>
      <c r="E11" s="47"/>
      <c r="F11" s="1336"/>
      <c r="G11" s="1337">
        <f t="shared" ref="G11:G38" si="0">AH11/$AH$39*100</f>
        <v>23.391812865497073</v>
      </c>
      <c r="H11" s="1338"/>
      <c r="I11" s="1339"/>
      <c r="J11" s="1340"/>
      <c r="K11" s="1340"/>
      <c r="L11" s="1340"/>
      <c r="M11" s="1341"/>
      <c r="N11" s="1341">
        <f>N12+N19</f>
        <v>5000</v>
      </c>
      <c r="O11" s="1341">
        <f>O12+O19+O23</f>
        <v>10000</v>
      </c>
      <c r="P11" s="1340"/>
      <c r="Q11" s="1340"/>
      <c r="R11" s="1340"/>
      <c r="S11" s="1341"/>
      <c r="T11" s="1341"/>
      <c r="U11" s="1341">
        <f>U12+U19+U23</f>
        <v>7500</v>
      </c>
      <c r="V11" s="1340"/>
      <c r="W11" s="1340"/>
      <c r="X11" s="1340"/>
      <c r="Y11" s="1341"/>
      <c r="Z11" s="1341"/>
      <c r="AA11" s="1341">
        <f>AA12+AA19+AA23</f>
        <v>7500</v>
      </c>
      <c r="AB11" s="1340"/>
      <c r="AC11" s="1340"/>
      <c r="AD11" s="1340"/>
      <c r="AE11" s="1341"/>
      <c r="AF11" s="1341">
        <f>AF12+AF19+AF23</f>
        <v>50000</v>
      </c>
      <c r="AG11" s="1341"/>
      <c r="AH11" s="1341">
        <f>AH12+AH19+AH23</f>
        <v>80000</v>
      </c>
      <c r="AI11" s="1341">
        <f>AI12+AI19+AI23</f>
        <v>80000</v>
      </c>
      <c r="AJ11" s="1341"/>
      <c r="AK11" s="1341"/>
      <c r="AL11" s="1341"/>
      <c r="AM11" s="1341"/>
      <c r="AN11" s="1341"/>
      <c r="AO11" s="1336"/>
      <c r="AP11" s="1336"/>
      <c r="AQ11" s="1339"/>
    </row>
    <row r="12" spans="1:43" ht="30">
      <c r="A12" s="1342" t="s">
        <v>3329</v>
      </c>
      <c r="B12" s="1343" t="s">
        <v>352</v>
      </c>
      <c r="C12" s="1344"/>
      <c r="D12" s="516"/>
      <c r="E12" s="355"/>
      <c r="F12" s="1343"/>
      <c r="G12" s="1345">
        <f t="shared" si="0"/>
        <v>4.3859649122807012</v>
      </c>
      <c r="H12" s="1346"/>
      <c r="I12" s="1347"/>
      <c r="J12" s="1348"/>
      <c r="K12" s="1348"/>
      <c r="L12" s="1348"/>
      <c r="M12" s="1349"/>
      <c r="N12" s="1349"/>
      <c r="O12" s="1349"/>
      <c r="P12" s="1348"/>
      <c r="Q12" s="1348"/>
      <c r="R12" s="1348"/>
      <c r="S12" s="1349"/>
      <c r="T12" s="1349"/>
      <c r="U12" s="1349">
        <f t="shared" ref="U12:AI12" si="1">U13</f>
        <v>7500</v>
      </c>
      <c r="V12" s="1348"/>
      <c r="W12" s="1348"/>
      <c r="X12" s="1348"/>
      <c r="Y12" s="1349"/>
      <c r="Z12" s="1349"/>
      <c r="AA12" s="1349">
        <f t="shared" si="1"/>
        <v>7500</v>
      </c>
      <c r="AB12" s="1348"/>
      <c r="AC12" s="1348"/>
      <c r="AD12" s="1348"/>
      <c r="AE12" s="1349"/>
      <c r="AF12" s="1349"/>
      <c r="AG12" s="1349"/>
      <c r="AH12" s="1349">
        <f t="shared" si="1"/>
        <v>15000</v>
      </c>
      <c r="AI12" s="1349">
        <f t="shared" si="1"/>
        <v>15000</v>
      </c>
      <c r="AJ12" s="1349"/>
      <c r="AK12" s="1349"/>
      <c r="AL12" s="1349"/>
      <c r="AM12" s="1349"/>
      <c r="AN12" s="1349"/>
      <c r="AO12" s="1343"/>
      <c r="AP12" s="1343"/>
      <c r="AQ12" s="1350"/>
    </row>
    <row r="13" spans="1:43" ht="30">
      <c r="A13" s="1351" t="s">
        <v>3330</v>
      </c>
      <c r="B13" s="1352" t="s">
        <v>354</v>
      </c>
      <c r="C13" s="1353"/>
      <c r="D13" s="1354"/>
      <c r="E13" s="1354"/>
      <c r="F13" s="1354"/>
      <c r="G13" s="1355">
        <f t="shared" si="0"/>
        <v>4.3859649122807012</v>
      </c>
      <c r="H13" s="1356">
        <v>4</v>
      </c>
      <c r="I13" s="1357"/>
      <c r="J13" s="1358"/>
      <c r="K13" s="1358"/>
      <c r="L13" s="1358"/>
      <c r="M13" s="1359"/>
      <c r="N13" s="1359"/>
      <c r="O13" s="1359"/>
      <c r="P13" s="1358"/>
      <c r="Q13" s="1358"/>
      <c r="R13" s="1358"/>
      <c r="S13" s="1359"/>
      <c r="T13" s="1359"/>
      <c r="U13" s="1359">
        <f>U14+U17</f>
        <v>7500</v>
      </c>
      <c r="V13" s="1358"/>
      <c r="W13" s="1358"/>
      <c r="X13" s="1358"/>
      <c r="Y13" s="1359"/>
      <c r="Z13" s="1359"/>
      <c r="AA13" s="1359">
        <f>AA14+AA17</f>
        <v>7500</v>
      </c>
      <c r="AB13" s="1358"/>
      <c r="AC13" s="1358"/>
      <c r="AD13" s="1358"/>
      <c r="AE13" s="1359"/>
      <c r="AF13" s="1359"/>
      <c r="AG13" s="1359"/>
      <c r="AH13" s="1359">
        <f>AH14+AH17</f>
        <v>15000</v>
      </c>
      <c r="AI13" s="1359">
        <f>AI14+AI17</f>
        <v>15000</v>
      </c>
      <c r="AJ13" s="1359"/>
      <c r="AK13" s="1359"/>
      <c r="AL13" s="1359"/>
      <c r="AM13" s="1359"/>
      <c r="AN13" s="1359"/>
      <c r="AO13" s="1354"/>
      <c r="AP13" s="1354"/>
      <c r="AQ13" s="1360"/>
    </row>
    <row r="14" spans="1:43" ht="90">
      <c r="A14" s="1361" t="s">
        <v>3331</v>
      </c>
      <c r="B14" s="1362" t="s">
        <v>356</v>
      </c>
      <c r="C14" s="1363"/>
      <c r="D14" s="1364" t="s">
        <v>357</v>
      </c>
      <c r="E14" s="371" t="s">
        <v>358</v>
      </c>
      <c r="F14" s="1362"/>
      <c r="G14" s="529">
        <f t="shared" si="0"/>
        <v>2.9239766081871341</v>
      </c>
      <c r="H14" s="530"/>
      <c r="I14" s="1365"/>
      <c r="J14" s="1366"/>
      <c r="K14" s="1366"/>
      <c r="L14" s="1366"/>
      <c r="M14" s="1367"/>
      <c r="N14" s="1367"/>
      <c r="O14" s="1367"/>
      <c r="P14" s="1366"/>
      <c r="Q14" s="1366"/>
      <c r="R14" s="1366"/>
      <c r="S14" s="1367"/>
      <c r="T14" s="1367"/>
      <c r="U14" s="1367">
        <f>SUM(U15:U16)</f>
        <v>5000</v>
      </c>
      <c r="V14" s="1366"/>
      <c r="W14" s="1366"/>
      <c r="X14" s="1366"/>
      <c r="Y14" s="1367"/>
      <c r="Z14" s="1367"/>
      <c r="AA14" s="1367">
        <f>SUM(AA15:AA16)</f>
        <v>5000</v>
      </c>
      <c r="AB14" s="1366"/>
      <c r="AC14" s="1366"/>
      <c r="AD14" s="1366"/>
      <c r="AE14" s="1367"/>
      <c r="AF14" s="1367"/>
      <c r="AG14" s="1367"/>
      <c r="AH14" s="1368">
        <f>+AG14+AF14+AE14+AA14+Z14+Y14+U14+T14+S14+O14+N14+M14</f>
        <v>10000</v>
      </c>
      <c r="AI14" s="1368">
        <f>SUM(AI15:AI16)</f>
        <v>10000</v>
      </c>
      <c r="AJ14" s="1367"/>
      <c r="AK14" s="1367"/>
      <c r="AL14" s="1367"/>
      <c r="AM14" s="1367"/>
      <c r="AN14" s="1367"/>
      <c r="AO14" s="1362"/>
      <c r="AP14" s="535"/>
      <c r="AQ14" s="1369"/>
    </row>
    <row r="15" spans="1:43" ht="60">
      <c r="A15" s="1370" t="s">
        <v>3332</v>
      </c>
      <c r="B15" s="1371" t="s">
        <v>3333</v>
      </c>
      <c r="C15" s="539">
        <f>SUM(J15,K15,L15,P15,Q15,R15,V15,W15,X15,AB15,AC15,AD15)</f>
        <v>1</v>
      </c>
      <c r="D15" s="540" t="s">
        <v>1649</v>
      </c>
      <c r="E15" s="538" t="s">
        <v>3334</v>
      </c>
      <c r="F15" s="538" t="s">
        <v>3335</v>
      </c>
      <c r="G15" s="1372">
        <f t="shared" si="0"/>
        <v>1.4619883040935671</v>
      </c>
      <c r="H15" s="1373"/>
      <c r="I15" s="1374">
        <f>AH15/AH$14*100</f>
        <v>50</v>
      </c>
      <c r="J15" s="1375"/>
      <c r="K15" s="1375"/>
      <c r="L15" s="1375"/>
      <c r="M15" s="1376"/>
      <c r="N15" s="1376"/>
      <c r="O15" s="1376"/>
      <c r="P15" s="1375"/>
      <c r="Q15" s="1375"/>
      <c r="R15" s="1375">
        <v>1</v>
      </c>
      <c r="S15" s="1376"/>
      <c r="T15" s="1376"/>
      <c r="U15" s="1376">
        <v>5000</v>
      </c>
      <c r="V15" s="1375"/>
      <c r="W15" s="1375"/>
      <c r="X15" s="1375"/>
      <c r="Y15" s="1376"/>
      <c r="Z15" s="1376"/>
      <c r="AA15" s="1376"/>
      <c r="AB15" s="1375"/>
      <c r="AC15" s="1375"/>
      <c r="AD15" s="1375"/>
      <c r="AE15" s="1376"/>
      <c r="AF15" s="1376"/>
      <c r="AG15" s="1376"/>
      <c r="AH15" s="1377">
        <f>+AG15+AF15+AE15+AA15+Z15+Y15+U15+T15+S15+O15+N15+M15</f>
        <v>5000</v>
      </c>
      <c r="AI15" s="1377">
        <v>5000</v>
      </c>
      <c r="AJ15" s="1378"/>
      <c r="AK15" s="1378"/>
      <c r="AL15" s="1378"/>
      <c r="AM15" s="1378"/>
      <c r="AN15" s="1378"/>
      <c r="AO15" s="1379" t="s">
        <v>2384</v>
      </c>
      <c r="AP15" s="1379" t="s">
        <v>3336</v>
      </c>
      <c r="AQ15" s="547"/>
    </row>
    <row r="16" spans="1:43" ht="75">
      <c r="A16" s="1370" t="s">
        <v>3337</v>
      </c>
      <c r="B16" s="1371" t="s">
        <v>3338</v>
      </c>
      <c r="C16" s="539">
        <f>SUM(J16,K16,L16,P16,Q16,R16,V16,W16,X16,AB16,AC16,AD16)</f>
        <v>1</v>
      </c>
      <c r="D16" s="540" t="s">
        <v>1649</v>
      </c>
      <c r="E16" s="538" t="s">
        <v>3339</v>
      </c>
      <c r="F16" s="538" t="s">
        <v>3340</v>
      </c>
      <c r="G16" s="1372">
        <f t="shared" si="0"/>
        <v>1.4619883040935671</v>
      </c>
      <c r="H16" s="1373"/>
      <c r="I16" s="1374">
        <f>AH16/AH$14*100</f>
        <v>50</v>
      </c>
      <c r="J16" s="1375"/>
      <c r="K16" s="1375"/>
      <c r="L16" s="1375"/>
      <c r="M16" s="1376"/>
      <c r="N16" s="1376"/>
      <c r="O16" s="1376"/>
      <c r="P16" s="1375"/>
      <c r="Q16" s="1375"/>
      <c r="R16" s="1375"/>
      <c r="S16" s="1376"/>
      <c r="T16" s="1376"/>
      <c r="U16" s="1376"/>
      <c r="V16" s="1375"/>
      <c r="W16" s="1375"/>
      <c r="X16" s="1375">
        <v>1</v>
      </c>
      <c r="Y16" s="1376"/>
      <c r="Z16" s="1376"/>
      <c r="AA16" s="1376">
        <v>5000</v>
      </c>
      <c r="AB16" s="1375"/>
      <c r="AC16" s="1375"/>
      <c r="AD16" s="1375"/>
      <c r="AE16" s="1376"/>
      <c r="AF16" s="1376"/>
      <c r="AG16" s="1376"/>
      <c r="AH16" s="1377">
        <f>+AG16+AF16+AE16+AA16+Z16+Y16+U16+T16+S16+O16+N16+M16</f>
        <v>5000</v>
      </c>
      <c r="AI16" s="1377">
        <v>5000</v>
      </c>
      <c r="AJ16" s="1378"/>
      <c r="AK16" s="1378"/>
      <c r="AL16" s="1378"/>
      <c r="AM16" s="1378"/>
      <c r="AN16" s="1378"/>
      <c r="AO16" s="1379" t="s">
        <v>2384</v>
      </c>
      <c r="AP16" s="1379" t="s">
        <v>3336</v>
      </c>
      <c r="AQ16" s="547"/>
    </row>
    <row r="17" spans="1:43" ht="30">
      <c r="A17" s="1361" t="s">
        <v>3341</v>
      </c>
      <c r="B17" s="1362" t="s">
        <v>2282</v>
      </c>
      <c r="C17" s="1380"/>
      <c r="D17" s="1364" t="s">
        <v>1460</v>
      </c>
      <c r="E17" s="371" t="s">
        <v>2283</v>
      </c>
      <c r="F17" s="1381"/>
      <c r="G17" s="529">
        <f t="shared" si="0"/>
        <v>1.4619883040935671</v>
      </c>
      <c r="H17" s="530"/>
      <c r="I17" s="531"/>
      <c r="J17" s="1382"/>
      <c r="K17" s="1382"/>
      <c r="L17" s="1382"/>
      <c r="M17" s="1367"/>
      <c r="N17" s="1367"/>
      <c r="O17" s="1367"/>
      <c r="P17" s="1382"/>
      <c r="Q17" s="1382"/>
      <c r="R17" s="1382"/>
      <c r="S17" s="1367"/>
      <c r="T17" s="1367"/>
      <c r="U17" s="1367">
        <f>U18</f>
        <v>2500</v>
      </c>
      <c r="V17" s="1382"/>
      <c r="W17" s="1382"/>
      <c r="X17" s="1382"/>
      <c r="Y17" s="1367"/>
      <c r="Z17" s="1367"/>
      <c r="AA17" s="1367">
        <f>SUM(AA18)</f>
        <v>2500</v>
      </c>
      <c r="AB17" s="1382"/>
      <c r="AC17" s="1382"/>
      <c r="AD17" s="1382"/>
      <c r="AE17" s="1367"/>
      <c r="AF17" s="1367"/>
      <c r="AG17" s="1367"/>
      <c r="AH17" s="1367">
        <f>SUM(AH18)</f>
        <v>5000</v>
      </c>
      <c r="AI17" s="1367">
        <v>5000</v>
      </c>
      <c r="AJ17" s="1383"/>
      <c r="AK17" s="1383"/>
      <c r="AL17" s="1383"/>
      <c r="AM17" s="1383"/>
      <c r="AN17" s="1383"/>
      <c r="AO17" s="535"/>
      <c r="AP17" s="535"/>
      <c r="AQ17" s="536"/>
    </row>
    <row r="18" spans="1:43" ht="90">
      <c r="A18" s="1370" t="s">
        <v>3342</v>
      </c>
      <c r="B18" s="1371" t="s">
        <v>3343</v>
      </c>
      <c r="C18" s="539">
        <v>2</v>
      </c>
      <c r="D18" s="540" t="s">
        <v>57</v>
      </c>
      <c r="E18" s="538" t="s">
        <v>3344</v>
      </c>
      <c r="F18" s="538" t="s">
        <v>3345</v>
      </c>
      <c r="G18" s="1372">
        <f t="shared" si="0"/>
        <v>1.4619883040935671</v>
      </c>
      <c r="H18" s="1373"/>
      <c r="I18" s="1374">
        <f>AH18/AH$16*100</f>
        <v>100</v>
      </c>
      <c r="J18" s="1375"/>
      <c r="K18" s="1375"/>
      <c r="L18" s="1375"/>
      <c r="M18" s="1376"/>
      <c r="N18" s="1376"/>
      <c r="O18" s="1376"/>
      <c r="P18" s="1375"/>
      <c r="Q18" s="1375"/>
      <c r="R18" s="1375">
        <v>1</v>
      </c>
      <c r="S18" s="1376"/>
      <c r="T18" s="1376"/>
      <c r="U18" s="1376">
        <v>2500</v>
      </c>
      <c r="V18" s="1375"/>
      <c r="W18" s="1375"/>
      <c r="X18" s="1375">
        <v>1</v>
      </c>
      <c r="Y18" s="1376"/>
      <c r="Z18" s="1376"/>
      <c r="AA18" s="1376">
        <v>2500</v>
      </c>
      <c r="AB18" s="1375"/>
      <c r="AC18" s="1375"/>
      <c r="AD18" s="1375"/>
      <c r="AE18" s="1376"/>
      <c r="AF18" s="1376"/>
      <c r="AG18" s="1376"/>
      <c r="AH18" s="1377">
        <f>+AG18+AF18+AE18+AA18+Z18+Y18+U18+T18+S18+O18+N18+M18</f>
        <v>5000</v>
      </c>
      <c r="AI18" s="1377">
        <v>5000</v>
      </c>
      <c r="AJ18" s="1378"/>
      <c r="AK18" s="1378"/>
      <c r="AL18" s="1378"/>
      <c r="AM18" s="1378"/>
      <c r="AN18" s="1378"/>
      <c r="AO18" s="1379" t="s">
        <v>2384</v>
      </c>
      <c r="AP18" s="1379" t="s">
        <v>3336</v>
      </c>
      <c r="AQ18" s="547"/>
    </row>
    <row r="19" spans="1:43" ht="30">
      <c r="A19" s="1342" t="s">
        <v>3346</v>
      </c>
      <c r="B19" s="1343" t="s">
        <v>3347</v>
      </c>
      <c r="C19" s="584"/>
      <c r="D19" s="585"/>
      <c r="E19" s="586"/>
      <c r="F19" s="586"/>
      <c r="G19" s="1345">
        <f t="shared" si="0"/>
        <v>1.4619883040935671</v>
      </c>
      <c r="H19" s="1346"/>
      <c r="I19" s="1384"/>
      <c r="J19" s="1385"/>
      <c r="K19" s="1385"/>
      <c r="L19" s="1385"/>
      <c r="M19" s="1349"/>
      <c r="N19" s="1349">
        <f t="shared" ref="N19" si="2">N20</f>
        <v>5000</v>
      </c>
      <c r="O19" s="1349"/>
      <c r="P19" s="1385"/>
      <c r="Q19" s="1385"/>
      <c r="R19" s="1385"/>
      <c r="S19" s="1349"/>
      <c r="T19" s="1349"/>
      <c r="U19" s="1349"/>
      <c r="V19" s="1385"/>
      <c r="W19" s="1385"/>
      <c r="X19" s="1385"/>
      <c r="Y19" s="1349"/>
      <c r="Z19" s="1349"/>
      <c r="AA19" s="1349"/>
      <c r="AB19" s="1385"/>
      <c r="AC19" s="1385"/>
      <c r="AD19" s="1385"/>
      <c r="AE19" s="1349"/>
      <c r="AF19" s="1349"/>
      <c r="AG19" s="1349"/>
      <c r="AH19" s="1349">
        <f t="shared" ref="AH19:AI19" si="3">AH20</f>
        <v>5000</v>
      </c>
      <c r="AI19" s="1349">
        <f t="shared" si="3"/>
        <v>5000</v>
      </c>
      <c r="AJ19" s="1349"/>
      <c r="AK19" s="1349"/>
      <c r="AL19" s="1349"/>
      <c r="AM19" s="1349"/>
      <c r="AN19" s="1349"/>
      <c r="AO19" s="1386"/>
      <c r="AP19" s="1386"/>
      <c r="AQ19" s="593"/>
    </row>
    <row r="20" spans="1:43" ht="45">
      <c r="A20" s="1387" t="s">
        <v>3348</v>
      </c>
      <c r="B20" s="1352" t="s">
        <v>1053</v>
      </c>
      <c r="C20" s="1388"/>
      <c r="D20" s="1389"/>
      <c r="E20" s="1390"/>
      <c r="F20" s="1390"/>
      <c r="G20" s="1355">
        <f t="shared" si="0"/>
        <v>1.4619883040935671</v>
      </c>
      <c r="H20" s="1356">
        <v>1</v>
      </c>
      <c r="I20" s="1391"/>
      <c r="J20" s="1392"/>
      <c r="K20" s="1392"/>
      <c r="L20" s="1392"/>
      <c r="M20" s="1359"/>
      <c r="N20" s="1359">
        <f>N21</f>
        <v>5000</v>
      </c>
      <c r="O20" s="1359"/>
      <c r="P20" s="1392"/>
      <c r="Q20" s="1392"/>
      <c r="R20" s="1392"/>
      <c r="S20" s="1359"/>
      <c r="T20" s="1359"/>
      <c r="U20" s="1359"/>
      <c r="V20" s="1392"/>
      <c r="W20" s="1392"/>
      <c r="X20" s="1392"/>
      <c r="Y20" s="1359"/>
      <c r="Z20" s="1359"/>
      <c r="AA20" s="1359"/>
      <c r="AB20" s="1392"/>
      <c r="AC20" s="1392"/>
      <c r="AD20" s="1392"/>
      <c r="AE20" s="1359"/>
      <c r="AF20" s="1359"/>
      <c r="AG20" s="1359"/>
      <c r="AH20" s="1359">
        <f>AH21</f>
        <v>5000</v>
      </c>
      <c r="AI20" s="1359">
        <f>AI21</f>
        <v>5000</v>
      </c>
      <c r="AJ20" s="1393"/>
      <c r="AK20" s="1393"/>
      <c r="AL20" s="1393"/>
      <c r="AM20" s="1393"/>
      <c r="AN20" s="1393"/>
      <c r="AO20" s="1394"/>
      <c r="AP20" s="1394"/>
      <c r="AQ20" s="1395"/>
    </row>
    <row r="21" spans="1:43" ht="45">
      <c r="A21" s="1396" t="s">
        <v>3349</v>
      </c>
      <c r="B21" s="1397" t="s">
        <v>1055</v>
      </c>
      <c r="C21" s="1380"/>
      <c r="D21" s="528" t="s">
        <v>55</v>
      </c>
      <c r="E21" s="1381" t="s">
        <v>3350</v>
      </c>
      <c r="F21" s="1381"/>
      <c r="G21" s="529">
        <f t="shared" si="0"/>
        <v>1.4619883040935671</v>
      </c>
      <c r="H21" s="530"/>
      <c r="I21" s="531"/>
      <c r="J21" s="1382"/>
      <c r="K21" s="1382"/>
      <c r="L21" s="1382"/>
      <c r="M21" s="1367"/>
      <c r="N21" s="1367">
        <f>SUM(N22:N22)</f>
        <v>5000</v>
      </c>
      <c r="O21" s="1367"/>
      <c r="P21" s="1382"/>
      <c r="Q21" s="1382"/>
      <c r="R21" s="1382"/>
      <c r="S21" s="1367"/>
      <c r="T21" s="1367"/>
      <c r="U21" s="1367"/>
      <c r="V21" s="1382"/>
      <c r="W21" s="1382"/>
      <c r="X21" s="1382"/>
      <c r="Y21" s="1367"/>
      <c r="Z21" s="1367"/>
      <c r="AA21" s="1367"/>
      <c r="AB21" s="1382"/>
      <c r="AC21" s="1382"/>
      <c r="AD21" s="1382"/>
      <c r="AE21" s="1367"/>
      <c r="AF21" s="1367"/>
      <c r="AG21" s="1367"/>
      <c r="AH21" s="1367">
        <f>SUM(AH22:AH22)</f>
        <v>5000</v>
      </c>
      <c r="AI21" s="1367">
        <f>SUM(AI22:AI22)</f>
        <v>5000</v>
      </c>
      <c r="AJ21" s="1383"/>
      <c r="AK21" s="1383"/>
      <c r="AL21" s="1383"/>
      <c r="AM21" s="1383"/>
      <c r="AN21" s="1383"/>
      <c r="AO21" s="535"/>
      <c r="AP21" s="535"/>
      <c r="AQ21" s="536"/>
    </row>
    <row r="22" spans="1:43" ht="120">
      <c r="A22" s="379" t="s">
        <v>3351</v>
      </c>
      <c r="B22" s="22" t="s">
        <v>3352</v>
      </c>
      <c r="C22" s="539">
        <f>SUM(J22,K22,L22,P22,Q22,R22,V22,W22,X22,AB22,AC22,AD22)</f>
        <v>1</v>
      </c>
      <c r="D22" s="1398" t="s">
        <v>55</v>
      </c>
      <c r="E22" s="1284" t="s">
        <v>3353</v>
      </c>
      <c r="F22" s="1284" t="s">
        <v>3354</v>
      </c>
      <c r="G22" s="1372">
        <f t="shared" si="0"/>
        <v>1.4619883040935671</v>
      </c>
      <c r="H22" s="1373"/>
      <c r="I22" s="1374">
        <f>AH22/AH$21*100</f>
        <v>100</v>
      </c>
      <c r="J22" s="1399"/>
      <c r="K22" s="1399">
        <v>1</v>
      </c>
      <c r="L22" s="1399"/>
      <c r="M22" s="1378"/>
      <c r="N22" s="1378">
        <v>5000</v>
      </c>
      <c r="O22" s="1378"/>
      <c r="P22" s="1399"/>
      <c r="Q22" s="1399"/>
      <c r="R22" s="1399"/>
      <c r="S22" s="1378"/>
      <c r="T22" s="1378"/>
      <c r="U22" s="1378"/>
      <c r="V22" s="1399"/>
      <c r="W22" s="1399"/>
      <c r="X22" s="1399"/>
      <c r="Y22" s="1378"/>
      <c r="Z22" s="1378"/>
      <c r="AA22" s="1378"/>
      <c r="AB22" s="1399"/>
      <c r="AC22" s="1399"/>
      <c r="AD22" s="1399"/>
      <c r="AE22" s="1378"/>
      <c r="AF22" s="1378"/>
      <c r="AG22" s="1378"/>
      <c r="AH22" s="1378">
        <f>SUM(M22,N22,O22,S22,T22,U22,Y22,Z22,AA22,AE22,AF22,AG22)</f>
        <v>5000</v>
      </c>
      <c r="AI22" s="1378">
        <v>5000</v>
      </c>
      <c r="AJ22" s="1378"/>
      <c r="AK22" s="1378"/>
      <c r="AL22" s="1378"/>
      <c r="AM22" s="1378"/>
      <c r="AN22" s="1378"/>
      <c r="AO22" s="1379" t="s">
        <v>2384</v>
      </c>
      <c r="AP22" s="1379" t="s">
        <v>3336</v>
      </c>
      <c r="AQ22" s="1398"/>
    </row>
    <row r="23" spans="1:43" ht="30">
      <c r="A23" s="1342" t="s">
        <v>797</v>
      </c>
      <c r="B23" s="1343" t="s">
        <v>3355</v>
      </c>
      <c r="C23" s="1350"/>
      <c r="D23" s="1344"/>
      <c r="E23" s="1343"/>
      <c r="F23" s="1343"/>
      <c r="G23" s="1345">
        <f t="shared" si="0"/>
        <v>17.543859649122805</v>
      </c>
      <c r="H23" s="1346"/>
      <c r="I23" s="1350"/>
      <c r="J23" s="1348"/>
      <c r="K23" s="1348"/>
      <c r="L23" s="1348"/>
      <c r="M23" s="1348"/>
      <c r="N23" s="1348"/>
      <c r="O23" s="1349">
        <f>O24</f>
        <v>10000</v>
      </c>
      <c r="P23" s="1348"/>
      <c r="Q23" s="1348"/>
      <c r="R23" s="1348"/>
      <c r="S23" s="1348"/>
      <c r="T23" s="1348"/>
      <c r="U23" s="1348"/>
      <c r="V23" s="1348"/>
      <c r="W23" s="1348"/>
      <c r="X23" s="1348"/>
      <c r="Y23" s="1348"/>
      <c r="Z23" s="1348"/>
      <c r="AA23" s="1348"/>
      <c r="AB23" s="1348"/>
      <c r="AC23" s="1348"/>
      <c r="AD23" s="1348"/>
      <c r="AE23" s="1348"/>
      <c r="AF23" s="1349">
        <f>AF24</f>
        <v>50000</v>
      </c>
      <c r="AG23" s="1349"/>
      <c r="AH23" s="1349">
        <f t="shared" ref="AH23:AI24" si="4">AH24</f>
        <v>60000</v>
      </c>
      <c r="AI23" s="1349">
        <f t="shared" si="4"/>
        <v>60000</v>
      </c>
      <c r="AJ23" s="1348"/>
      <c r="AK23" s="1348"/>
      <c r="AL23" s="1348"/>
      <c r="AM23" s="1348"/>
      <c r="AN23" s="1348"/>
      <c r="AO23" s="1343"/>
      <c r="AP23" s="1343"/>
      <c r="AQ23" s="1350"/>
    </row>
    <row r="24" spans="1:43" ht="30">
      <c r="A24" s="1400" t="s">
        <v>799</v>
      </c>
      <c r="B24" s="1354" t="s">
        <v>800</v>
      </c>
      <c r="C24" s="1360"/>
      <c r="D24" s="1353"/>
      <c r="E24" s="1354"/>
      <c r="F24" s="1354"/>
      <c r="G24" s="1356">
        <f t="shared" si="0"/>
        <v>17.543859649122805</v>
      </c>
      <c r="H24" s="1356">
        <v>18</v>
      </c>
      <c r="I24" s="1360"/>
      <c r="J24" s="1358"/>
      <c r="K24" s="1358"/>
      <c r="L24" s="1358"/>
      <c r="M24" s="1358"/>
      <c r="N24" s="1358"/>
      <c r="O24" s="1359">
        <f>O25</f>
        <v>10000</v>
      </c>
      <c r="P24" s="1358"/>
      <c r="Q24" s="1358"/>
      <c r="R24" s="1358"/>
      <c r="S24" s="1358"/>
      <c r="T24" s="1358"/>
      <c r="U24" s="1358"/>
      <c r="V24" s="1358"/>
      <c r="W24" s="1358"/>
      <c r="X24" s="1358"/>
      <c r="Y24" s="1358"/>
      <c r="Z24" s="1358"/>
      <c r="AA24" s="1358"/>
      <c r="AB24" s="1358"/>
      <c r="AC24" s="1358"/>
      <c r="AD24" s="1358"/>
      <c r="AE24" s="1358"/>
      <c r="AF24" s="1359">
        <f>AF25</f>
        <v>50000</v>
      </c>
      <c r="AG24" s="1359"/>
      <c r="AH24" s="1359">
        <f t="shared" si="4"/>
        <v>60000</v>
      </c>
      <c r="AI24" s="1359">
        <f t="shared" si="4"/>
        <v>60000</v>
      </c>
      <c r="AJ24" s="1358"/>
      <c r="AK24" s="1358"/>
      <c r="AL24" s="1358"/>
      <c r="AM24" s="1358"/>
      <c r="AN24" s="1358"/>
      <c r="AO24" s="1354"/>
      <c r="AP24" s="1354"/>
      <c r="AQ24" s="1360"/>
    </row>
    <row r="25" spans="1:43" ht="45">
      <c r="A25" s="609" t="s">
        <v>3356</v>
      </c>
      <c r="B25" s="535" t="s">
        <v>3357</v>
      </c>
      <c r="C25" s="1380"/>
      <c r="D25" s="1363"/>
      <c r="E25" s="1397"/>
      <c r="F25" s="1397"/>
      <c r="G25" s="529">
        <f t="shared" si="0"/>
        <v>17.543859649122805</v>
      </c>
      <c r="H25" s="530"/>
      <c r="I25" s="1380"/>
      <c r="J25" s="1382"/>
      <c r="K25" s="1382"/>
      <c r="L25" s="1382"/>
      <c r="M25" s="1382"/>
      <c r="N25" s="1382"/>
      <c r="O25" s="1367">
        <f>SUM(O26:O27)</f>
        <v>10000</v>
      </c>
      <c r="P25" s="1382"/>
      <c r="Q25" s="1382"/>
      <c r="R25" s="1382"/>
      <c r="S25" s="1382"/>
      <c r="T25" s="1382"/>
      <c r="U25" s="1382"/>
      <c r="V25" s="1382"/>
      <c r="W25" s="1382"/>
      <c r="X25" s="1382"/>
      <c r="Y25" s="1382"/>
      <c r="Z25" s="1382"/>
      <c r="AA25" s="1382"/>
      <c r="AB25" s="1382"/>
      <c r="AC25" s="1382"/>
      <c r="AD25" s="1382"/>
      <c r="AE25" s="1382"/>
      <c r="AF25" s="1367">
        <f>AF26+AF27</f>
        <v>50000</v>
      </c>
      <c r="AG25" s="1367"/>
      <c r="AH25" s="1367">
        <f>SUM(AH26:AH27)</f>
        <v>60000</v>
      </c>
      <c r="AI25" s="1367">
        <f>AI26+AI27</f>
        <v>60000</v>
      </c>
      <c r="AJ25" s="1382"/>
      <c r="AK25" s="1382"/>
      <c r="AL25" s="1382"/>
      <c r="AM25" s="1382"/>
      <c r="AN25" s="1382"/>
      <c r="AO25" s="1397"/>
      <c r="AP25" s="535"/>
      <c r="AQ25" s="1380"/>
    </row>
    <row r="26" spans="1:43" ht="45">
      <c r="A26" s="1401" t="s">
        <v>3358</v>
      </c>
      <c r="B26" s="1402" t="s">
        <v>3359</v>
      </c>
      <c r="C26" s="1403">
        <v>1</v>
      </c>
      <c r="D26" s="1404" t="s">
        <v>2908</v>
      </c>
      <c r="E26" s="1284" t="s">
        <v>3360</v>
      </c>
      <c r="F26" s="1284" t="s">
        <v>3361</v>
      </c>
      <c r="G26" s="1372">
        <f t="shared" si="0"/>
        <v>2.9239766081871341</v>
      </c>
      <c r="H26" s="1373"/>
      <c r="I26" s="1374">
        <f>AH26/AH$25*100</f>
        <v>16.666666666666664</v>
      </c>
      <c r="J26" s="1399"/>
      <c r="K26" s="1399"/>
      <c r="L26" s="1399">
        <v>1</v>
      </c>
      <c r="M26" s="1378"/>
      <c r="N26" s="1378"/>
      <c r="O26" s="1378">
        <v>10000</v>
      </c>
      <c r="P26" s="1399"/>
      <c r="Q26" s="1399"/>
      <c r="R26" s="1399"/>
      <c r="S26" s="1378"/>
      <c r="T26" s="1378"/>
      <c r="U26" s="1378"/>
      <c r="V26" s="1399"/>
      <c r="W26" s="1399"/>
      <c r="X26" s="1399"/>
      <c r="Y26" s="1378"/>
      <c r="Z26" s="1378"/>
      <c r="AA26" s="1378"/>
      <c r="AB26" s="1399"/>
      <c r="AC26" s="1399"/>
      <c r="AD26" s="1399"/>
      <c r="AE26" s="1378"/>
      <c r="AF26" s="1378"/>
      <c r="AG26" s="1378"/>
      <c r="AH26" s="1378">
        <f t="shared" ref="AH26:AH27" si="5">SUM(M26,N26,O26,S26,T26,U26,Y26,Z26,AA26,AE26,AF26,AG26)</f>
        <v>10000</v>
      </c>
      <c r="AI26" s="1378">
        <v>10000</v>
      </c>
      <c r="AJ26" s="1378"/>
      <c r="AK26" s="1378"/>
      <c r="AL26" s="1378"/>
      <c r="AM26" s="1378"/>
      <c r="AN26" s="1378"/>
      <c r="AO26" s="1379" t="s">
        <v>2384</v>
      </c>
      <c r="AP26" s="1379" t="s">
        <v>3336</v>
      </c>
      <c r="AQ26" s="1398"/>
    </row>
    <row r="27" spans="1:43" ht="30">
      <c r="A27" s="1401" t="s">
        <v>3362</v>
      </c>
      <c r="B27" s="1402" t="s">
        <v>3363</v>
      </c>
      <c r="C27" s="1403">
        <v>1</v>
      </c>
      <c r="D27" s="1404" t="s">
        <v>1518</v>
      </c>
      <c r="E27" s="1284" t="s">
        <v>3364</v>
      </c>
      <c r="F27" s="1284" t="s">
        <v>3365</v>
      </c>
      <c r="G27" s="1372">
        <f t="shared" si="0"/>
        <v>14.619883040935672</v>
      </c>
      <c r="H27" s="1373"/>
      <c r="I27" s="1374">
        <f>AH27/AH$25*100</f>
        <v>83.333333333333343</v>
      </c>
      <c r="J27" s="1399"/>
      <c r="K27" s="1399"/>
      <c r="L27" s="1399"/>
      <c r="M27" s="1378"/>
      <c r="N27" s="1378"/>
      <c r="O27" s="1378"/>
      <c r="P27" s="1399"/>
      <c r="Q27" s="1399"/>
      <c r="R27" s="1399"/>
      <c r="S27" s="1378"/>
      <c r="T27" s="1378"/>
      <c r="U27" s="1378"/>
      <c r="V27" s="1399"/>
      <c r="W27" s="1399"/>
      <c r="X27" s="1399"/>
      <c r="Y27" s="1378"/>
      <c r="Z27" s="1378"/>
      <c r="AA27" s="1378"/>
      <c r="AB27" s="1399"/>
      <c r="AC27" s="1399">
        <v>1</v>
      </c>
      <c r="AD27" s="1399"/>
      <c r="AE27" s="1378"/>
      <c r="AF27" s="1378">
        <v>50000</v>
      </c>
      <c r="AG27" s="1378"/>
      <c r="AH27" s="1378">
        <f t="shared" si="5"/>
        <v>50000</v>
      </c>
      <c r="AI27" s="1378">
        <v>50000</v>
      </c>
      <c r="AJ27" s="1378"/>
      <c r="AK27" s="1378"/>
      <c r="AL27" s="1378"/>
      <c r="AM27" s="1378"/>
      <c r="AN27" s="1378"/>
      <c r="AO27" s="1379" t="s">
        <v>2384</v>
      </c>
      <c r="AP27" s="1379" t="s">
        <v>3336</v>
      </c>
      <c r="AQ27" s="1398"/>
    </row>
    <row r="28" spans="1:43" ht="15">
      <c r="A28" s="595" t="s">
        <v>379</v>
      </c>
      <c r="B28" s="1336" t="s">
        <v>808</v>
      </c>
      <c r="C28" s="1335"/>
      <c r="D28" s="1335"/>
      <c r="E28" s="1336"/>
      <c r="F28" s="1336"/>
      <c r="G28" s="1337">
        <f t="shared" si="0"/>
        <v>76.608187134502927</v>
      </c>
      <c r="H28" s="1338"/>
      <c r="I28" s="1339"/>
      <c r="J28" s="1340"/>
      <c r="K28" s="1340"/>
      <c r="L28" s="1340"/>
      <c r="M28" s="1341"/>
      <c r="N28" s="1341"/>
      <c r="O28" s="1341">
        <f>O29</f>
        <v>27000</v>
      </c>
      <c r="P28" s="1340"/>
      <c r="Q28" s="1340"/>
      <c r="R28" s="1340"/>
      <c r="S28" s="1341"/>
      <c r="T28" s="1341"/>
      <c r="U28" s="1341">
        <f>U29</f>
        <v>99000</v>
      </c>
      <c r="V28" s="1340"/>
      <c r="W28" s="1340"/>
      <c r="X28" s="1340"/>
      <c r="Y28" s="1341"/>
      <c r="Z28" s="1341"/>
      <c r="AA28" s="1341">
        <f>AA29</f>
        <v>84000</v>
      </c>
      <c r="AB28" s="1340"/>
      <c r="AC28" s="1340"/>
      <c r="AD28" s="1340"/>
      <c r="AE28" s="1341"/>
      <c r="AF28" s="1341"/>
      <c r="AG28" s="1341">
        <f t="shared" ref="AG28:AI30" si="6">AG29</f>
        <v>52000</v>
      </c>
      <c r="AH28" s="1341">
        <f t="shared" si="6"/>
        <v>262000</v>
      </c>
      <c r="AI28" s="1341">
        <f t="shared" si="6"/>
        <v>262000</v>
      </c>
      <c r="AJ28" s="1341"/>
      <c r="AK28" s="1341"/>
      <c r="AL28" s="1341"/>
      <c r="AM28" s="1341"/>
      <c r="AN28" s="1341"/>
      <c r="AO28" s="1336"/>
      <c r="AP28" s="1336"/>
      <c r="AQ28" s="1339"/>
    </row>
    <row r="29" spans="1:43" ht="45">
      <c r="A29" s="597" t="s">
        <v>3366</v>
      </c>
      <c r="B29" s="1343" t="s">
        <v>3367</v>
      </c>
      <c r="C29" s="1344"/>
      <c r="D29" s="1344"/>
      <c r="E29" s="1343"/>
      <c r="F29" s="1343"/>
      <c r="G29" s="1345">
        <f t="shared" si="0"/>
        <v>76.608187134502927</v>
      </c>
      <c r="H29" s="1346"/>
      <c r="I29" s="1350"/>
      <c r="J29" s="1348"/>
      <c r="K29" s="1348"/>
      <c r="L29" s="1348"/>
      <c r="M29" s="1349"/>
      <c r="N29" s="1349"/>
      <c r="O29" s="1349">
        <f>O30</f>
        <v>27000</v>
      </c>
      <c r="P29" s="1348"/>
      <c r="Q29" s="1348"/>
      <c r="R29" s="1348"/>
      <c r="S29" s="1349"/>
      <c r="T29" s="1349"/>
      <c r="U29" s="1349">
        <f>U30</f>
        <v>99000</v>
      </c>
      <c r="V29" s="1348"/>
      <c r="W29" s="1348"/>
      <c r="X29" s="1348"/>
      <c r="Y29" s="1349"/>
      <c r="Z29" s="1349"/>
      <c r="AA29" s="1349">
        <f>AA30</f>
        <v>84000</v>
      </c>
      <c r="AB29" s="1348"/>
      <c r="AC29" s="1348"/>
      <c r="AD29" s="1348"/>
      <c r="AE29" s="1349"/>
      <c r="AF29" s="1349"/>
      <c r="AG29" s="1349">
        <f t="shared" si="6"/>
        <v>52000</v>
      </c>
      <c r="AH29" s="1349">
        <f t="shared" si="6"/>
        <v>262000</v>
      </c>
      <c r="AI29" s="1349">
        <f t="shared" si="6"/>
        <v>262000</v>
      </c>
      <c r="AJ29" s="1349"/>
      <c r="AK29" s="1349"/>
      <c r="AL29" s="1349"/>
      <c r="AM29" s="1349"/>
      <c r="AN29" s="1349"/>
      <c r="AO29" s="1343"/>
      <c r="AP29" s="1343"/>
      <c r="AQ29" s="1350"/>
    </row>
    <row r="30" spans="1:43" ht="45">
      <c r="A30" s="1400" t="s">
        <v>3368</v>
      </c>
      <c r="B30" s="1354" t="s">
        <v>3369</v>
      </c>
      <c r="C30" s="1360"/>
      <c r="D30" s="1353"/>
      <c r="E30" s="1354"/>
      <c r="F30" s="1354"/>
      <c r="G30" s="1356">
        <f t="shared" si="0"/>
        <v>76.608187134502927</v>
      </c>
      <c r="H30" s="1356">
        <v>77</v>
      </c>
      <c r="I30" s="1360"/>
      <c r="J30" s="1358"/>
      <c r="K30" s="1358"/>
      <c r="L30" s="1358"/>
      <c r="M30" s="1358"/>
      <c r="N30" s="1358"/>
      <c r="O30" s="1359">
        <f>O31</f>
        <v>27000</v>
      </c>
      <c r="P30" s="1358"/>
      <c r="Q30" s="1358"/>
      <c r="R30" s="1358"/>
      <c r="S30" s="1358"/>
      <c r="T30" s="1358"/>
      <c r="U30" s="1405">
        <f>U31</f>
        <v>99000</v>
      </c>
      <c r="V30" s="1358"/>
      <c r="W30" s="1358"/>
      <c r="X30" s="1358"/>
      <c r="Y30" s="1358"/>
      <c r="Z30" s="1358"/>
      <c r="AA30" s="1358">
        <f>AA31</f>
        <v>84000</v>
      </c>
      <c r="AB30" s="1358"/>
      <c r="AC30" s="1358"/>
      <c r="AD30" s="1358"/>
      <c r="AE30" s="1358"/>
      <c r="AF30" s="1358"/>
      <c r="AG30" s="1359">
        <f t="shared" si="6"/>
        <v>52000</v>
      </c>
      <c r="AH30" s="1359">
        <f t="shared" si="6"/>
        <v>262000</v>
      </c>
      <c r="AI30" s="1359">
        <v>262000</v>
      </c>
      <c r="AJ30" s="1358"/>
      <c r="AK30" s="1358"/>
      <c r="AL30" s="1358"/>
      <c r="AM30" s="1358"/>
      <c r="AN30" s="1358"/>
      <c r="AO30" s="1354"/>
      <c r="AP30" s="1354"/>
      <c r="AQ30" s="1360"/>
    </row>
    <row r="31" spans="1:43" ht="75">
      <c r="A31" s="609" t="s">
        <v>3370</v>
      </c>
      <c r="B31" s="1362" t="s">
        <v>3371</v>
      </c>
      <c r="C31" s="528"/>
      <c r="D31" s="528"/>
      <c r="E31" s="1381"/>
      <c r="F31" s="1381"/>
      <c r="G31" s="529">
        <f t="shared" si="0"/>
        <v>76.608187134502927</v>
      </c>
      <c r="H31" s="530"/>
      <c r="I31" s="529"/>
      <c r="J31" s="1382"/>
      <c r="K31" s="1382"/>
      <c r="L31" s="1382"/>
      <c r="M31" s="1367"/>
      <c r="N31" s="1367"/>
      <c r="O31" s="1367">
        <f>SUM(O32:O38)</f>
        <v>27000</v>
      </c>
      <c r="P31" s="1382"/>
      <c r="Q31" s="1382"/>
      <c r="R31" s="1382"/>
      <c r="S31" s="1367"/>
      <c r="T31" s="1367"/>
      <c r="U31" s="1367">
        <f>SUM(U32:U38)</f>
        <v>99000</v>
      </c>
      <c r="V31" s="1382"/>
      <c r="W31" s="1382"/>
      <c r="X31" s="1382"/>
      <c r="Y31" s="1367"/>
      <c r="Z31" s="1367"/>
      <c r="AA31" s="1367">
        <f>SUM(AA32:AA38)</f>
        <v>84000</v>
      </c>
      <c r="AB31" s="1382"/>
      <c r="AC31" s="1382"/>
      <c r="AD31" s="1382"/>
      <c r="AE31" s="1367"/>
      <c r="AF31" s="1367"/>
      <c r="AG31" s="1367">
        <f>SUM(AG32:AG38)</f>
        <v>52000</v>
      </c>
      <c r="AH31" s="1367">
        <f>SUM(AH32:AH38)</f>
        <v>262000</v>
      </c>
      <c r="AI31" s="1367">
        <v>262000</v>
      </c>
      <c r="AJ31" s="1367"/>
      <c r="AK31" s="1367"/>
      <c r="AL31" s="1367"/>
      <c r="AM31" s="1367"/>
      <c r="AN31" s="1367"/>
      <c r="AO31" s="1406"/>
      <c r="AP31" s="1406"/>
      <c r="AQ31" s="1363"/>
    </row>
    <row r="32" spans="1:43" ht="30">
      <c r="A32" s="537" t="s">
        <v>3372</v>
      </c>
      <c r="B32" s="1407" t="s">
        <v>3373</v>
      </c>
      <c r="C32" s="539">
        <f t="shared" ref="C32:C38" si="7">SUM(J32,K32,L32,P32,Q32,R32,V32,W32,X32,AB32,AC32,AD32)</f>
        <v>2</v>
      </c>
      <c r="D32" s="1408" t="s">
        <v>57</v>
      </c>
      <c r="E32" s="1407" t="s">
        <v>3374</v>
      </c>
      <c r="F32" s="1407" t="s">
        <v>3375</v>
      </c>
      <c r="G32" s="1372">
        <f t="shared" si="0"/>
        <v>1.1695906432748537</v>
      </c>
      <c r="H32" s="1373"/>
      <c r="I32" s="1374">
        <f t="shared" ref="I32:I38" si="8">AH32/AH$31*100</f>
        <v>1.5267175572519083</v>
      </c>
      <c r="J32" s="1409"/>
      <c r="K32" s="1409"/>
      <c r="L32" s="1409"/>
      <c r="M32" s="1377"/>
      <c r="N32" s="1377"/>
      <c r="O32" s="1377"/>
      <c r="P32" s="1409"/>
      <c r="Q32" s="1409"/>
      <c r="R32" s="1409">
        <v>1</v>
      </c>
      <c r="S32" s="1377"/>
      <c r="T32" s="1377"/>
      <c r="U32" s="1377">
        <v>2000</v>
      </c>
      <c r="V32" s="1409"/>
      <c r="W32" s="1409"/>
      <c r="X32" s="1409">
        <v>1</v>
      </c>
      <c r="Y32" s="1377"/>
      <c r="Z32" s="1377"/>
      <c r="AA32" s="1377">
        <v>2000</v>
      </c>
      <c r="AB32" s="1409"/>
      <c r="AC32" s="1409"/>
      <c r="AD32" s="1409"/>
      <c r="AE32" s="1377"/>
      <c r="AF32" s="1377"/>
      <c r="AG32" s="1377"/>
      <c r="AH32" s="1377">
        <f t="shared" ref="AH32:AH38" si="9">+AG32+AF32+AE32+AA32+Z32+Y32+U32+T32+S32+O32+N32+M32</f>
        <v>4000</v>
      </c>
      <c r="AI32" s="1377">
        <v>4000</v>
      </c>
      <c r="AJ32" s="1378"/>
      <c r="AK32" s="1378"/>
      <c r="AL32" s="1378"/>
      <c r="AM32" s="1378"/>
      <c r="AN32" s="1378"/>
      <c r="AO32" s="1379" t="s">
        <v>2384</v>
      </c>
      <c r="AP32" s="1379" t="s">
        <v>3336</v>
      </c>
      <c r="AQ32" s="547"/>
    </row>
    <row r="33" spans="1:43" ht="60">
      <c r="A33" s="537" t="s">
        <v>3376</v>
      </c>
      <c r="B33" s="1407" t="s">
        <v>3377</v>
      </c>
      <c r="C33" s="539">
        <f t="shared" si="7"/>
        <v>4</v>
      </c>
      <c r="D33" s="1408" t="s">
        <v>52</v>
      </c>
      <c r="E33" s="1407" t="s">
        <v>3378</v>
      </c>
      <c r="F33" s="1407" t="s">
        <v>3379</v>
      </c>
      <c r="G33" s="1372">
        <f t="shared" si="0"/>
        <v>2.3391812865497075</v>
      </c>
      <c r="H33" s="1373"/>
      <c r="I33" s="1374">
        <f t="shared" si="8"/>
        <v>3.0534351145038165</v>
      </c>
      <c r="J33" s="1409"/>
      <c r="K33" s="1409"/>
      <c r="L33" s="1409">
        <v>1</v>
      </c>
      <c r="M33" s="1377"/>
      <c r="N33" s="1377"/>
      <c r="O33" s="1377">
        <v>2000</v>
      </c>
      <c r="P33" s="1409"/>
      <c r="Q33" s="1409"/>
      <c r="R33" s="1409">
        <v>1</v>
      </c>
      <c r="S33" s="1377"/>
      <c r="T33" s="1377"/>
      <c r="U33" s="1377">
        <v>2000</v>
      </c>
      <c r="V33" s="1409"/>
      <c r="W33" s="1409"/>
      <c r="X33" s="1409">
        <v>1</v>
      </c>
      <c r="Y33" s="1377"/>
      <c r="Z33" s="1377"/>
      <c r="AA33" s="1377">
        <v>2000</v>
      </c>
      <c r="AB33" s="1409"/>
      <c r="AC33" s="1409"/>
      <c r="AD33" s="1409">
        <v>1</v>
      </c>
      <c r="AE33" s="1377"/>
      <c r="AF33" s="1377"/>
      <c r="AG33" s="1377">
        <v>2000</v>
      </c>
      <c r="AH33" s="1377">
        <f t="shared" si="9"/>
        <v>8000</v>
      </c>
      <c r="AI33" s="1377">
        <v>8000</v>
      </c>
      <c r="AJ33" s="1378"/>
      <c r="AK33" s="1378"/>
      <c r="AL33" s="1378"/>
      <c r="AM33" s="1378"/>
      <c r="AN33" s="1378"/>
      <c r="AO33" s="1379" t="s">
        <v>2384</v>
      </c>
      <c r="AP33" s="1379" t="s">
        <v>3336</v>
      </c>
      <c r="AQ33" s="547"/>
    </row>
    <row r="34" spans="1:43" ht="45">
      <c r="A34" s="537" t="s">
        <v>3380</v>
      </c>
      <c r="B34" s="1407" t="s">
        <v>3381</v>
      </c>
      <c r="C34" s="539">
        <f t="shared" si="7"/>
        <v>2</v>
      </c>
      <c r="D34" s="1408" t="s">
        <v>57</v>
      </c>
      <c r="E34" s="1407" t="s">
        <v>3382</v>
      </c>
      <c r="F34" s="1407" t="s">
        <v>3383</v>
      </c>
      <c r="G34" s="1372">
        <f t="shared" si="0"/>
        <v>11.695906432748536</v>
      </c>
      <c r="H34" s="1373"/>
      <c r="I34" s="1374">
        <f t="shared" si="8"/>
        <v>15.267175572519085</v>
      </c>
      <c r="J34" s="1410"/>
      <c r="K34" s="1409"/>
      <c r="L34" s="1409"/>
      <c r="M34" s="1377"/>
      <c r="N34" s="1377"/>
      <c r="O34" s="1377"/>
      <c r="P34" s="1409"/>
      <c r="Q34" s="1409"/>
      <c r="R34" s="1409">
        <v>1</v>
      </c>
      <c r="S34" s="1377"/>
      <c r="T34" s="1377"/>
      <c r="U34" s="1377">
        <v>20000</v>
      </c>
      <c r="V34" s="1409"/>
      <c r="W34" s="1409"/>
      <c r="X34" s="1409">
        <v>1</v>
      </c>
      <c r="Y34" s="1377"/>
      <c r="Z34" s="1377"/>
      <c r="AA34" s="1377">
        <v>20000</v>
      </c>
      <c r="AB34" s="1409"/>
      <c r="AC34" s="1409"/>
      <c r="AD34" s="1409"/>
      <c r="AE34" s="1377"/>
      <c r="AF34" s="1377"/>
      <c r="AG34" s="1377"/>
      <c r="AH34" s="1377">
        <f t="shared" si="9"/>
        <v>40000</v>
      </c>
      <c r="AI34" s="1377">
        <v>40000</v>
      </c>
      <c r="AJ34" s="1378"/>
      <c r="AK34" s="1378"/>
      <c r="AL34" s="1378"/>
      <c r="AM34" s="1378"/>
      <c r="AN34" s="1378"/>
      <c r="AO34" s="1379" t="s">
        <v>2384</v>
      </c>
      <c r="AP34" s="1379" t="s">
        <v>3336</v>
      </c>
      <c r="AQ34" s="547"/>
    </row>
    <row r="35" spans="1:43" ht="45">
      <c r="A35" s="537" t="s">
        <v>3384</v>
      </c>
      <c r="B35" s="1407" t="s">
        <v>3385</v>
      </c>
      <c r="C35" s="539">
        <f t="shared" si="7"/>
        <v>1</v>
      </c>
      <c r="D35" s="1408" t="s">
        <v>57</v>
      </c>
      <c r="E35" s="1407" t="s">
        <v>3386</v>
      </c>
      <c r="F35" s="1407" t="s">
        <v>3387</v>
      </c>
      <c r="G35" s="1372">
        <f t="shared" si="0"/>
        <v>7.3099415204678362</v>
      </c>
      <c r="H35" s="1373"/>
      <c r="I35" s="1374">
        <f t="shared" si="8"/>
        <v>9.5419847328244281</v>
      </c>
      <c r="J35" s="1410"/>
      <c r="K35" s="1409"/>
      <c r="L35" s="1409"/>
      <c r="M35" s="1377"/>
      <c r="N35" s="1377"/>
      <c r="O35" s="1377"/>
      <c r="P35" s="1409"/>
      <c r="Q35" s="1409"/>
      <c r="R35" s="1409">
        <v>1</v>
      </c>
      <c r="S35" s="1377"/>
      <c r="T35" s="1377"/>
      <c r="U35" s="1377">
        <v>25000</v>
      </c>
      <c r="V35" s="1409"/>
      <c r="W35" s="1409"/>
      <c r="X35" s="1409"/>
      <c r="Y35" s="1377"/>
      <c r="Z35" s="1377"/>
      <c r="AA35" s="1377"/>
      <c r="AB35" s="1409"/>
      <c r="AC35" s="1409"/>
      <c r="AD35" s="1409"/>
      <c r="AE35" s="1377"/>
      <c r="AF35" s="1377"/>
      <c r="AG35" s="1377"/>
      <c r="AH35" s="1377">
        <f t="shared" si="9"/>
        <v>25000</v>
      </c>
      <c r="AI35" s="1377">
        <v>25000</v>
      </c>
      <c r="AJ35" s="1378"/>
      <c r="AK35" s="1378"/>
      <c r="AL35" s="1378"/>
      <c r="AM35" s="1378"/>
      <c r="AN35" s="1378"/>
      <c r="AO35" s="1379" t="s">
        <v>2384</v>
      </c>
      <c r="AP35" s="1379" t="s">
        <v>3336</v>
      </c>
      <c r="AQ35" s="547"/>
    </row>
    <row r="36" spans="1:43" ht="75">
      <c r="A36" s="537" t="s">
        <v>3388</v>
      </c>
      <c r="B36" s="1407" t="s">
        <v>3389</v>
      </c>
      <c r="C36" s="539">
        <f t="shared" si="7"/>
        <v>1</v>
      </c>
      <c r="D36" s="1408" t="s">
        <v>52</v>
      </c>
      <c r="E36" s="1407" t="s">
        <v>3390</v>
      </c>
      <c r="F36" s="1407" t="s">
        <v>3391</v>
      </c>
      <c r="G36" s="1372">
        <f t="shared" si="0"/>
        <v>10.23391812865497</v>
      </c>
      <c r="H36" s="1373"/>
      <c r="I36" s="1374">
        <f t="shared" si="8"/>
        <v>13.358778625954198</v>
      </c>
      <c r="J36" s="1410"/>
      <c r="K36" s="1409"/>
      <c r="L36" s="1409"/>
      <c r="M36" s="1377"/>
      <c r="N36" s="1377"/>
      <c r="O36" s="1377"/>
      <c r="P36" s="1409"/>
      <c r="Q36" s="1409"/>
      <c r="R36" s="1409"/>
      <c r="S36" s="1377"/>
      <c r="T36" s="1377"/>
      <c r="U36" s="1377"/>
      <c r="V36" s="1409"/>
      <c r="W36" s="1409"/>
      <c r="X36" s="1409">
        <v>1</v>
      </c>
      <c r="Y36" s="1377"/>
      <c r="Z36" s="1377"/>
      <c r="AA36" s="1377">
        <v>35000</v>
      </c>
      <c r="AB36" s="1409"/>
      <c r="AC36" s="1409"/>
      <c r="AD36" s="1409"/>
      <c r="AE36" s="1377"/>
      <c r="AF36" s="1377"/>
      <c r="AG36" s="1377"/>
      <c r="AH36" s="1377">
        <f t="shared" si="9"/>
        <v>35000</v>
      </c>
      <c r="AI36" s="1377">
        <v>35000</v>
      </c>
      <c r="AJ36" s="1378"/>
      <c r="AK36" s="1378"/>
      <c r="AL36" s="1378"/>
      <c r="AM36" s="1378"/>
      <c r="AN36" s="1378"/>
      <c r="AO36" s="1379" t="s">
        <v>2384</v>
      </c>
      <c r="AP36" s="1379" t="s">
        <v>3336</v>
      </c>
      <c r="AQ36" s="547"/>
    </row>
    <row r="37" spans="1:43" ht="75">
      <c r="A37" s="537" t="s">
        <v>3392</v>
      </c>
      <c r="B37" s="1407" t="s">
        <v>3393</v>
      </c>
      <c r="C37" s="539">
        <f t="shared" si="7"/>
        <v>2</v>
      </c>
      <c r="D37" s="1408" t="s">
        <v>52</v>
      </c>
      <c r="E37" s="1407" t="s">
        <v>3394</v>
      </c>
      <c r="F37" s="1407" t="s">
        <v>3395</v>
      </c>
      <c r="G37" s="1372">
        <f t="shared" si="0"/>
        <v>14.619883040935672</v>
      </c>
      <c r="H37" s="1373"/>
      <c r="I37" s="1374">
        <f t="shared" si="8"/>
        <v>19.083969465648856</v>
      </c>
      <c r="J37" s="1410"/>
      <c r="K37" s="1409"/>
      <c r="L37" s="1409"/>
      <c r="M37" s="1377"/>
      <c r="N37" s="1377"/>
      <c r="O37" s="1377"/>
      <c r="P37" s="1409"/>
      <c r="Q37" s="1409"/>
      <c r="R37" s="1409">
        <v>1</v>
      </c>
      <c r="S37" s="1377"/>
      <c r="T37" s="1377"/>
      <c r="U37" s="1377">
        <v>25000</v>
      </c>
      <c r="V37" s="1409"/>
      <c r="W37" s="1409"/>
      <c r="X37" s="1409"/>
      <c r="Y37" s="1377"/>
      <c r="Z37" s="1377"/>
      <c r="AA37" s="1377"/>
      <c r="AB37" s="1409"/>
      <c r="AC37" s="1409"/>
      <c r="AD37" s="1409">
        <v>1</v>
      </c>
      <c r="AE37" s="1377"/>
      <c r="AF37" s="1377"/>
      <c r="AG37" s="1377">
        <v>25000</v>
      </c>
      <c r="AH37" s="1377">
        <f t="shared" si="9"/>
        <v>50000</v>
      </c>
      <c r="AI37" s="1377">
        <v>50000</v>
      </c>
      <c r="AJ37" s="1378"/>
      <c r="AK37" s="1378"/>
      <c r="AL37" s="1378"/>
      <c r="AM37" s="1378"/>
      <c r="AN37" s="1378"/>
      <c r="AO37" s="1379" t="s">
        <v>2384</v>
      </c>
      <c r="AP37" s="1379" t="s">
        <v>3336</v>
      </c>
      <c r="AQ37" s="547"/>
    </row>
    <row r="38" spans="1:43" ht="45">
      <c r="A38" s="537" t="s">
        <v>3396</v>
      </c>
      <c r="B38" s="1407" t="s">
        <v>3397</v>
      </c>
      <c r="C38" s="539">
        <f t="shared" si="7"/>
        <v>4</v>
      </c>
      <c r="D38" s="1408" t="s">
        <v>52</v>
      </c>
      <c r="E38" s="1407" t="s">
        <v>3398</v>
      </c>
      <c r="F38" s="1407" t="s">
        <v>3399</v>
      </c>
      <c r="G38" s="1372">
        <f t="shared" si="0"/>
        <v>29.239766081871345</v>
      </c>
      <c r="H38" s="1373"/>
      <c r="I38" s="1374">
        <f t="shared" si="8"/>
        <v>38.167938931297712</v>
      </c>
      <c r="J38" s="1410"/>
      <c r="K38" s="1409"/>
      <c r="L38" s="1409">
        <v>1</v>
      </c>
      <c r="M38" s="1377"/>
      <c r="N38" s="1377"/>
      <c r="O38" s="1377">
        <v>25000</v>
      </c>
      <c r="P38" s="1409"/>
      <c r="Q38" s="1409"/>
      <c r="R38" s="1409">
        <v>1</v>
      </c>
      <c r="S38" s="1377"/>
      <c r="T38" s="1377"/>
      <c r="U38" s="1377">
        <v>25000</v>
      </c>
      <c r="V38" s="1409"/>
      <c r="W38" s="1409"/>
      <c r="X38" s="1409">
        <v>1</v>
      </c>
      <c r="Y38" s="1377"/>
      <c r="Z38" s="1377"/>
      <c r="AA38" s="1377">
        <v>25000</v>
      </c>
      <c r="AB38" s="1409"/>
      <c r="AC38" s="1409"/>
      <c r="AD38" s="1409">
        <v>1</v>
      </c>
      <c r="AE38" s="1377"/>
      <c r="AF38" s="1377"/>
      <c r="AG38" s="1377">
        <v>25000</v>
      </c>
      <c r="AH38" s="1377">
        <f t="shared" si="9"/>
        <v>100000</v>
      </c>
      <c r="AI38" s="1377">
        <v>100000</v>
      </c>
      <c r="AJ38" s="1378"/>
      <c r="AK38" s="1378"/>
      <c r="AL38" s="1378"/>
      <c r="AM38" s="1378"/>
      <c r="AN38" s="1378"/>
      <c r="AO38" s="1379" t="s">
        <v>2384</v>
      </c>
      <c r="AP38" s="1379" t="s">
        <v>3336</v>
      </c>
      <c r="AQ38" s="547"/>
    </row>
    <row r="39" spans="1:43" ht="15">
      <c r="A39" s="1411"/>
      <c r="B39" s="1412" t="s">
        <v>1728</v>
      </c>
      <c r="C39" s="1412"/>
      <c r="D39" s="1413"/>
      <c r="E39" s="1411"/>
      <c r="F39" s="1411"/>
      <c r="G39" s="1414"/>
      <c r="H39" s="1415">
        <f>SUM(H13:H38)</f>
        <v>100</v>
      </c>
      <c r="I39" s="1414"/>
      <c r="J39" s="1416"/>
      <c r="K39" s="1416"/>
      <c r="L39" s="1416"/>
      <c r="M39" s="1415"/>
      <c r="N39" s="1415">
        <f>N11+N28</f>
        <v>5000</v>
      </c>
      <c r="O39" s="1415">
        <f>O11+O28</f>
        <v>37000</v>
      </c>
      <c r="P39" s="1416"/>
      <c r="Q39" s="1416"/>
      <c r="R39" s="1416"/>
      <c r="S39" s="1415"/>
      <c r="T39" s="1415"/>
      <c r="U39" s="1415">
        <f>U11+U28</f>
        <v>106500</v>
      </c>
      <c r="V39" s="1416"/>
      <c r="W39" s="1416"/>
      <c r="X39" s="1416"/>
      <c r="Y39" s="1415"/>
      <c r="Z39" s="1415"/>
      <c r="AA39" s="1415">
        <f>AA11+AA28</f>
        <v>91500</v>
      </c>
      <c r="AB39" s="1416"/>
      <c r="AC39" s="1416"/>
      <c r="AD39" s="1416"/>
      <c r="AE39" s="1415"/>
      <c r="AF39" s="1415">
        <f>AF11+AF28</f>
        <v>50000</v>
      </c>
      <c r="AG39" s="1415">
        <f>AG11+AG28</f>
        <v>52000</v>
      </c>
      <c r="AH39" s="1415">
        <f>AH11+AH28</f>
        <v>342000</v>
      </c>
      <c r="AI39" s="1415">
        <f>AI11+AI28</f>
        <v>342000</v>
      </c>
      <c r="AJ39" s="1416"/>
      <c r="AK39" s="1416"/>
      <c r="AL39" s="1415"/>
      <c r="AM39" s="1416"/>
      <c r="AN39" s="1416"/>
      <c r="AO39" s="1411"/>
      <c r="AP39" s="1411"/>
      <c r="AQ39" s="1411"/>
    </row>
  </sheetData>
  <sheetProtection algorithmName="SHA-512" hashValue="dZKq8pGcN0X3P+jkdA/xMvc57q5rOatYkOOVdnf9RfDBYJ8Co8iKCfmCNez7nqeBkIuvhDrhJm2xoQB0hgE29g==" saltValue="U6ixOppVLXtfEtcRnESgDw==" spinCount="100000" sheet="1" objects="1" scenarios="1"/>
  <mergeCells count="36">
    <mergeCell ref="AM8:AM10"/>
    <mergeCell ref="AN8:AN10"/>
    <mergeCell ref="J9:L9"/>
    <mergeCell ref="M9:O9"/>
    <mergeCell ref="P9:R9"/>
    <mergeCell ref="S9:U9"/>
    <mergeCell ref="V9:X9"/>
    <mergeCell ref="Y9:AA9"/>
    <mergeCell ref="AB9:AD9"/>
    <mergeCell ref="AE9:AG9"/>
    <mergeCell ref="AH8:AH10"/>
    <mergeCell ref="AK8:AK10"/>
    <mergeCell ref="AL8:AL10"/>
    <mergeCell ref="A8:A10"/>
    <mergeCell ref="J8:O8"/>
    <mergeCell ref="P8:U8"/>
    <mergeCell ref="V8:AA8"/>
    <mergeCell ref="AB8:AG8"/>
    <mergeCell ref="I7:I10"/>
    <mergeCell ref="J7:AH7"/>
    <mergeCell ref="A1:AQ1"/>
    <mergeCell ref="A2:AQ2"/>
    <mergeCell ref="A3:AQ3"/>
    <mergeCell ref="B7:B10"/>
    <mergeCell ref="C7:C10"/>
    <mergeCell ref="D7:D10"/>
    <mergeCell ref="E7:E10"/>
    <mergeCell ref="F7:F10"/>
    <mergeCell ref="G7:G10"/>
    <mergeCell ref="H7:H10"/>
    <mergeCell ref="AI7:AN7"/>
    <mergeCell ref="AO7:AO10"/>
    <mergeCell ref="AP7:AP10"/>
    <mergeCell ref="AQ7:AQ10"/>
    <mergeCell ref="AI8:AI10"/>
    <mergeCell ref="AJ8:AJ1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3"/>
  <sheetViews>
    <sheetView workbookViewId="0">
      <selection activeCell="F15" sqref="F15"/>
    </sheetView>
  </sheetViews>
  <sheetFormatPr baseColWidth="10" defaultRowHeight="14.4"/>
  <cols>
    <col min="1" max="1" width="20" customWidth="1"/>
    <col min="2" max="2" width="33.5546875" customWidth="1"/>
    <col min="5" max="5" width="18.109375" customWidth="1"/>
    <col min="15" max="15" width="13" bestFit="1" customWidth="1"/>
    <col min="19" max="20" width="14.44140625" bestFit="1" customWidth="1"/>
    <col min="21" max="21" width="14" bestFit="1" customWidth="1"/>
    <col min="25" max="26" width="14.44140625" bestFit="1" customWidth="1"/>
    <col min="27" max="27" width="14" bestFit="1" customWidth="1"/>
    <col min="31" max="31" width="14.44140625" bestFit="1" customWidth="1"/>
    <col min="32" max="32" width="16.5546875" bestFit="1" customWidth="1"/>
    <col min="33" max="33" width="16.109375" bestFit="1" customWidth="1"/>
    <col min="34" max="34" width="17" bestFit="1" customWidth="1"/>
    <col min="35" max="35" width="16.5546875" bestFit="1" customWidth="1"/>
    <col min="38" max="38" width="16" customWidth="1"/>
    <col min="39" max="39" width="19" customWidth="1"/>
  </cols>
  <sheetData>
    <row r="1" spans="1:43" ht="17.399999999999999">
      <c r="A1" s="2143" t="s">
        <v>0</v>
      </c>
      <c r="B1" s="2143"/>
      <c r="C1" s="2143"/>
      <c r="D1" s="2143"/>
      <c r="E1" s="2143"/>
      <c r="F1" s="2143"/>
      <c r="G1" s="2143"/>
      <c r="H1" s="2143"/>
      <c r="I1" s="2143"/>
      <c r="J1" s="2143"/>
      <c r="K1" s="2143"/>
      <c r="L1" s="2143"/>
      <c r="M1" s="2143"/>
      <c r="N1" s="2143"/>
      <c r="O1" s="2143"/>
      <c r="P1" s="2143"/>
      <c r="Q1" s="2143"/>
      <c r="R1" s="2143"/>
      <c r="S1" s="2143"/>
      <c r="T1" s="2143"/>
      <c r="U1" s="2143"/>
      <c r="V1" s="2143"/>
      <c r="W1" s="2143"/>
      <c r="X1" s="2143"/>
      <c r="Y1" s="2143"/>
      <c r="Z1" s="2143"/>
      <c r="AA1" s="2143"/>
      <c r="AB1" s="2143"/>
      <c r="AC1" s="2143"/>
      <c r="AD1" s="2143"/>
      <c r="AE1" s="2143"/>
      <c r="AF1" s="2143"/>
      <c r="AG1" s="2143"/>
      <c r="AH1" s="2143"/>
      <c r="AI1" s="2143"/>
      <c r="AJ1" s="2143"/>
      <c r="AK1" s="2143"/>
      <c r="AL1" s="2143"/>
      <c r="AM1" s="2143"/>
      <c r="AN1" s="2143"/>
      <c r="AO1" s="2143"/>
      <c r="AP1" s="2143"/>
      <c r="AQ1" s="2143"/>
    </row>
    <row r="2" spans="1:43" ht="17.399999999999999">
      <c r="A2" s="2143" t="s">
        <v>1</v>
      </c>
      <c r="B2" s="2143"/>
      <c r="C2" s="2143"/>
      <c r="D2" s="2143"/>
      <c r="E2" s="2143"/>
      <c r="F2" s="2143"/>
      <c r="G2" s="2143"/>
      <c r="H2" s="2143"/>
      <c r="I2" s="2143"/>
      <c r="J2" s="2143"/>
      <c r="K2" s="2143"/>
      <c r="L2" s="2143"/>
      <c r="M2" s="2143"/>
      <c r="N2" s="2143"/>
      <c r="O2" s="2143"/>
      <c r="P2" s="2143"/>
      <c r="Q2" s="2143"/>
      <c r="R2" s="2143"/>
      <c r="S2" s="2143"/>
      <c r="T2" s="2143"/>
      <c r="U2" s="2143"/>
      <c r="V2" s="2143"/>
      <c r="W2" s="2143"/>
      <c r="X2" s="2143"/>
      <c r="Y2" s="2143"/>
      <c r="Z2" s="2143"/>
      <c r="AA2" s="2143"/>
      <c r="AB2" s="2143"/>
      <c r="AC2" s="2143"/>
      <c r="AD2" s="2143"/>
      <c r="AE2" s="2143"/>
      <c r="AF2" s="2143"/>
      <c r="AG2" s="2143"/>
      <c r="AH2" s="2143"/>
      <c r="AI2" s="2143"/>
      <c r="AJ2" s="2143"/>
      <c r="AK2" s="2143"/>
      <c r="AL2" s="2143"/>
      <c r="AM2" s="2143"/>
      <c r="AN2" s="2143"/>
      <c r="AO2" s="2143"/>
      <c r="AP2" s="2143"/>
      <c r="AQ2" s="2143"/>
    </row>
    <row r="3" spans="1:43" ht="17.399999999999999">
      <c r="A3" s="1417"/>
      <c r="B3" s="1417"/>
      <c r="C3" s="1418"/>
      <c r="D3" s="1417"/>
      <c r="E3" s="1417"/>
      <c r="F3" s="1417"/>
      <c r="G3" s="1417"/>
      <c r="H3" s="1417"/>
      <c r="I3" s="1419"/>
      <c r="J3" s="1417"/>
      <c r="K3" s="1417"/>
      <c r="L3" s="1417"/>
      <c r="M3" s="1417"/>
      <c r="N3" s="1417"/>
      <c r="O3" s="1417"/>
      <c r="P3" s="1417"/>
      <c r="Q3" s="1417"/>
      <c r="R3" s="1417"/>
      <c r="S3" s="1417"/>
      <c r="T3" s="1417"/>
      <c r="U3" s="1417"/>
      <c r="V3" s="1417"/>
      <c r="W3" s="1419"/>
      <c r="X3" s="1419"/>
      <c r="Y3" s="1417"/>
      <c r="Z3" s="1417"/>
      <c r="AA3" s="1417"/>
      <c r="AB3" s="1417"/>
      <c r="AC3" s="1417"/>
      <c r="AD3" s="1417"/>
      <c r="AE3" s="1417"/>
      <c r="AF3" s="1417"/>
      <c r="AG3" s="1417"/>
      <c r="AH3" s="1420"/>
      <c r="AI3" s="1420"/>
      <c r="AJ3" s="1417"/>
      <c r="AK3" s="1417"/>
      <c r="AL3" s="1417"/>
      <c r="AM3" s="1417"/>
      <c r="AN3" s="1417"/>
      <c r="AO3" s="1417"/>
      <c r="AP3" s="1417"/>
      <c r="AQ3" s="1417"/>
    </row>
    <row r="4" spans="1:43" ht="17.399999999999999">
      <c r="A4" s="83"/>
      <c r="B4" s="1421" t="s">
        <v>3401</v>
      </c>
      <c r="C4" s="87"/>
      <c r="D4" s="87"/>
      <c r="E4" s="87"/>
      <c r="F4" s="87"/>
      <c r="G4" s="87"/>
      <c r="H4" s="87"/>
      <c r="I4" s="1422"/>
      <c r="J4" s="87"/>
      <c r="K4" s="87"/>
      <c r="L4" s="87"/>
      <c r="M4" s="87"/>
      <c r="N4" s="87"/>
      <c r="O4" s="87"/>
      <c r="P4" s="87"/>
      <c r="Q4" s="87"/>
      <c r="R4" s="87"/>
      <c r="S4" s="87"/>
      <c r="T4" s="87"/>
      <c r="U4" s="87"/>
      <c r="V4" s="87"/>
      <c r="W4" s="1422"/>
      <c r="X4" s="1422"/>
      <c r="Y4" s="87"/>
      <c r="Z4" s="87"/>
      <c r="AA4" s="1422"/>
      <c r="AB4" s="1423"/>
      <c r="AC4" s="87"/>
      <c r="AD4" s="87"/>
      <c r="AE4" s="87"/>
      <c r="AF4" s="1424"/>
      <c r="AG4" s="87"/>
      <c r="AH4" s="1425"/>
      <c r="AI4" s="1425"/>
      <c r="AJ4" s="87"/>
      <c r="AK4" s="87"/>
      <c r="AL4" s="87"/>
      <c r="AM4" s="87"/>
      <c r="AN4" s="87"/>
      <c r="AO4" s="1418"/>
      <c r="AP4" s="87"/>
      <c r="AQ4" s="87"/>
    </row>
    <row r="5" spans="1:43" ht="17.399999999999999">
      <c r="A5" s="83"/>
      <c r="B5" s="1422" t="s">
        <v>3402</v>
      </c>
      <c r="C5" s="87"/>
      <c r="D5" s="87"/>
      <c r="E5" s="87"/>
      <c r="F5" s="87"/>
      <c r="G5" s="87"/>
      <c r="H5" s="87"/>
      <c r="I5" s="1426"/>
      <c r="J5" s="87"/>
      <c r="K5" s="87"/>
      <c r="L5" s="87"/>
      <c r="M5" s="87"/>
      <c r="N5" s="87"/>
      <c r="O5" s="87"/>
      <c r="P5" s="87"/>
      <c r="Q5" s="87"/>
      <c r="R5" s="87"/>
      <c r="S5" s="87"/>
      <c r="T5" s="87"/>
      <c r="U5" s="87"/>
      <c r="V5" s="87"/>
      <c r="W5" s="1427"/>
      <c r="X5" s="1422"/>
      <c r="Y5" s="87"/>
      <c r="Z5" s="87"/>
      <c r="AA5" s="1428"/>
      <c r="AB5" s="1428"/>
      <c r="AC5" s="87"/>
      <c r="AD5" s="87"/>
      <c r="AE5" s="1429"/>
      <c r="AF5" s="1430"/>
      <c r="AG5" s="87"/>
      <c r="AH5" s="1425"/>
      <c r="AI5" s="1431"/>
      <c r="AJ5" s="87"/>
      <c r="AK5" s="87"/>
      <c r="AL5" s="87"/>
      <c r="AM5" s="87"/>
      <c r="AN5" s="87"/>
      <c r="AO5" s="1432"/>
      <c r="AP5" s="87"/>
      <c r="AQ5" s="87"/>
    </row>
    <row r="6" spans="1:43" ht="17.399999999999999">
      <c r="A6" s="83"/>
      <c r="B6" s="87" t="s">
        <v>3403</v>
      </c>
      <c r="C6" s="1433"/>
      <c r="D6" s="87"/>
      <c r="E6" s="83"/>
      <c r="F6" s="83"/>
      <c r="G6" s="83"/>
      <c r="H6" s="83"/>
      <c r="I6" s="1434"/>
      <c r="J6" s="92"/>
      <c r="K6" s="92"/>
      <c r="L6" s="92"/>
      <c r="M6" s="92"/>
      <c r="N6" s="92"/>
      <c r="O6" s="92"/>
      <c r="P6" s="92"/>
      <c r="Q6" s="92"/>
      <c r="R6" s="92"/>
      <c r="S6" s="92"/>
      <c r="T6" s="92"/>
      <c r="U6" s="92"/>
      <c r="V6" s="92"/>
      <c r="W6" s="1435"/>
      <c r="X6" s="1435"/>
      <c r="Y6" s="92"/>
      <c r="Z6" s="92"/>
      <c r="AA6" s="92"/>
      <c r="AB6" s="92"/>
      <c r="AC6" s="92"/>
      <c r="AD6" s="92"/>
      <c r="AE6" s="92"/>
      <c r="AF6" s="92"/>
      <c r="AG6" s="92"/>
      <c r="AH6" s="1436"/>
      <c r="AI6" s="1437"/>
      <c r="AJ6" s="92"/>
      <c r="AK6" s="92"/>
      <c r="AL6" s="92"/>
      <c r="AM6" s="92"/>
      <c r="AN6" s="92"/>
      <c r="AO6" s="1417"/>
      <c r="AP6" s="92"/>
      <c r="AQ6" s="92"/>
    </row>
    <row r="7" spans="1:43" ht="15.6">
      <c r="A7" s="1438" t="s">
        <v>5</v>
      </c>
      <c r="B7" s="2144" t="s">
        <v>3404</v>
      </c>
      <c r="C7" s="2144" t="s">
        <v>7</v>
      </c>
      <c r="D7" s="2145" t="s">
        <v>1394</v>
      </c>
      <c r="E7" s="2145" t="s">
        <v>9</v>
      </c>
      <c r="F7" s="2145" t="s">
        <v>10</v>
      </c>
      <c r="G7" s="2146" t="s">
        <v>11</v>
      </c>
      <c r="H7" s="2146" t="s">
        <v>12</v>
      </c>
      <c r="I7" s="2146" t="s">
        <v>401</v>
      </c>
      <c r="J7" s="2148" t="s">
        <v>14</v>
      </c>
      <c r="K7" s="2149"/>
      <c r="L7" s="2149"/>
      <c r="M7" s="2149"/>
      <c r="N7" s="2149"/>
      <c r="O7" s="2149"/>
      <c r="P7" s="2149"/>
      <c r="Q7" s="2149"/>
      <c r="R7" s="2149"/>
      <c r="S7" s="2149"/>
      <c r="T7" s="2149"/>
      <c r="U7" s="2149"/>
      <c r="V7" s="2149"/>
      <c r="W7" s="2149"/>
      <c r="X7" s="2149"/>
      <c r="Y7" s="2149"/>
      <c r="Z7" s="2149"/>
      <c r="AA7" s="2149"/>
      <c r="AB7" s="2149"/>
      <c r="AC7" s="2149"/>
      <c r="AD7" s="2149"/>
      <c r="AE7" s="2149"/>
      <c r="AF7" s="2149"/>
      <c r="AG7" s="2149"/>
      <c r="AH7" s="2150"/>
      <c r="AI7" s="2145" t="s">
        <v>15</v>
      </c>
      <c r="AJ7" s="2145"/>
      <c r="AK7" s="2145"/>
      <c r="AL7" s="2145"/>
      <c r="AM7" s="2145"/>
      <c r="AN7" s="2145"/>
      <c r="AO7" s="2146" t="s">
        <v>16</v>
      </c>
      <c r="AP7" s="2146" t="s">
        <v>17</v>
      </c>
      <c r="AQ7" s="2146" t="s">
        <v>18</v>
      </c>
    </row>
    <row r="8" spans="1:43" ht="15.6">
      <c r="A8" s="2145" t="s">
        <v>1395</v>
      </c>
      <c r="B8" s="2144"/>
      <c r="C8" s="2144"/>
      <c r="D8" s="2145"/>
      <c r="E8" s="2145"/>
      <c r="F8" s="2145"/>
      <c r="G8" s="2146"/>
      <c r="H8" s="2146"/>
      <c r="I8" s="2146"/>
      <c r="J8" s="2147" t="s">
        <v>19</v>
      </c>
      <c r="K8" s="2147"/>
      <c r="L8" s="2147"/>
      <c r="M8" s="2147"/>
      <c r="N8" s="2147"/>
      <c r="O8" s="2147"/>
      <c r="P8" s="2147" t="s">
        <v>20</v>
      </c>
      <c r="Q8" s="2147"/>
      <c r="R8" s="2147"/>
      <c r="S8" s="2147"/>
      <c r="T8" s="2147"/>
      <c r="U8" s="2147"/>
      <c r="V8" s="2147" t="s">
        <v>21</v>
      </c>
      <c r="W8" s="2147"/>
      <c r="X8" s="2147"/>
      <c r="Y8" s="2147"/>
      <c r="Z8" s="2147"/>
      <c r="AA8" s="2147"/>
      <c r="AB8" s="2147" t="s">
        <v>22</v>
      </c>
      <c r="AC8" s="2147"/>
      <c r="AD8" s="2147"/>
      <c r="AE8" s="2147"/>
      <c r="AF8" s="2147"/>
      <c r="AG8" s="2147"/>
      <c r="AH8" s="2109" t="s">
        <v>23</v>
      </c>
      <c r="AI8" s="1957" t="s">
        <v>24</v>
      </c>
      <c r="AJ8" s="2151" t="s">
        <v>2383</v>
      </c>
      <c r="AK8" s="2151" t="s">
        <v>916</v>
      </c>
      <c r="AL8" s="1957" t="s">
        <v>27</v>
      </c>
      <c r="AM8" s="2151" t="s">
        <v>28</v>
      </c>
      <c r="AN8" s="2151" t="s">
        <v>29</v>
      </c>
      <c r="AO8" s="2146"/>
      <c r="AP8" s="2146"/>
      <c r="AQ8" s="2146"/>
    </row>
    <row r="9" spans="1:43" ht="15.6">
      <c r="A9" s="2145"/>
      <c r="B9" s="2144"/>
      <c r="C9" s="2144"/>
      <c r="D9" s="2145"/>
      <c r="E9" s="2145"/>
      <c r="F9" s="2145"/>
      <c r="G9" s="2146"/>
      <c r="H9" s="2146"/>
      <c r="I9" s="2146"/>
      <c r="J9" s="2147" t="s">
        <v>30</v>
      </c>
      <c r="K9" s="2147"/>
      <c r="L9" s="2147"/>
      <c r="M9" s="2147" t="s">
        <v>31</v>
      </c>
      <c r="N9" s="2147"/>
      <c r="O9" s="2147"/>
      <c r="P9" s="2147" t="s">
        <v>30</v>
      </c>
      <c r="Q9" s="2147"/>
      <c r="R9" s="2147"/>
      <c r="S9" s="2147" t="s">
        <v>31</v>
      </c>
      <c r="T9" s="2147"/>
      <c r="U9" s="2147"/>
      <c r="V9" s="2147" t="s">
        <v>30</v>
      </c>
      <c r="W9" s="2147"/>
      <c r="X9" s="2147"/>
      <c r="Y9" s="2147" t="s">
        <v>31</v>
      </c>
      <c r="Z9" s="2147"/>
      <c r="AA9" s="2147"/>
      <c r="AB9" s="2147" t="s">
        <v>30</v>
      </c>
      <c r="AC9" s="2147"/>
      <c r="AD9" s="2147"/>
      <c r="AE9" s="2147" t="s">
        <v>31</v>
      </c>
      <c r="AF9" s="2147"/>
      <c r="AG9" s="2147"/>
      <c r="AH9" s="2109"/>
      <c r="AI9" s="1957"/>
      <c r="AJ9" s="2152"/>
      <c r="AK9" s="2152"/>
      <c r="AL9" s="1957"/>
      <c r="AM9" s="2152"/>
      <c r="AN9" s="2152"/>
      <c r="AO9" s="2146"/>
      <c r="AP9" s="2146"/>
      <c r="AQ9" s="2146"/>
    </row>
    <row r="10" spans="1:43" ht="15.6">
      <c r="A10" s="2145"/>
      <c r="B10" s="2144"/>
      <c r="C10" s="2144"/>
      <c r="D10" s="2145"/>
      <c r="E10" s="2145"/>
      <c r="F10" s="2145"/>
      <c r="G10" s="2146"/>
      <c r="H10" s="2146"/>
      <c r="I10" s="2146"/>
      <c r="J10" s="1439" t="s">
        <v>32</v>
      </c>
      <c r="K10" s="1439" t="s">
        <v>33</v>
      </c>
      <c r="L10" s="1439" t="s">
        <v>34</v>
      </c>
      <c r="M10" s="1439" t="s">
        <v>32</v>
      </c>
      <c r="N10" s="1439" t="s">
        <v>33</v>
      </c>
      <c r="O10" s="1439" t="s">
        <v>34</v>
      </c>
      <c r="P10" s="1439" t="s">
        <v>35</v>
      </c>
      <c r="Q10" s="1439" t="s">
        <v>34</v>
      </c>
      <c r="R10" s="1439" t="s">
        <v>36</v>
      </c>
      <c r="S10" s="1439" t="s">
        <v>35</v>
      </c>
      <c r="T10" s="1439" t="s">
        <v>34</v>
      </c>
      <c r="U10" s="1439" t="s">
        <v>36</v>
      </c>
      <c r="V10" s="1439" t="s">
        <v>36</v>
      </c>
      <c r="W10" s="1439" t="s">
        <v>35</v>
      </c>
      <c r="X10" s="1439" t="s">
        <v>37</v>
      </c>
      <c r="Y10" s="1439" t="s">
        <v>36</v>
      </c>
      <c r="Z10" s="1439" t="s">
        <v>35</v>
      </c>
      <c r="AA10" s="1439" t="s">
        <v>37</v>
      </c>
      <c r="AB10" s="1439" t="s">
        <v>38</v>
      </c>
      <c r="AC10" s="1439" t="s">
        <v>39</v>
      </c>
      <c r="AD10" s="1439" t="s">
        <v>40</v>
      </c>
      <c r="AE10" s="1439" t="s">
        <v>38</v>
      </c>
      <c r="AF10" s="1439" t="s">
        <v>39</v>
      </c>
      <c r="AG10" s="1439" t="s">
        <v>40</v>
      </c>
      <c r="AH10" s="2109"/>
      <c r="AI10" s="1957"/>
      <c r="AJ10" s="2153"/>
      <c r="AK10" s="2153"/>
      <c r="AL10" s="1957"/>
      <c r="AM10" s="2153"/>
      <c r="AN10" s="2153"/>
      <c r="AO10" s="2146"/>
      <c r="AP10" s="2146"/>
      <c r="AQ10" s="2146"/>
    </row>
    <row r="11" spans="1:43" ht="30">
      <c r="A11" s="1440" t="s">
        <v>675</v>
      </c>
      <c r="B11" s="1440" t="s">
        <v>3405</v>
      </c>
      <c r="C11" s="1441"/>
      <c r="D11" s="1442"/>
      <c r="E11" s="1442"/>
      <c r="F11" s="1442"/>
      <c r="G11" s="1443">
        <f>AH11/AH63*100</f>
        <v>7.3028788678785067E-2</v>
      </c>
      <c r="H11" s="1443"/>
      <c r="I11" s="1443"/>
      <c r="J11" s="1444">
        <f>SUM(J12)</f>
        <v>0</v>
      </c>
      <c r="K11" s="1444">
        <f t="shared" ref="K11:N11" si="0">SUM(K12)</f>
        <v>0</v>
      </c>
      <c r="L11" s="1444">
        <f t="shared" si="0"/>
        <v>0</v>
      </c>
      <c r="M11" s="1445">
        <v>0</v>
      </c>
      <c r="N11" s="1445">
        <f t="shared" si="0"/>
        <v>0</v>
      </c>
      <c r="O11" s="1445">
        <f>SUM(O12)</f>
        <v>2000</v>
      </c>
      <c r="P11" s="1445"/>
      <c r="Q11" s="1444"/>
      <c r="R11" s="1444"/>
      <c r="S11" s="1445">
        <f>S12+S18</f>
        <v>2000</v>
      </c>
      <c r="T11" s="1445"/>
      <c r="U11" s="1445"/>
      <c r="V11" s="1444"/>
      <c r="W11" s="1444"/>
      <c r="X11" s="1444"/>
      <c r="Y11" s="1445">
        <f>Y12+Y18</f>
        <v>1000</v>
      </c>
      <c r="Z11" s="1445"/>
      <c r="AA11" s="1445"/>
      <c r="AB11" s="1444"/>
      <c r="AC11" s="1444"/>
      <c r="AD11" s="1444"/>
      <c r="AE11" s="1445"/>
      <c r="AF11" s="1445"/>
      <c r="AG11" s="1445"/>
      <c r="AH11" s="1445">
        <f>AH12+AH18</f>
        <v>5000</v>
      </c>
      <c r="AI11" s="1445">
        <f>AI12+AI18</f>
        <v>3917</v>
      </c>
      <c r="AJ11" s="1445"/>
      <c r="AK11" s="1445"/>
      <c r="AL11" s="1445">
        <f>AL12+AL18</f>
        <v>1083</v>
      </c>
      <c r="AM11" s="1445"/>
      <c r="AN11" s="1445"/>
      <c r="AO11" s="1446"/>
      <c r="AP11" s="1447"/>
      <c r="AQ11" s="1448"/>
    </row>
    <row r="12" spans="1:43" ht="45">
      <c r="A12" s="1449" t="s">
        <v>677</v>
      </c>
      <c r="B12" s="1449" t="s">
        <v>3406</v>
      </c>
      <c r="C12" s="1450"/>
      <c r="D12" s="1451"/>
      <c r="E12" s="1451"/>
      <c r="F12" s="1451"/>
      <c r="G12" s="1452">
        <f>AH12/AH63*100</f>
        <v>5.8423030943028045E-2</v>
      </c>
      <c r="H12" s="1452"/>
      <c r="I12" s="1452"/>
      <c r="J12" s="1453">
        <f>J13</f>
        <v>0</v>
      </c>
      <c r="K12" s="1453">
        <f t="shared" ref="K12:N12" si="1">K13</f>
        <v>0</v>
      </c>
      <c r="L12" s="1453">
        <f t="shared" si="1"/>
        <v>0</v>
      </c>
      <c r="M12" s="1454">
        <v>0</v>
      </c>
      <c r="N12" s="1454">
        <f t="shared" si="1"/>
        <v>0</v>
      </c>
      <c r="O12" s="1454">
        <f>O13</f>
        <v>2000</v>
      </c>
      <c r="P12" s="1454"/>
      <c r="Q12" s="1453"/>
      <c r="R12" s="1453"/>
      <c r="S12" s="1454">
        <f>S13</f>
        <v>2000</v>
      </c>
      <c r="T12" s="1454"/>
      <c r="U12" s="1454"/>
      <c r="V12" s="1453"/>
      <c r="W12" s="1453"/>
      <c r="X12" s="1453"/>
      <c r="Y12" s="1454"/>
      <c r="Z12" s="1454"/>
      <c r="AA12" s="1454"/>
      <c r="AB12" s="1453"/>
      <c r="AC12" s="1453"/>
      <c r="AD12" s="1453"/>
      <c r="AE12" s="1454"/>
      <c r="AF12" s="1454"/>
      <c r="AG12" s="1454"/>
      <c r="AH12" s="1454">
        <f>AH13</f>
        <v>4000</v>
      </c>
      <c r="AI12" s="1454">
        <f>AI13</f>
        <v>3250</v>
      </c>
      <c r="AJ12" s="1454"/>
      <c r="AK12" s="1454"/>
      <c r="AL12" s="1454">
        <f>AL13</f>
        <v>750</v>
      </c>
      <c r="AM12" s="1454"/>
      <c r="AN12" s="1454"/>
      <c r="AO12" s="1455"/>
      <c r="AP12" s="1456"/>
      <c r="AQ12" s="1457"/>
    </row>
    <row r="13" spans="1:43" ht="45">
      <c r="A13" s="1458" t="s">
        <v>694</v>
      </c>
      <c r="B13" s="1458" t="s">
        <v>695</v>
      </c>
      <c r="C13" s="1459"/>
      <c r="D13" s="1460"/>
      <c r="E13" s="1460"/>
      <c r="F13" s="1460"/>
      <c r="G13" s="1461">
        <f>AH13/AH63*100</f>
        <v>5.8423030943028045E-2</v>
      </c>
      <c r="H13" s="1462">
        <f>G13</f>
        <v>5.8423030943028045E-2</v>
      </c>
      <c r="I13" s="1461"/>
      <c r="J13" s="663">
        <f>J14+J16</f>
        <v>0</v>
      </c>
      <c r="K13" s="663">
        <f t="shared" ref="K13:N13" si="2">K14+K16</f>
        <v>0</v>
      </c>
      <c r="L13" s="663">
        <f t="shared" si="2"/>
        <v>0</v>
      </c>
      <c r="M13" s="664">
        <v>0</v>
      </c>
      <c r="N13" s="664">
        <f t="shared" si="2"/>
        <v>0</v>
      </c>
      <c r="O13" s="664">
        <f>O14+O16</f>
        <v>2000</v>
      </c>
      <c r="P13" s="664"/>
      <c r="Q13" s="663"/>
      <c r="R13" s="663"/>
      <c r="S13" s="664">
        <f>S14+S16</f>
        <v>2000</v>
      </c>
      <c r="T13" s="664"/>
      <c r="U13" s="664"/>
      <c r="V13" s="663"/>
      <c r="W13" s="663"/>
      <c r="X13" s="663"/>
      <c r="Y13" s="664"/>
      <c r="Z13" s="664"/>
      <c r="AA13" s="664"/>
      <c r="AB13" s="663"/>
      <c r="AC13" s="663"/>
      <c r="AD13" s="663"/>
      <c r="AE13" s="664"/>
      <c r="AF13" s="664"/>
      <c r="AG13" s="664"/>
      <c r="AH13" s="664">
        <f>AH14+AH16</f>
        <v>4000</v>
      </c>
      <c r="AI13" s="664">
        <f>AI14+AI16</f>
        <v>3250</v>
      </c>
      <c r="AJ13" s="664"/>
      <c r="AK13" s="664"/>
      <c r="AL13" s="664">
        <f>AL14+AL16</f>
        <v>750</v>
      </c>
      <c r="AM13" s="664"/>
      <c r="AN13" s="664"/>
      <c r="AO13" s="1463"/>
      <c r="AP13" s="661"/>
      <c r="AQ13" s="662"/>
    </row>
    <row r="14" spans="1:43" ht="60">
      <c r="A14" s="1464" t="s">
        <v>3407</v>
      </c>
      <c r="B14" s="1464" t="s">
        <v>2233</v>
      </c>
      <c r="C14" s="1465"/>
      <c r="D14" s="1466"/>
      <c r="E14" s="1141"/>
      <c r="F14" s="1141"/>
      <c r="G14" s="1467">
        <f>AH14/AH63*100</f>
        <v>2.9211515471514023E-2</v>
      </c>
      <c r="H14" s="1467"/>
      <c r="I14" s="1467"/>
      <c r="J14" s="669">
        <f>SUM(J15)</f>
        <v>0</v>
      </c>
      <c r="K14" s="669">
        <f t="shared" ref="K14:N14" si="3">SUM(K15)</f>
        <v>0</v>
      </c>
      <c r="L14" s="669">
        <f t="shared" si="3"/>
        <v>0</v>
      </c>
      <c r="M14" s="670">
        <v>0</v>
      </c>
      <c r="N14" s="670">
        <f t="shared" si="3"/>
        <v>0</v>
      </c>
      <c r="O14" s="670">
        <f>SUM(O15)</f>
        <v>0</v>
      </c>
      <c r="P14" s="670"/>
      <c r="Q14" s="669"/>
      <c r="R14" s="669"/>
      <c r="S14" s="670">
        <f>S15</f>
        <v>2000</v>
      </c>
      <c r="T14" s="670"/>
      <c r="U14" s="670"/>
      <c r="V14" s="669"/>
      <c r="W14" s="669"/>
      <c r="X14" s="669"/>
      <c r="Y14" s="670"/>
      <c r="Z14" s="670"/>
      <c r="AA14" s="670"/>
      <c r="AB14" s="669"/>
      <c r="AC14" s="669"/>
      <c r="AD14" s="669"/>
      <c r="AE14" s="670"/>
      <c r="AF14" s="670"/>
      <c r="AG14" s="670"/>
      <c r="AH14" s="1468">
        <f>M14+N14+O14+S14+T14+U14+Y14+Z14+AA14+AE14+AF14+AG14</f>
        <v>2000</v>
      </c>
      <c r="AI14" s="670">
        <f t="shared" ref="AI14:AI21" si="4">AH14-AL14</f>
        <v>1500</v>
      </c>
      <c r="AJ14" s="670"/>
      <c r="AK14" s="670"/>
      <c r="AL14" s="670">
        <f>AL15</f>
        <v>500</v>
      </c>
      <c r="AM14" s="670"/>
      <c r="AN14" s="670"/>
      <c r="AO14" s="1469"/>
      <c r="AP14" s="667"/>
      <c r="AQ14" s="668"/>
    </row>
    <row r="15" spans="1:43" ht="105">
      <c r="A15" s="1470" t="s">
        <v>3408</v>
      </c>
      <c r="B15" s="1471" t="s">
        <v>3409</v>
      </c>
      <c r="C15" s="1472">
        <v>0.25</v>
      </c>
      <c r="D15" s="1404" t="s">
        <v>478</v>
      </c>
      <c r="E15" s="1284" t="s">
        <v>3410</v>
      </c>
      <c r="F15" s="1284" t="s">
        <v>52</v>
      </c>
      <c r="G15" s="1473">
        <f>AH15/AH63*100</f>
        <v>2.9211515471514023E-2</v>
      </c>
      <c r="H15" s="1474"/>
      <c r="I15" s="1474">
        <v>1</v>
      </c>
      <c r="J15" s="678"/>
      <c r="K15" s="678"/>
      <c r="L15" s="678"/>
      <c r="M15" s="677"/>
      <c r="N15" s="677"/>
      <c r="O15" s="677"/>
      <c r="P15" s="677">
        <v>0.25</v>
      </c>
      <c r="Q15" s="678"/>
      <c r="R15" s="678"/>
      <c r="S15" s="677">
        <v>2000</v>
      </c>
      <c r="T15" s="677"/>
      <c r="U15" s="677"/>
      <c r="V15" s="678"/>
      <c r="W15" s="678"/>
      <c r="X15" s="678"/>
      <c r="Y15" s="677"/>
      <c r="Z15" s="677"/>
      <c r="AA15" s="677"/>
      <c r="AB15" s="678"/>
      <c r="AC15" s="678"/>
      <c r="AD15" s="678"/>
      <c r="AE15" s="677"/>
      <c r="AF15" s="677"/>
      <c r="AG15" s="677"/>
      <c r="AH15" s="1283">
        <f>M15+N15+O15+S15+T15+U15+Y15+Z15+AA15+AE15+AF15+AG15</f>
        <v>2000</v>
      </c>
      <c r="AI15" s="677">
        <f t="shared" si="4"/>
        <v>1500</v>
      </c>
      <c r="AJ15" s="677"/>
      <c r="AK15" s="677"/>
      <c r="AL15" s="677">
        <v>500</v>
      </c>
      <c r="AM15" s="677"/>
      <c r="AN15" s="677"/>
      <c r="AO15" s="1475" t="s">
        <v>3411</v>
      </c>
      <c r="AP15" s="1476" t="s">
        <v>3412</v>
      </c>
      <c r="AQ15" s="1477"/>
    </row>
    <row r="16" spans="1:43" ht="60">
      <c r="A16" s="1464" t="s">
        <v>701</v>
      </c>
      <c r="B16" s="1464" t="s">
        <v>702</v>
      </c>
      <c r="C16" s="1478"/>
      <c r="D16" s="1466"/>
      <c r="E16" s="1141"/>
      <c r="F16" s="1141"/>
      <c r="G16" s="1467">
        <f>AH16/AH63*100</f>
        <v>2.9211515471514023E-2</v>
      </c>
      <c r="H16" s="1467"/>
      <c r="I16" s="1467"/>
      <c r="J16" s="669">
        <f>SUM(J17)</f>
        <v>0</v>
      </c>
      <c r="K16" s="669"/>
      <c r="L16" s="670"/>
      <c r="M16" s="670">
        <v>0</v>
      </c>
      <c r="N16" s="670"/>
      <c r="O16" s="670">
        <f>O17</f>
        <v>2000</v>
      </c>
      <c r="P16" s="670"/>
      <c r="Q16" s="669"/>
      <c r="R16" s="669"/>
      <c r="S16" s="670"/>
      <c r="T16" s="670"/>
      <c r="U16" s="670"/>
      <c r="V16" s="669"/>
      <c r="W16" s="669"/>
      <c r="X16" s="669"/>
      <c r="Y16" s="670"/>
      <c r="Z16" s="670"/>
      <c r="AA16" s="670"/>
      <c r="AB16" s="669"/>
      <c r="AC16" s="669"/>
      <c r="AD16" s="669"/>
      <c r="AE16" s="670"/>
      <c r="AF16" s="670"/>
      <c r="AG16" s="670"/>
      <c r="AH16" s="1468">
        <f>M16+N16+O16+S16+T16+U16+Y16+Z16+AA16+AE16+AF16+AG16</f>
        <v>2000</v>
      </c>
      <c r="AI16" s="670">
        <f t="shared" si="4"/>
        <v>1750</v>
      </c>
      <c r="AJ16" s="670"/>
      <c r="AK16" s="670"/>
      <c r="AL16" s="670">
        <f>AL17</f>
        <v>250</v>
      </c>
      <c r="AM16" s="670"/>
      <c r="AN16" s="670"/>
      <c r="AO16" s="1469"/>
      <c r="AP16" s="667"/>
      <c r="AQ16" s="668"/>
    </row>
    <row r="17" spans="1:43" ht="75">
      <c r="A17" s="1470" t="s">
        <v>3413</v>
      </c>
      <c r="B17" s="1471" t="s">
        <v>3414</v>
      </c>
      <c r="C17" s="1472">
        <v>0.25</v>
      </c>
      <c r="D17" s="1404" t="s">
        <v>478</v>
      </c>
      <c r="E17" s="1284" t="s">
        <v>3415</v>
      </c>
      <c r="F17" s="1284" t="s">
        <v>3416</v>
      </c>
      <c r="G17" s="1473">
        <f>AH17/AH63*100</f>
        <v>2.9211515471514023E-2</v>
      </c>
      <c r="H17" s="1474"/>
      <c r="I17" s="1473">
        <v>1</v>
      </c>
      <c r="J17" s="678"/>
      <c r="K17" s="678"/>
      <c r="L17" s="677">
        <v>0.25</v>
      </c>
      <c r="M17" s="677"/>
      <c r="N17" s="677"/>
      <c r="O17" s="677">
        <v>2000</v>
      </c>
      <c r="P17" s="677"/>
      <c r="Q17" s="678"/>
      <c r="R17" s="678"/>
      <c r="S17" s="677"/>
      <c r="T17" s="677"/>
      <c r="U17" s="677"/>
      <c r="V17" s="678"/>
      <c r="W17" s="678"/>
      <c r="X17" s="1479"/>
      <c r="Y17" s="677"/>
      <c r="Z17" s="677"/>
      <c r="AA17" s="677"/>
      <c r="AB17" s="678"/>
      <c r="AC17" s="678"/>
      <c r="AD17" s="678"/>
      <c r="AE17" s="677"/>
      <c r="AF17" s="677"/>
      <c r="AG17" s="677"/>
      <c r="AH17" s="1283">
        <f>M17+N17+O17+S17+T17+U17+Y17+Z17+AA17+AE17+AF17+AG17</f>
        <v>2000</v>
      </c>
      <c r="AI17" s="677">
        <f t="shared" si="4"/>
        <v>1750</v>
      </c>
      <c r="AJ17" s="677"/>
      <c r="AK17" s="677"/>
      <c r="AL17" s="677">
        <v>250</v>
      </c>
      <c r="AM17" s="677"/>
      <c r="AN17" s="677"/>
      <c r="AO17" s="1475" t="s">
        <v>3411</v>
      </c>
      <c r="AP17" s="1476" t="s">
        <v>3412</v>
      </c>
      <c r="AQ17" s="1477"/>
    </row>
    <row r="18" spans="1:43" ht="30">
      <c r="A18" s="1449" t="s">
        <v>718</v>
      </c>
      <c r="B18" s="1449" t="s">
        <v>3417</v>
      </c>
      <c r="C18" s="1450"/>
      <c r="D18" s="1451"/>
      <c r="E18" s="1451"/>
      <c r="F18" s="1451"/>
      <c r="G18" s="1452">
        <f>AH18/AH63*100</f>
        <v>1.4605757735757011E-2</v>
      </c>
      <c r="H18" s="1452"/>
      <c r="I18" s="1452"/>
      <c r="J18" s="1453">
        <f>SUM(J19)</f>
        <v>0</v>
      </c>
      <c r="K18" s="1453">
        <f t="shared" ref="K18:N20" si="5">SUM(K19)</f>
        <v>0</v>
      </c>
      <c r="L18" s="1453">
        <f t="shared" si="5"/>
        <v>0</v>
      </c>
      <c r="M18" s="1454">
        <v>0</v>
      </c>
      <c r="N18" s="1454">
        <f t="shared" si="5"/>
        <v>0</v>
      </c>
      <c r="O18" s="1454"/>
      <c r="P18" s="1454"/>
      <c r="Q18" s="1453"/>
      <c r="R18" s="1453"/>
      <c r="S18" s="1454"/>
      <c r="T18" s="1454"/>
      <c r="U18" s="1454"/>
      <c r="V18" s="1453"/>
      <c r="W18" s="1453"/>
      <c r="X18" s="1453"/>
      <c r="Y18" s="1454">
        <f>Y19</f>
        <v>1000</v>
      </c>
      <c r="Z18" s="1454"/>
      <c r="AA18" s="1454"/>
      <c r="AB18" s="1453"/>
      <c r="AC18" s="1453"/>
      <c r="AD18" s="1453"/>
      <c r="AE18" s="1454"/>
      <c r="AF18" s="1454"/>
      <c r="AG18" s="1454"/>
      <c r="AH18" s="1454">
        <f>AH19</f>
        <v>1000</v>
      </c>
      <c r="AI18" s="1454">
        <f t="shared" si="4"/>
        <v>667</v>
      </c>
      <c r="AJ18" s="1454"/>
      <c r="AK18" s="1454"/>
      <c r="AL18" s="1454">
        <f>+AL19</f>
        <v>333</v>
      </c>
      <c r="AM18" s="1454"/>
      <c r="AN18" s="1454"/>
      <c r="AO18" s="1455"/>
      <c r="AP18" s="1456"/>
      <c r="AQ18" s="1457"/>
    </row>
    <row r="19" spans="1:43" ht="75">
      <c r="A19" s="1458" t="s">
        <v>720</v>
      </c>
      <c r="B19" s="1458" t="s">
        <v>721</v>
      </c>
      <c r="C19" s="1459"/>
      <c r="D19" s="1460"/>
      <c r="E19" s="1460"/>
      <c r="F19" s="1460"/>
      <c r="G19" s="1461">
        <f>AH19/AH63*100</f>
        <v>1.4605757735757011E-2</v>
      </c>
      <c r="H19" s="1462">
        <f>G19</f>
        <v>1.4605757735757011E-2</v>
      </c>
      <c r="I19" s="1461"/>
      <c r="J19" s="663">
        <f>SUM(J20)</f>
        <v>0</v>
      </c>
      <c r="K19" s="663">
        <f t="shared" si="5"/>
        <v>0</v>
      </c>
      <c r="L19" s="663">
        <f t="shared" si="5"/>
        <v>0</v>
      </c>
      <c r="M19" s="664">
        <v>0</v>
      </c>
      <c r="N19" s="664">
        <f t="shared" si="5"/>
        <v>0</v>
      </c>
      <c r="O19" s="664"/>
      <c r="P19" s="664"/>
      <c r="Q19" s="663"/>
      <c r="R19" s="663"/>
      <c r="S19" s="664"/>
      <c r="T19" s="664"/>
      <c r="U19" s="664"/>
      <c r="V19" s="660"/>
      <c r="W19" s="663"/>
      <c r="X19" s="663"/>
      <c r="Y19" s="664">
        <f>Y20</f>
        <v>1000</v>
      </c>
      <c r="Z19" s="664"/>
      <c r="AA19" s="664"/>
      <c r="AB19" s="663"/>
      <c r="AC19" s="663"/>
      <c r="AD19" s="663"/>
      <c r="AE19" s="664"/>
      <c r="AF19" s="664"/>
      <c r="AG19" s="664"/>
      <c r="AH19" s="664">
        <f>AH20</f>
        <v>1000</v>
      </c>
      <c r="AI19" s="664">
        <f t="shared" si="4"/>
        <v>667</v>
      </c>
      <c r="AJ19" s="664"/>
      <c r="AK19" s="664"/>
      <c r="AL19" s="664">
        <f>+AL20</f>
        <v>333</v>
      </c>
      <c r="AM19" s="664"/>
      <c r="AN19" s="664"/>
      <c r="AO19" s="1463"/>
      <c r="AP19" s="661"/>
      <c r="AQ19" s="662"/>
    </row>
    <row r="20" spans="1:43" ht="45">
      <c r="A20" s="1464" t="s">
        <v>3418</v>
      </c>
      <c r="B20" s="1464" t="s">
        <v>3419</v>
      </c>
      <c r="C20" s="666"/>
      <c r="D20" s="1141"/>
      <c r="E20" s="1141"/>
      <c r="F20" s="1141"/>
      <c r="G20" s="1467">
        <f>AH20/AH63*100</f>
        <v>1.4605757735757011E-2</v>
      </c>
      <c r="H20" s="1467"/>
      <c r="I20" s="1467"/>
      <c r="J20" s="669">
        <f>SUM(J21)</f>
        <v>0</v>
      </c>
      <c r="K20" s="669">
        <f t="shared" si="5"/>
        <v>0</v>
      </c>
      <c r="L20" s="669">
        <f t="shared" si="5"/>
        <v>0</v>
      </c>
      <c r="M20" s="670">
        <v>0</v>
      </c>
      <c r="N20" s="670">
        <f t="shared" si="5"/>
        <v>0</v>
      </c>
      <c r="O20" s="670"/>
      <c r="P20" s="670"/>
      <c r="Q20" s="669"/>
      <c r="R20" s="669"/>
      <c r="S20" s="670"/>
      <c r="T20" s="670"/>
      <c r="U20" s="670"/>
      <c r="V20" s="666"/>
      <c r="W20" s="669"/>
      <c r="X20" s="669"/>
      <c r="Y20" s="670">
        <f>Y21</f>
        <v>1000</v>
      </c>
      <c r="Z20" s="670"/>
      <c r="AA20" s="670"/>
      <c r="AB20" s="669"/>
      <c r="AC20" s="669"/>
      <c r="AD20" s="669"/>
      <c r="AE20" s="670"/>
      <c r="AF20" s="670"/>
      <c r="AG20" s="670"/>
      <c r="AH20" s="1468">
        <f>M20+N20+O20+S20+T20+U20+Y20+Z20+AA20+AE20+AF20+AG20</f>
        <v>1000</v>
      </c>
      <c r="AI20" s="670">
        <f t="shared" si="4"/>
        <v>667</v>
      </c>
      <c r="AJ20" s="670"/>
      <c r="AK20" s="670"/>
      <c r="AL20" s="670">
        <f>+AL21</f>
        <v>333</v>
      </c>
      <c r="AM20" s="670"/>
      <c r="AN20" s="670"/>
      <c r="AO20" s="1469"/>
      <c r="AP20" s="667"/>
      <c r="AQ20" s="668"/>
    </row>
    <row r="21" spans="1:43" ht="60">
      <c r="A21" s="1470" t="s">
        <v>3420</v>
      </c>
      <c r="B21" s="1471" t="s">
        <v>3421</v>
      </c>
      <c r="C21" s="1480">
        <v>1</v>
      </c>
      <c r="D21" s="1284" t="s">
        <v>462</v>
      </c>
      <c r="E21" s="1284" t="s">
        <v>3422</v>
      </c>
      <c r="F21" s="1284" t="s">
        <v>3423</v>
      </c>
      <c r="G21" s="1473">
        <f>AH21/AH63*100</f>
        <v>1.4605757735757011E-2</v>
      </c>
      <c r="H21" s="1474"/>
      <c r="I21" s="1474">
        <v>1</v>
      </c>
      <c r="J21" s="678"/>
      <c r="K21" s="678"/>
      <c r="L21" s="678"/>
      <c r="M21" s="677"/>
      <c r="N21" s="677"/>
      <c r="O21" s="677"/>
      <c r="P21" s="677"/>
      <c r="Q21" s="678"/>
      <c r="R21" s="678"/>
      <c r="S21" s="677"/>
      <c r="T21" s="677"/>
      <c r="U21" s="677"/>
      <c r="V21" s="1480">
        <v>1</v>
      </c>
      <c r="W21" s="678"/>
      <c r="X21" s="1479"/>
      <c r="Y21" s="677">
        <v>1000</v>
      </c>
      <c r="Z21" s="677"/>
      <c r="AA21" s="677"/>
      <c r="AB21" s="678"/>
      <c r="AC21" s="678"/>
      <c r="AD21" s="678"/>
      <c r="AE21" s="677"/>
      <c r="AF21" s="677"/>
      <c r="AG21" s="677"/>
      <c r="AH21" s="1283">
        <f>M21+N21+O21+S21+T21+U21+Y21+Z21+AA21+AE21+AF21+AG21</f>
        <v>1000</v>
      </c>
      <c r="AI21" s="677">
        <f t="shared" si="4"/>
        <v>667</v>
      </c>
      <c r="AJ21" s="677"/>
      <c r="AK21" s="677"/>
      <c r="AL21" s="677">
        <v>333</v>
      </c>
      <c r="AM21" s="677"/>
      <c r="AN21" s="677"/>
      <c r="AO21" s="1475" t="s">
        <v>3411</v>
      </c>
      <c r="AP21" s="1476" t="s">
        <v>3412</v>
      </c>
      <c r="AQ21" s="1477"/>
    </row>
    <row r="22" spans="1:43" ht="30">
      <c r="A22" s="47" t="s">
        <v>322</v>
      </c>
      <c r="B22" s="47" t="s">
        <v>323</v>
      </c>
      <c r="C22" s="1441"/>
      <c r="D22" s="1442"/>
      <c r="E22" s="1442"/>
      <c r="F22" s="1442"/>
      <c r="G22" s="1443">
        <f>AH22/AH63*100</f>
        <v>0.12582860289354666</v>
      </c>
      <c r="H22" s="1443"/>
      <c r="I22" s="1443"/>
      <c r="J22" s="1444"/>
      <c r="K22" s="1444">
        <f t="shared" ref="K22:N24" si="6">SUM(K23)</f>
        <v>0</v>
      </c>
      <c r="L22" s="1444"/>
      <c r="M22" s="1445">
        <v>0</v>
      </c>
      <c r="N22" s="1445">
        <f t="shared" si="6"/>
        <v>0</v>
      </c>
      <c r="O22" s="1445">
        <f>+O23+O31+O35</f>
        <v>1602</v>
      </c>
      <c r="P22" s="1445"/>
      <c r="Q22" s="1444"/>
      <c r="R22" s="1444"/>
      <c r="S22" s="1445"/>
      <c r="T22" s="1445"/>
      <c r="U22" s="1445">
        <f>+U23+U31+U35</f>
        <v>1602</v>
      </c>
      <c r="V22" s="1444"/>
      <c r="W22" s="1444"/>
      <c r="X22" s="1444"/>
      <c r="Y22" s="1445"/>
      <c r="Z22" s="1445"/>
      <c r="AA22" s="1445">
        <f>+AA23+AA31+AA35</f>
        <v>1602</v>
      </c>
      <c r="AB22" s="1444"/>
      <c r="AC22" s="1444"/>
      <c r="AD22" s="1444"/>
      <c r="AE22" s="1445"/>
      <c r="AF22" s="1445"/>
      <c r="AG22" s="1445">
        <f>+AG23+AG31+AG35</f>
        <v>3809</v>
      </c>
      <c r="AH22" s="1445">
        <f>AH23</f>
        <v>8615</v>
      </c>
      <c r="AI22" s="1445">
        <f>AI23</f>
        <v>8615</v>
      </c>
      <c r="AJ22" s="1445"/>
      <c r="AK22" s="1445"/>
      <c r="AL22" s="1445"/>
      <c r="AM22" s="1445"/>
      <c r="AN22" s="1445"/>
      <c r="AO22" s="1446"/>
      <c r="AP22" s="1447"/>
      <c r="AQ22" s="1448"/>
    </row>
    <row r="23" spans="1:43" ht="45">
      <c r="A23" s="1449" t="s">
        <v>729</v>
      </c>
      <c r="B23" s="1449" t="s">
        <v>3424</v>
      </c>
      <c r="C23" s="1450"/>
      <c r="D23" s="1451"/>
      <c r="E23" s="1451"/>
      <c r="F23" s="1451"/>
      <c r="G23" s="1452">
        <f>AH24/AH63*100</f>
        <v>0.12582860289354666</v>
      </c>
      <c r="H23" s="1452"/>
      <c r="I23" s="1452"/>
      <c r="J23" s="1453">
        <f>SUM(J24)</f>
        <v>0</v>
      </c>
      <c r="K23" s="1453">
        <f t="shared" si="6"/>
        <v>0</v>
      </c>
      <c r="L23" s="1453">
        <f t="shared" si="6"/>
        <v>0</v>
      </c>
      <c r="M23" s="1454">
        <v>0</v>
      </c>
      <c r="N23" s="1454">
        <f t="shared" si="6"/>
        <v>0</v>
      </c>
      <c r="O23" s="1454">
        <f t="shared" ref="O23" si="7">O24</f>
        <v>1602</v>
      </c>
      <c r="P23" s="1454"/>
      <c r="Q23" s="1453"/>
      <c r="R23" s="1453"/>
      <c r="S23" s="1454"/>
      <c r="T23" s="1454"/>
      <c r="U23" s="1454">
        <f t="shared" ref="U23" si="8">U24</f>
        <v>1602</v>
      </c>
      <c r="V23" s="1453"/>
      <c r="W23" s="1453"/>
      <c r="X23" s="1453"/>
      <c r="Y23" s="1454"/>
      <c r="Z23" s="1454"/>
      <c r="AA23" s="1454">
        <f t="shared" ref="AA23" si="9">AA24</f>
        <v>1602</v>
      </c>
      <c r="AB23" s="1453"/>
      <c r="AC23" s="1453"/>
      <c r="AD23" s="1453"/>
      <c r="AE23" s="1454"/>
      <c r="AF23" s="1454"/>
      <c r="AG23" s="1454">
        <f t="shared" ref="AG23" si="10">AG24</f>
        <v>3809</v>
      </c>
      <c r="AH23" s="1454">
        <f>+AH24</f>
        <v>8615</v>
      </c>
      <c r="AI23" s="1454">
        <f>+AI24</f>
        <v>8615</v>
      </c>
      <c r="AJ23" s="1454"/>
      <c r="AK23" s="1454"/>
      <c r="AL23" s="1454">
        <f>AL24</f>
        <v>0</v>
      </c>
      <c r="AM23" s="1454"/>
      <c r="AN23" s="1454"/>
      <c r="AO23" s="1455"/>
      <c r="AP23" s="1456"/>
      <c r="AQ23" s="1457"/>
    </row>
    <row r="24" spans="1:43" ht="30">
      <c r="A24" s="1458" t="s">
        <v>730</v>
      </c>
      <c r="B24" s="1460" t="s">
        <v>327</v>
      </c>
      <c r="C24" s="1459"/>
      <c r="D24" s="1460"/>
      <c r="E24" s="1460"/>
      <c r="F24" s="1460"/>
      <c r="G24" s="1461">
        <f>AH24/AH63*100</f>
        <v>0.12582860289354666</v>
      </c>
      <c r="H24" s="1462">
        <f>G24</f>
        <v>0.12582860289354666</v>
      </c>
      <c r="I24" s="1461"/>
      <c r="J24" s="663">
        <f>SUM(J25)</f>
        <v>0</v>
      </c>
      <c r="K24" s="663">
        <f t="shared" si="6"/>
        <v>0</v>
      </c>
      <c r="L24" s="663">
        <f t="shared" si="6"/>
        <v>0</v>
      </c>
      <c r="M24" s="664">
        <v>0</v>
      </c>
      <c r="N24" s="664">
        <f t="shared" si="6"/>
        <v>0</v>
      </c>
      <c r="O24" s="664">
        <f>O25+O29</f>
        <v>1602</v>
      </c>
      <c r="P24" s="664"/>
      <c r="Q24" s="663"/>
      <c r="R24" s="663"/>
      <c r="S24" s="664"/>
      <c r="T24" s="664"/>
      <c r="U24" s="664">
        <f>U25+U29</f>
        <v>1602</v>
      </c>
      <c r="V24" s="663"/>
      <c r="W24" s="663"/>
      <c r="X24" s="663"/>
      <c r="Y24" s="664"/>
      <c r="Z24" s="664"/>
      <c r="AA24" s="664">
        <f>AA25+AA29</f>
        <v>1602</v>
      </c>
      <c r="AB24" s="663"/>
      <c r="AC24" s="663"/>
      <c r="AD24" s="663"/>
      <c r="AE24" s="664"/>
      <c r="AF24" s="664"/>
      <c r="AG24" s="664">
        <f>AG25+AG29</f>
        <v>3809</v>
      </c>
      <c r="AH24" s="664">
        <f>AH25+AH29</f>
        <v>8615</v>
      </c>
      <c r="AI24" s="664">
        <f>AI25+AI29</f>
        <v>8615</v>
      </c>
      <c r="AJ24" s="664"/>
      <c r="AK24" s="664"/>
      <c r="AL24" s="664">
        <f>AL25+AL29</f>
        <v>0</v>
      </c>
      <c r="AM24" s="664"/>
      <c r="AN24" s="664"/>
      <c r="AO24" s="1463"/>
      <c r="AP24" s="661"/>
      <c r="AQ24" s="662"/>
    </row>
    <row r="25" spans="1:43" ht="75">
      <c r="A25" s="1481" t="s">
        <v>3425</v>
      </c>
      <c r="B25" s="1481" t="s">
        <v>3426</v>
      </c>
      <c r="C25" s="1482"/>
      <c r="D25" s="1483"/>
      <c r="E25" s="1483"/>
      <c r="F25" s="1483"/>
      <c r="G25" s="1467">
        <f>AH25/AH63*100</f>
        <v>9.3622907086202453E-2</v>
      </c>
      <c r="H25" s="1467"/>
      <c r="I25" s="1467"/>
      <c r="J25" s="669">
        <f>SUM(J26:J28)</f>
        <v>0</v>
      </c>
      <c r="K25" s="669">
        <f t="shared" ref="K25" si="11">SUM(K26:K28)</f>
        <v>0</v>
      </c>
      <c r="L25" s="669">
        <v>0</v>
      </c>
      <c r="M25" s="670">
        <v>0</v>
      </c>
      <c r="N25" s="670">
        <f>SUM(N26:N28)</f>
        <v>0</v>
      </c>
      <c r="O25" s="670">
        <f>O26+O27+O28</f>
        <v>1602</v>
      </c>
      <c r="P25" s="670"/>
      <c r="Q25" s="669"/>
      <c r="R25" s="669"/>
      <c r="S25" s="670">
        <f>S26+S27+S28</f>
        <v>0</v>
      </c>
      <c r="T25" s="670">
        <f>T26+T27+T28</f>
        <v>0</v>
      </c>
      <c r="U25" s="670">
        <f>U26+U27+U28</f>
        <v>1602</v>
      </c>
      <c r="V25" s="669"/>
      <c r="W25" s="669"/>
      <c r="X25" s="669"/>
      <c r="Y25" s="670"/>
      <c r="Z25" s="670"/>
      <c r="AA25" s="670">
        <f>AA26+AA27+AA28</f>
        <v>1602</v>
      </c>
      <c r="AB25" s="669"/>
      <c r="AC25" s="669"/>
      <c r="AD25" s="669"/>
      <c r="AE25" s="670"/>
      <c r="AF25" s="670"/>
      <c r="AG25" s="670">
        <f>AG26+AG27+AG28</f>
        <v>1604</v>
      </c>
      <c r="AH25" s="1468">
        <f>M25+N25+O25+S25+T25+U25+Y25+Z25+AA25+AE25+AF25+AG25</f>
        <v>6410</v>
      </c>
      <c r="AI25" s="670">
        <f>SUM(AI26:AI28)</f>
        <v>6410</v>
      </c>
      <c r="AJ25" s="670"/>
      <c r="AK25" s="670"/>
      <c r="AL25" s="670">
        <f>AL26+AL27+AL28</f>
        <v>0</v>
      </c>
      <c r="AM25" s="670"/>
      <c r="AN25" s="670"/>
      <c r="AO25" s="1469"/>
      <c r="AP25" s="667"/>
      <c r="AQ25" s="668"/>
    </row>
    <row r="26" spans="1:43" ht="135">
      <c r="A26" s="1470" t="s">
        <v>3427</v>
      </c>
      <c r="B26" s="1471" t="s">
        <v>3428</v>
      </c>
      <c r="C26" s="1480">
        <v>4</v>
      </c>
      <c r="D26" s="1284" t="s">
        <v>309</v>
      </c>
      <c r="E26" s="1284" t="s">
        <v>3429</v>
      </c>
      <c r="F26" s="1284" t="s">
        <v>3430</v>
      </c>
      <c r="G26" s="1473">
        <f>AH26/AH63*100</f>
        <v>3.2205695807344212E-2</v>
      </c>
      <c r="H26" s="1474"/>
      <c r="I26" s="1474">
        <v>0.33</v>
      </c>
      <c r="J26" s="678"/>
      <c r="K26" s="678"/>
      <c r="L26" s="678">
        <v>1</v>
      </c>
      <c r="M26" s="677"/>
      <c r="N26" s="677"/>
      <c r="O26" s="677">
        <v>551</v>
      </c>
      <c r="P26" s="677"/>
      <c r="Q26" s="678"/>
      <c r="R26" s="678">
        <v>1</v>
      </c>
      <c r="S26" s="677"/>
      <c r="T26" s="677"/>
      <c r="U26" s="677">
        <v>551</v>
      </c>
      <c r="V26" s="678"/>
      <c r="W26" s="678"/>
      <c r="X26" s="678">
        <v>1</v>
      </c>
      <c r="Y26" s="677"/>
      <c r="Z26" s="677"/>
      <c r="AA26" s="677">
        <v>551</v>
      </c>
      <c r="AB26" s="678"/>
      <c r="AC26" s="678"/>
      <c r="AD26" s="678">
        <v>1</v>
      </c>
      <c r="AE26" s="677"/>
      <c r="AF26" s="677"/>
      <c r="AG26" s="677">
        <v>552</v>
      </c>
      <c r="AH26" s="1283">
        <f>M26+N26+O26+S26+T26+U26+Y26+Z26+AA26+AE26+AF26+AG26</f>
        <v>2205</v>
      </c>
      <c r="AI26" s="677">
        <v>2205</v>
      </c>
      <c r="AJ26" s="677"/>
      <c r="AK26" s="677"/>
      <c r="AL26" s="677"/>
      <c r="AM26" s="677"/>
      <c r="AN26" s="677"/>
      <c r="AO26" s="1475" t="s">
        <v>3411</v>
      </c>
      <c r="AP26" s="1476" t="s">
        <v>3412</v>
      </c>
      <c r="AQ26" s="1477"/>
    </row>
    <row r="27" spans="1:43" ht="135">
      <c r="A27" s="1470" t="s">
        <v>3431</v>
      </c>
      <c r="B27" s="1471" t="s">
        <v>3432</v>
      </c>
      <c r="C27" s="1480">
        <v>8</v>
      </c>
      <c r="D27" s="1284" t="s">
        <v>71</v>
      </c>
      <c r="E27" s="1284" t="s">
        <v>3433</v>
      </c>
      <c r="F27" s="1284" t="s">
        <v>3434</v>
      </c>
      <c r="G27" s="1473">
        <f>AH27/AH63*100</f>
        <v>3.2205695807344212E-2</v>
      </c>
      <c r="H27" s="1474"/>
      <c r="I27" s="1474">
        <v>0.33</v>
      </c>
      <c r="J27" s="678"/>
      <c r="K27" s="678"/>
      <c r="L27" s="678">
        <v>2</v>
      </c>
      <c r="M27" s="677"/>
      <c r="N27" s="677"/>
      <c r="O27" s="677">
        <v>551</v>
      </c>
      <c r="P27" s="677"/>
      <c r="Q27" s="678"/>
      <c r="R27" s="678">
        <v>2</v>
      </c>
      <c r="S27" s="677"/>
      <c r="T27" s="677"/>
      <c r="U27" s="677">
        <v>551</v>
      </c>
      <c r="V27" s="678"/>
      <c r="W27" s="678"/>
      <c r="X27" s="678">
        <v>2</v>
      </c>
      <c r="Y27" s="677"/>
      <c r="Z27" s="677"/>
      <c r="AA27" s="677">
        <v>551</v>
      </c>
      <c r="AB27" s="678"/>
      <c r="AC27" s="678"/>
      <c r="AD27" s="678">
        <v>2</v>
      </c>
      <c r="AE27" s="677"/>
      <c r="AF27" s="677"/>
      <c r="AG27" s="677">
        <v>552</v>
      </c>
      <c r="AH27" s="1283">
        <f t="shared" ref="AH27:AH30" si="12">M27+N27+O27+S27+T27+U27+Y27+Z27+AA27+AE27+AF27+AG27</f>
        <v>2205</v>
      </c>
      <c r="AI27" s="677">
        <v>2205</v>
      </c>
      <c r="AJ27" s="677"/>
      <c r="AK27" s="677"/>
      <c r="AL27" s="677"/>
      <c r="AM27" s="677"/>
      <c r="AN27" s="677"/>
      <c r="AO27" s="1475" t="s">
        <v>3411</v>
      </c>
      <c r="AP27" s="1476" t="s">
        <v>3412</v>
      </c>
      <c r="AQ27" s="1477"/>
    </row>
    <row r="28" spans="1:43" ht="150">
      <c r="A28" s="1470" t="s">
        <v>3435</v>
      </c>
      <c r="B28" s="1484" t="s">
        <v>3436</v>
      </c>
      <c r="C28" s="1485">
        <v>4</v>
      </c>
      <c r="D28" s="1484" t="s">
        <v>52</v>
      </c>
      <c r="E28" s="1484" t="s">
        <v>3437</v>
      </c>
      <c r="F28" s="1484" t="s">
        <v>3438</v>
      </c>
      <c r="G28" s="1473">
        <f>AH28/AH63*100</f>
        <v>2.9211515471514023E-2</v>
      </c>
      <c r="H28" s="1474"/>
      <c r="I28" s="1474">
        <v>0.34</v>
      </c>
      <c r="J28" s="678"/>
      <c r="K28" s="678"/>
      <c r="L28" s="678">
        <v>1</v>
      </c>
      <c r="M28" s="677"/>
      <c r="N28" s="677"/>
      <c r="O28" s="677">
        <v>500</v>
      </c>
      <c r="P28" s="677"/>
      <c r="Q28" s="678"/>
      <c r="R28" s="678">
        <v>1</v>
      </c>
      <c r="S28" s="677"/>
      <c r="T28" s="677"/>
      <c r="U28" s="677">
        <v>500</v>
      </c>
      <c r="V28" s="678"/>
      <c r="W28" s="678"/>
      <c r="X28" s="678">
        <v>1</v>
      </c>
      <c r="Y28" s="677"/>
      <c r="Z28" s="677"/>
      <c r="AA28" s="677">
        <v>500</v>
      </c>
      <c r="AB28" s="678"/>
      <c r="AC28" s="678"/>
      <c r="AD28" s="678">
        <v>1</v>
      </c>
      <c r="AE28" s="677"/>
      <c r="AF28" s="677"/>
      <c r="AG28" s="677">
        <v>500</v>
      </c>
      <c r="AH28" s="1283">
        <f t="shared" si="12"/>
        <v>2000</v>
      </c>
      <c r="AI28" s="677">
        <v>2000</v>
      </c>
      <c r="AJ28" s="677"/>
      <c r="AK28" s="677"/>
      <c r="AL28" s="677"/>
      <c r="AM28" s="677"/>
      <c r="AN28" s="677"/>
      <c r="AO28" s="1475" t="s">
        <v>3411</v>
      </c>
      <c r="AP28" s="1476" t="s">
        <v>3412</v>
      </c>
      <c r="AQ28" s="1477"/>
    </row>
    <row r="29" spans="1:43" ht="60">
      <c r="A29" s="1481" t="s">
        <v>3439</v>
      </c>
      <c r="B29" s="1481" t="s">
        <v>1029</v>
      </c>
      <c r="C29" s="1486"/>
      <c r="D29" s="1487"/>
      <c r="E29" s="1487"/>
      <c r="F29" s="1487"/>
      <c r="G29" s="1467">
        <f>AH29/AH63*100</f>
        <v>3.2205695807344212E-2</v>
      </c>
      <c r="H29" s="1467"/>
      <c r="I29" s="1467"/>
      <c r="J29" s="669">
        <f>SUM(J30)</f>
        <v>0</v>
      </c>
      <c r="K29" s="669">
        <f t="shared" ref="K29:N29" si="13">SUM(K30)</f>
        <v>0</v>
      </c>
      <c r="L29" s="669">
        <f t="shared" si="13"/>
        <v>0</v>
      </c>
      <c r="M29" s="670">
        <v>0</v>
      </c>
      <c r="N29" s="670">
        <f t="shared" si="13"/>
        <v>0</v>
      </c>
      <c r="O29" s="670"/>
      <c r="P29" s="670"/>
      <c r="Q29" s="669"/>
      <c r="R29" s="669"/>
      <c r="S29" s="670"/>
      <c r="T29" s="670"/>
      <c r="U29" s="670"/>
      <c r="V29" s="669"/>
      <c r="W29" s="669"/>
      <c r="X29" s="669"/>
      <c r="Y29" s="670"/>
      <c r="Z29" s="670"/>
      <c r="AA29" s="670"/>
      <c r="AB29" s="669"/>
      <c r="AC29" s="669"/>
      <c r="AD29" s="669"/>
      <c r="AE29" s="670"/>
      <c r="AF29" s="670"/>
      <c r="AG29" s="670">
        <f t="shared" ref="AG29" si="14">AG30</f>
        <v>2205</v>
      </c>
      <c r="AH29" s="1468">
        <f t="shared" si="12"/>
        <v>2205</v>
      </c>
      <c r="AI29" s="670">
        <f>+AI30</f>
        <v>2205</v>
      </c>
      <c r="AJ29" s="670"/>
      <c r="AK29" s="670"/>
      <c r="AL29" s="670"/>
      <c r="AM29" s="670"/>
      <c r="AN29" s="670"/>
      <c r="AO29" s="1469"/>
      <c r="AP29" s="667"/>
      <c r="AQ29" s="668"/>
    </row>
    <row r="30" spans="1:43" ht="150">
      <c r="A30" s="1470" t="s">
        <v>3440</v>
      </c>
      <c r="B30" s="1471" t="s">
        <v>3441</v>
      </c>
      <c r="C30" s="1480">
        <v>1</v>
      </c>
      <c r="D30" s="1284" t="s">
        <v>52</v>
      </c>
      <c r="E30" s="1284" t="s">
        <v>3442</v>
      </c>
      <c r="F30" s="1284" t="s">
        <v>3443</v>
      </c>
      <c r="G30" s="1473">
        <f>AH30/AH63</f>
        <v>3.2205695807344212E-4</v>
      </c>
      <c r="H30" s="1474"/>
      <c r="I30" s="1474">
        <v>1</v>
      </c>
      <c r="J30" s="678"/>
      <c r="K30" s="678"/>
      <c r="L30" s="678"/>
      <c r="M30" s="677"/>
      <c r="N30" s="677"/>
      <c r="O30" s="677"/>
      <c r="P30" s="677"/>
      <c r="Q30" s="678"/>
      <c r="R30" s="678"/>
      <c r="S30" s="677"/>
      <c r="T30" s="677"/>
      <c r="U30" s="677"/>
      <c r="V30" s="678"/>
      <c r="W30" s="678"/>
      <c r="X30" s="678"/>
      <c r="Y30" s="677"/>
      <c r="Z30" s="677"/>
      <c r="AA30" s="677"/>
      <c r="AB30" s="678"/>
      <c r="AC30" s="678"/>
      <c r="AD30" s="1480">
        <v>1</v>
      </c>
      <c r="AE30" s="677"/>
      <c r="AF30" s="677"/>
      <c r="AG30" s="677">
        <v>2205</v>
      </c>
      <c r="AH30" s="1283">
        <f t="shared" si="12"/>
        <v>2205</v>
      </c>
      <c r="AI30" s="677">
        <v>2205</v>
      </c>
      <c r="AJ30" s="677"/>
      <c r="AK30" s="677"/>
      <c r="AL30" s="677"/>
      <c r="AM30" s="677"/>
      <c r="AN30" s="677"/>
      <c r="AO30" s="1475" t="s">
        <v>3411</v>
      </c>
      <c r="AP30" s="1476" t="s">
        <v>3412</v>
      </c>
      <c r="AQ30" s="1477"/>
    </row>
    <row r="31" spans="1:43" ht="75">
      <c r="A31" s="1449" t="s">
        <v>3444</v>
      </c>
      <c r="B31" s="1449" t="s">
        <v>3445</v>
      </c>
      <c r="C31" s="1450"/>
      <c r="D31" s="1451"/>
      <c r="E31" s="1451"/>
      <c r="F31" s="1451"/>
      <c r="G31" s="1452">
        <f>AH31/AH63*100</f>
        <v>1.4605757735757013E-3</v>
      </c>
      <c r="H31" s="1452"/>
      <c r="I31" s="1452"/>
      <c r="J31" s="1453">
        <f>SUM(J32)</f>
        <v>0</v>
      </c>
      <c r="K31" s="1453">
        <v>0</v>
      </c>
      <c r="L31" s="1453">
        <f t="shared" ref="L31:N33" si="15">SUM(L32)</f>
        <v>0</v>
      </c>
      <c r="M31" s="1454">
        <v>0</v>
      </c>
      <c r="N31" s="1454">
        <f t="shared" si="15"/>
        <v>0</v>
      </c>
      <c r="O31" s="1454"/>
      <c r="P31" s="1454"/>
      <c r="Q31" s="1453"/>
      <c r="R31" s="1453"/>
      <c r="S31" s="1454"/>
      <c r="T31" s="1454"/>
      <c r="U31" s="1454"/>
      <c r="V31" s="1453"/>
      <c r="W31" s="1453"/>
      <c r="X31" s="1453"/>
      <c r="Y31" s="1454"/>
      <c r="Z31" s="1454"/>
      <c r="AA31" s="1454"/>
      <c r="AB31" s="1453"/>
      <c r="AC31" s="1453"/>
      <c r="AD31" s="1453"/>
      <c r="AE31" s="1454">
        <f>AE32</f>
        <v>100</v>
      </c>
      <c r="AF31" s="1454"/>
      <c r="AG31" s="1454"/>
      <c r="AH31" s="1454">
        <f>+AH32</f>
        <v>100</v>
      </c>
      <c r="AI31" s="1454"/>
      <c r="AJ31" s="1454"/>
      <c r="AK31" s="1454"/>
      <c r="AL31" s="1454">
        <f>AL32</f>
        <v>100</v>
      </c>
      <c r="AM31" s="1454"/>
      <c r="AN31" s="1454"/>
      <c r="AO31" s="1455"/>
      <c r="AP31" s="1456"/>
      <c r="AQ31" s="1457"/>
    </row>
    <row r="32" spans="1:43" ht="45">
      <c r="A32" s="1458" t="s">
        <v>3446</v>
      </c>
      <c r="B32" s="1460" t="s">
        <v>1503</v>
      </c>
      <c r="C32" s="1459"/>
      <c r="D32" s="1460"/>
      <c r="E32" s="1460"/>
      <c r="F32" s="1460"/>
      <c r="G32" s="1462">
        <f>AH32/AH63*100</f>
        <v>1.4605757735757013E-3</v>
      </c>
      <c r="H32" s="1462">
        <f>G32</f>
        <v>1.4605757735757013E-3</v>
      </c>
      <c r="I32" s="1461"/>
      <c r="J32" s="663">
        <f>SUM(J33)</f>
        <v>0</v>
      </c>
      <c r="K32" s="663"/>
      <c r="L32" s="663">
        <f t="shared" si="15"/>
        <v>0</v>
      </c>
      <c r="M32" s="664">
        <v>0</v>
      </c>
      <c r="N32" s="664">
        <f t="shared" si="15"/>
        <v>0</v>
      </c>
      <c r="O32" s="664"/>
      <c r="P32" s="664"/>
      <c r="Q32" s="663"/>
      <c r="R32" s="663"/>
      <c r="S32" s="664"/>
      <c r="T32" s="664"/>
      <c r="U32" s="664"/>
      <c r="V32" s="663"/>
      <c r="W32" s="663"/>
      <c r="X32" s="663"/>
      <c r="Y32" s="664"/>
      <c r="Z32" s="664"/>
      <c r="AA32" s="664"/>
      <c r="AB32" s="663"/>
      <c r="AC32" s="663"/>
      <c r="AD32" s="663"/>
      <c r="AE32" s="664">
        <f>AE33</f>
        <v>100</v>
      </c>
      <c r="AF32" s="664"/>
      <c r="AG32" s="664"/>
      <c r="AH32" s="664">
        <f>+AH33</f>
        <v>100</v>
      </c>
      <c r="AI32" s="664"/>
      <c r="AJ32" s="664"/>
      <c r="AK32" s="664"/>
      <c r="AL32" s="664">
        <f>AL33</f>
        <v>100</v>
      </c>
      <c r="AM32" s="664"/>
      <c r="AN32" s="664"/>
      <c r="AO32" s="1463"/>
      <c r="AP32" s="661"/>
      <c r="AQ32" s="662"/>
    </row>
    <row r="33" spans="1:43" ht="90">
      <c r="A33" s="1481" t="s">
        <v>3447</v>
      </c>
      <c r="B33" s="1481" t="s">
        <v>3448</v>
      </c>
      <c r="C33" s="1482"/>
      <c r="D33" s="1141"/>
      <c r="E33" s="1487"/>
      <c r="F33" s="1487"/>
      <c r="G33" s="1467">
        <f>AH33/AH63*100</f>
        <v>1.4605757735757013E-3</v>
      </c>
      <c r="H33" s="1467"/>
      <c r="I33" s="1467"/>
      <c r="J33" s="669">
        <f>SUM(J34)</f>
        <v>0</v>
      </c>
      <c r="K33" s="669"/>
      <c r="L33" s="669">
        <f t="shared" si="15"/>
        <v>0</v>
      </c>
      <c r="M33" s="670">
        <v>0</v>
      </c>
      <c r="N33" s="670"/>
      <c r="O33" s="670"/>
      <c r="P33" s="670"/>
      <c r="Q33" s="669"/>
      <c r="R33" s="669"/>
      <c r="S33" s="670"/>
      <c r="T33" s="670"/>
      <c r="U33" s="670"/>
      <c r="V33" s="669"/>
      <c r="W33" s="669"/>
      <c r="X33" s="669"/>
      <c r="Y33" s="670"/>
      <c r="Z33" s="670"/>
      <c r="AA33" s="670"/>
      <c r="AB33" s="669"/>
      <c r="AC33" s="669"/>
      <c r="AD33" s="669"/>
      <c r="AE33" s="670">
        <f>AE34</f>
        <v>100</v>
      </c>
      <c r="AF33" s="670"/>
      <c r="AG33" s="670"/>
      <c r="AH33" s="1468">
        <f>AH34</f>
        <v>100</v>
      </c>
      <c r="AI33" s="670"/>
      <c r="AJ33" s="670"/>
      <c r="AK33" s="670"/>
      <c r="AL33" s="670">
        <f>+AL34</f>
        <v>100</v>
      </c>
      <c r="AM33" s="670"/>
      <c r="AN33" s="670"/>
      <c r="AO33" s="1469"/>
      <c r="AP33" s="667"/>
      <c r="AQ33" s="668"/>
    </row>
    <row r="34" spans="1:43" ht="165">
      <c r="A34" s="1470" t="s">
        <v>3449</v>
      </c>
      <c r="B34" s="1471" t="s">
        <v>3450</v>
      </c>
      <c r="C34" s="1480">
        <v>2</v>
      </c>
      <c r="D34" s="1284" t="s">
        <v>57</v>
      </c>
      <c r="E34" s="1284" t="s">
        <v>3451</v>
      </c>
      <c r="F34" s="1284" t="s">
        <v>3452</v>
      </c>
      <c r="G34" s="1488">
        <f>AH34/AH63*100</f>
        <v>1.4605757735757013E-3</v>
      </c>
      <c r="H34" s="1474"/>
      <c r="I34" s="1474">
        <v>1</v>
      </c>
      <c r="J34" s="678"/>
      <c r="K34" s="678">
        <v>1</v>
      </c>
      <c r="L34" s="678"/>
      <c r="M34" s="677"/>
      <c r="N34" s="677"/>
      <c r="O34" s="677"/>
      <c r="P34" s="677"/>
      <c r="Q34" s="678"/>
      <c r="R34" s="678"/>
      <c r="S34" s="677"/>
      <c r="T34" s="677"/>
      <c r="U34" s="677"/>
      <c r="V34" s="678"/>
      <c r="W34" s="678"/>
      <c r="X34" s="678"/>
      <c r="Y34" s="677"/>
      <c r="Z34" s="677"/>
      <c r="AA34" s="677"/>
      <c r="AB34" s="678">
        <v>1</v>
      </c>
      <c r="AC34" s="1480"/>
      <c r="AD34" s="678"/>
      <c r="AE34" s="677">
        <v>100</v>
      </c>
      <c r="AF34" s="677"/>
      <c r="AG34" s="677"/>
      <c r="AH34" s="1283">
        <f>M34+N34+O34+S34+T34+U34+Y34+Z34+AA34+AE34+AF34+AG34</f>
        <v>100</v>
      </c>
      <c r="AI34" s="677"/>
      <c r="AJ34" s="677"/>
      <c r="AK34" s="677"/>
      <c r="AL34" s="677">
        <v>100</v>
      </c>
      <c r="AM34" s="677"/>
      <c r="AN34" s="677"/>
      <c r="AO34" s="1475" t="s">
        <v>3411</v>
      </c>
      <c r="AP34" s="1476" t="s">
        <v>3412</v>
      </c>
      <c r="AQ34" s="1477"/>
    </row>
    <row r="35" spans="1:43" ht="30">
      <c r="A35" s="1449" t="s">
        <v>3453</v>
      </c>
      <c r="B35" s="1449" t="s">
        <v>3454</v>
      </c>
      <c r="C35" s="1450"/>
      <c r="D35" s="1451"/>
      <c r="E35" s="1451"/>
      <c r="F35" s="1451"/>
      <c r="G35" s="1452">
        <f>AH35/AH63*100</f>
        <v>3.2278724596022997E-2</v>
      </c>
      <c r="H35" s="1452"/>
      <c r="I35" s="1452"/>
      <c r="J35" s="1453">
        <f>SUM(J36)</f>
        <v>0</v>
      </c>
      <c r="K35" s="1453">
        <f t="shared" ref="K35:N37" si="16">SUM(K36)</f>
        <v>0</v>
      </c>
      <c r="L35" s="1453">
        <f t="shared" si="16"/>
        <v>0</v>
      </c>
      <c r="M35" s="1454">
        <v>0</v>
      </c>
      <c r="N35" s="1454">
        <f t="shared" si="16"/>
        <v>0</v>
      </c>
      <c r="O35" s="1454"/>
      <c r="P35" s="1454"/>
      <c r="Q35" s="1453"/>
      <c r="R35" s="1453"/>
      <c r="S35" s="1454"/>
      <c r="T35" s="1454"/>
      <c r="U35" s="1454"/>
      <c r="V35" s="1453"/>
      <c r="W35" s="1453"/>
      <c r="X35" s="1453"/>
      <c r="Y35" s="1454"/>
      <c r="Z35" s="1454"/>
      <c r="AA35" s="1454"/>
      <c r="AB35" s="1453"/>
      <c r="AC35" s="1453"/>
      <c r="AD35" s="1453"/>
      <c r="AE35" s="1454">
        <f>AE36</f>
        <v>2210</v>
      </c>
      <c r="AF35" s="1454"/>
      <c r="AG35" s="1454"/>
      <c r="AH35" s="1454">
        <f t="shared" ref="AH35:AI37" si="17">+AH36</f>
        <v>2210</v>
      </c>
      <c r="AI35" s="1454">
        <f t="shared" si="17"/>
        <v>2210</v>
      </c>
      <c r="AJ35" s="1454"/>
      <c r="AK35" s="1454"/>
      <c r="AL35" s="1454">
        <f>AL36</f>
        <v>0</v>
      </c>
      <c r="AM35" s="1454"/>
      <c r="AN35" s="1454"/>
      <c r="AO35" s="1455"/>
      <c r="AP35" s="1456"/>
      <c r="AQ35" s="1457"/>
    </row>
    <row r="36" spans="1:43" ht="45">
      <c r="A36" s="1458" t="s">
        <v>3455</v>
      </c>
      <c r="B36" s="1458" t="s">
        <v>3456</v>
      </c>
      <c r="C36" s="1459"/>
      <c r="D36" s="1460"/>
      <c r="E36" s="1458"/>
      <c r="F36" s="1460"/>
      <c r="G36" s="1461">
        <f>AH36/AH63*100</f>
        <v>3.2278724596022997E-2</v>
      </c>
      <c r="H36" s="1462">
        <f>AH36/AH63*100</f>
        <v>3.2278724596022997E-2</v>
      </c>
      <c r="I36" s="1461"/>
      <c r="J36" s="663">
        <f>SUM(J37)</f>
        <v>0</v>
      </c>
      <c r="K36" s="663">
        <f t="shared" si="16"/>
        <v>0</v>
      </c>
      <c r="L36" s="663">
        <f t="shared" si="16"/>
        <v>0</v>
      </c>
      <c r="M36" s="664">
        <v>0</v>
      </c>
      <c r="N36" s="664">
        <f t="shared" si="16"/>
        <v>0</v>
      </c>
      <c r="O36" s="664"/>
      <c r="P36" s="664"/>
      <c r="Q36" s="663"/>
      <c r="R36" s="663"/>
      <c r="S36" s="664"/>
      <c r="T36" s="664"/>
      <c r="U36" s="664"/>
      <c r="V36" s="663"/>
      <c r="W36" s="663"/>
      <c r="X36" s="663"/>
      <c r="Y36" s="664"/>
      <c r="Z36" s="664"/>
      <c r="AA36" s="664"/>
      <c r="AB36" s="663"/>
      <c r="AC36" s="663"/>
      <c r="AD36" s="663"/>
      <c r="AE36" s="664">
        <f>AE37</f>
        <v>2210</v>
      </c>
      <c r="AF36" s="664"/>
      <c r="AG36" s="664"/>
      <c r="AH36" s="664">
        <f t="shared" si="17"/>
        <v>2210</v>
      </c>
      <c r="AI36" s="664">
        <f t="shared" si="17"/>
        <v>2210</v>
      </c>
      <c r="AJ36" s="664"/>
      <c r="AK36" s="664"/>
      <c r="AL36" s="664">
        <f>AL37</f>
        <v>0</v>
      </c>
      <c r="AM36" s="664"/>
      <c r="AN36" s="664"/>
      <c r="AO36" s="1463"/>
      <c r="AP36" s="661"/>
      <c r="AQ36" s="662"/>
    </row>
    <row r="37" spans="1:43" ht="75">
      <c r="A37" s="1464" t="s">
        <v>3457</v>
      </c>
      <c r="B37" s="1464" t="s">
        <v>3458</v>
      </c>
      <c r="C37" s="1489"/>
      <c r="D37" s="1141"/>
      <c r="E37" s="1141"/>
      <c r="F37" s="1141"/>
      <c r="G37" s="1467">
        <f>AH37/AH63*100</f>
        <v>3.2278724596022997E-2</v>
      </c>
      <c r="H37" s="1467"/>
      <c r="I37" s="1467"/>
      <c r="J37" s="669">
        <f>SUM(J38)</f>
        <v>0</v>
      </c>
      <c r="K37" s="669">
        <f t="shared" si="16"/>
        <v>0</v>
      </c>
      <c r="L37" s="669">
        <f t="shared" si="16"/>
        <v>0</v>
      </c>
      <c r="M37" s="670">
        <v>0</v>
      </c>
      <c r="N37" s="670">
        <f t="shared" si="16"/>
        <v>0</v>
      </c>
      <c r="O37" s="670"/>
      <c r="P37" s="670"/>
      <c r="Q37" s="669"/>
      <c r="R37" s="669"/>
      <c r="S37" s="670"/>
      <c r="T37" s="670"/>
      <c r="U37" s="670"/>
      <c r="V37" s="669"/>
      <c r="W37" s="669"/>
      <c r="X37" s="669"/>
      <c r="Y37" s="670"/>
      <c r="Z37" s="670"/>
      <c r="AA37" s="670"/>
      <c r="AB37" s="669"/>
      <c r="AC37" s="669"/>
      <c r="AD37" s="669"/>
      <c r="AE37" s="670">
        <f>AE38</f>
        <v>2210</v>
      </c>
      <c r="AF37" s="670"/>
      <c r="AG37" s="670"/>
      <c r="AH37" s="1468">
        <f>M37+N37+O37+S37+T37+U37+Y37+Z37+AA37+AE37+AF37+AG37</f>
        <v>2210</v>
      </c>
      <c r="AI37" s="670">
        <f t="shared" si="17"/>
        <v>2210</v>
      </c>
      <c r="AJ37" s="670"/>
      <c r="AK37" s="670"/>
      <c r="AL37" s="670">
        <f>AL38</f>
        <v>0</v>
      </c>
      <c r="AM37" s="670"/>
      <c r="AN37" s="670"/>
      <c r="AO37" s="1469"/>
      <c r="AP37" s="667"/>
      <c r="AQ37" s="668"/>
    </row>
    <row r="38" spans="1:43" ht="105">
      <c r="A38" s="1470" t="s">
        <v>3459</v>
      </c>
      <c r="B38" s="1471" t="s">
        <v>3460</v>
      </c>
      <c r="C38" s="1480">
        <v>5</v>
      </c>
      <c r="D38" s="1284" t="s">
        <v>159</v>
      </c>
      <c r="E38" s="1284" t="s">
        <v>3461</v>
      </c>
      <c r="F38" s="1284" t="s">
        <v>3462</v>
      </c>
      <c r="G38" s="1473">
        <f>AH38/AH63*100</f>
        <v>3.2278724596022997E-2</v>
      </c>
      <c r="H38" s="1474"/>
      <c r="I38" s="1474">
        <v>1</v>
      </c>
      <c r="J38" s="678"/>
      <c r="K38" s="678"/>
      <c r="L38" s="678"/>
      <c r="M38" s="677"/>
      <c r="N38" s="677"/>
      <c r="O38" s="677"/>
      <c r="P38" s="677"/>
      <c r="Q38" s="678"/>
      <c r="R38" s="678"/>
      <c r="S38" s="677"/>
      <c r="T38" s="677"/>
      <c r="U38" s="677"/>
      <c r="V38" s="678"/>
      <c r="W38" s="678"/>
      <c r="X38" s="678"/>
      <c r="Y38" s="677"/>
      <c r="Z38" s="677"/>
      <c r="AA38" s="677"/>
      <c r="AB38" s="678">
        <v>5</v>
      </c>
      <c r="AC38" s="678"/>
      <c r="AD38" s="678"/>
      <c r="AE38" s="677">
        <v>2210</v>
      </c>
      <c r="AF38" s="677"/>
      <c r="AG38" s="677"/>
      <c r="AH38" s="1283">
        <f>M38+N38+O38+S38+T38+U38+Y38+Z38+AA38+AE38+AF38+AG38</f>
        <v>2210</v>
      </c>
      <c r="AI38" s="677">
        <v>2210</v>
      </c>
      <c r="AJ38" s="677"/>
      <c r="AK38" s="677"/>
      <c r="AL38" s="677"/>
      <c r="AM38" s="677"/>
      <c r="AN38" s="677"/>
      <c r="AO38" s="1475" t="s">
        <v>3411</v>
      </c>
      <c r="AP38" s="1476" t="s">
        <v>3412</v>
      </c>
      <c r="AQ38" s="1477"/>
    </row>
    <row r="39" spans="1:43" ht="30">
      <c r="A39" s="1440" t="s">
        <v>737</v>
      </c>
      <c r="B39" s="1440" t="s">
        <v>3463</v>
      </c>
      <c r="C39" s="1441"/>
      <c r="D39" s="1442"/>
      <c r="E39" s="1442"/>
      <c r="F39" s="1442"/>
      <c r="G39" s="1443">
        <f>AH39/AH63*100</f>
        <v>47.968813786082606</v>
      </c>
      <c r="H39" s="1443"/>
      <c r="I39" s="1443"/>
      <c r="J39" s="1444">
        <f>SUM(J40)</f>
        <v>0</v>
      </c>
      <c r="K39" s="1444">
        <f t="shared" ref="K39:N40" si="18">SUM(K40)</f>
        <v>0</v>
      </c>
      <c r="L39" s="1444">
        <f t="shared" si="18"/>
        <v>0</v>
      </c>
      <c r="M39" s="1445">
        <f>M40+M50</f>
        <v>1805</v>
      </c>
      <c r="N39" s="1445">
        <f t="shared" si="18"/>
        <v>0</v>
      </c>
      <c r="O39" s="1445">
        <f>O40+O50</f>
        <v>56398</v>
      </c>
      <c r="P39" s="1445"/>
      <c r="Q39" s="1444"/>
      <c r="R39" s="1444"/>
      <c r="S39" s="1445">
        <f>S40+S50</f>
        <v>345009</v>
      </c>
      <c r="T39" s="1445">
        <f t="shared" ref="T39:U40" si="19">T40+T50</f>
        <v>345009</v>
      </c>
      <c r="U39" s="1445">
        <f>U40+U50</f>
        <v>345010</v>
      </c>
      <c r="V39" s="1444"/>
      <c r="W39" s="1444"/>
      <c r="X39" s="1444"/>
      <c r="Y39" s="1445">
        <f>Y40+Y50</f>
        <v>345009</v>
      </c>
      <c r="Z39" s="1445">
        <f t="shared" ref="Z39:AA40" si="20">Z40+Z50</f>
        <v>345009</v>
      </c>
      <c r="AA39" s="1445">
        <f>AA40+AA50</f>
        <v>345010</v>
      </c>
      <c r="AB39" s="1444"/>
      <c r="AC39" s="1444"/>
      <c r="AD39" s="1444"/>
      <c r="AE39" s="1445">
        <f>AE40+AE50</f>
        <v>412509</v>
      </c>
      <c r="AF39" s="1445">
        <f t="shared" ref="AF39:AG40" si="21">AF40+AF50</f>
        <v>394759</v>
      </c>
      <c r="AG39" s="1445">
        <f>AG40+AG50</f>
        <v>348713</v>
      </c>
      <c r="AH39" s="1445">
        <f>O39+S39+T39+U39+M39+Y39+Z39+AA39+AE39+AF39+AG39</f>
        <v>3284240</v>
      </c>
      <c r="AI39" s="1445">
        <f>AI40+AI50</f>
        <v>2259573</v>
      </c>
      <c r="AJ39" s="1445"/>
      <c r="AK39" s="1445"/>
      <c r="AL39" s="1445">
        <f>AL40+AL50</f>
        <v>1024667</v>
      </c>
      <c r="AM39" s="1445"/>
      <c r="AN39" s="1445"/>
      <c r="AO39" s="1446"/>
      <c r="AP39" s="1447"/>
      <c r="AQ39" s="1448"/>
    </row>
    <row r="40" spans="1:43" ht="45">
      <c r="A40" s="1449" t="s">
        <v>3464</v>
      </c>
      <c r="B40" s="1449" t="s">
        <v>3465</v>
      </c>
      <c r="C40" s="1450"/>
      <c r="D40" s="1451"/>
      <c r="E40" s="1451"/>
      <c r="F40" s="1451"/>
      <c r="G40" s="1452">
        <f>AH40/AH63*100</f>
        <v>47.605495562405657</v>
      </c>
      <c r="H40" s="1452"/>
      <c r="I40" s="1452"/>
      <c r="J40" s="1453">
        <f>SUM(J41)</f>
        <v>0</v>
      </c>
      <c r="K40" s="1453">
        <f t="shared" si="18"/>
        <v>0</v>
      </c>
      <c r="L40" s="1453">
        <f t="shared" si="18"/>
        <v>0</v>
      </c>
      <c r="M40" s="1454">
        <f t="shared" ref="M40:O40" si="22">M41+M51</f>
        <v>1805</v>
      </c>
      <c r="N40" s="1454">
        <f t="shared" si="18"/>
        <v>0</v>
      </c>
      <c r="O40" s="1454">
        <f t="shared" si="22"/>
        <v>56398</v>
      </c>
      <c r="P40" s="1454"/>
      <c r="Q40" s="1453"/>
      <c r="R40" s="1453"/>
      <c r="S40" s="1454">
        <f>S41+S51</f>
        <v>345009</v>
      </c>
      <c r="T40" s="1454">
        <f t="shared" si="19"/>
        <v>345009</v>
      </c>
      <c r="U40" s="1454">
        <f t="shared" si="19"/>
        <v>345010</v>
      </c>
      <c r="V40" s="1453"/>
      <c r="W40" s="1453"/>
      <c r="X40" s="1453"/>
      <c r="Y40" s="1454">
        <f>Y41+Y51</f>
        <v>345009</v>
      </c>
      <c r="Z40" s="1454">
        <f t="shared" si="20"/>
        <v>345009</v>
      </c>
      <c r="AA40" s="1454">
        <f t="shared" si="20"/>
        <v>345010</v>
      </c>
      <c r="AB40" s="1453"/>
      <c r="AC40" s="1453"/>
      <c r="AD40" s="1453"/>
      <c r="AE40" s="1454">
        <f>AE41+AE51</f>
        <v>412509</v>
      </c>
      <c r="AF40" s="1454">
        <f t="shared" si="21"/>
        <v>369884</v>
      </c>
      <c r="AG40" s="1454">
        <f t="shared" si="21"/>
        <v>348713</v>
      </c>
      <c r="AH40" s="1454">
        <f>O40+S40+T40+U40+M40+Y40+Z40+AA40+AE40+AF40+AG40</f>
        <v>3259365</v>
      </c>
      <c r="AI40" s="1454">
        <f>AI41+AI51</f>
        <v>2234698</v>
      </c>
      <c r="AJ40" s="1454"/>
      <c r="AK40" s="1454"/>
      <c r="AL40" s="1454">
        <f>AL41</f>
        <v>1024667</v>
      </c>
      <c r="AM40" s="1454"/>
      <c r="AN40" s="1454"/>
      <c r="AO40" s="1455"/>
      <c r="AP40" s="1456"/>
      <c r="AQ40" s="1457"/>
    </row>
    <row r="41" spans="1:43" ht="30">
      <c r="A41" s="1458" t="s">
        <v>3466</v>
      </c>
      <c r="B41" s="1458" t="s">
        <v>3467</v>
      </c>
      <c r="C41" s="1459"/>
      <c r="D41" s="1460"/>
      <c r="E41" s="1460"/>
      <c r="F41" s="1460"/>
      <c r="G41" s="1461">
        <f>AH41/AH63*100</f>
        <v>47.242177338728702</v>
      </c>
      <c r="H41" s="1462">
        <f>AH41/AH63*100</f>
        <v>47.242177338728702</v>
      </c>
      <c r="I41" s="1461"/>
      <c r="J41" s="663"/>
      <c r="K41" s="663"/>
      <c r="L41" s="663"/>
      <c r="M41" s="664">
        <f t="shared" ref="M41:O41" si="23">M42+M44+M48+M46</f>
        <v>1805</v>
      </c>
      <c r="N41" s="664"/>
      <c r="O41" s="664">
        <f t="shared" si="23"/>
        <v>56398</v>
      </c>
      <c r="P41" s="664"/>
      <c r="Q41" s="663"/>
      <c r="R41" s="663"/>
      <c r="S41" s="664">
        <f>S42+S44+S48+S46</f>
        <v>345009</v>
      </c>
      <c r="T41" s="664">
        <f t="shared" ref="T41:U41" si="24">T42+T44+T48+T46</f>
        <v>345009</v>
      </c>
      <c r="U41" s="664">
        <f t="shared" si="24"/>
        <v>345010</v>
      </c>
      <c r="V41" s="663"/>
      <c r="W41" s="663"/>
      <c r="X41" s="663"/>
      <c r="Y41" s="664">
        <f>Y42+Y44+Y48+Y46</f>
        <v>345009</v>
      </c>
      <c r="Z41" s="664">
        <f t="shared" ref="Z41:AA41" si="25">Z42+Z44+Z48+Z46</f>
        <v>345009</v>
      </c>
      <c r="AA41" s="664">
        <f t="shared" si="25"/>
        <v>345010</v>
      </c>
      <c r="AB41" s="663"/>
      <c r="AC41" s="663"/>
      <c r="AD41" s="663"/>
      <c r="AE41" s="664">
        <f>AE42+AE44+AE48+AE46</f>
        <v>412509</v>
      </c>
      <c r="AF41" s="664">
        <f t="shared" ref="AF41:AG41" si="26">AF42+AF44+AF48+AF46</f>
        <v>345009</v>
      </c>
      <c r="AG41" s="664">
        <f t="shared" si="26"/>
        <v>348713</v>
      </c>
      <c r="AH41" s="664">
        <f>M41+N41+O41+S41+T41+U41+Y41+Z41+AA41+AE41+AF41+AG41</f>
        <v>3234490</v>
      </c>
      <c r="AI41" s="664">
        <f>AI42+AI44+AI48+AI46</f>
        <v>2209823</v>
      </c>
      <c r="AJ41" s="664"/>
      <c r="AK41" s="664"/>
      <c r="AL41" s="664">
        <f>AL42+AL44+AL48+AL46</f>
        <v>1024667</v>
      </c>
      <c r="AM41" s="664"/>
      <c r="AN41" s="664"/>
      <c r="AO41" s="1463"/>
      <c r="AP41" s="661"/>
      <c r="AQ41" s="662"/>
    </row>
    <row r="42" spans="1:43" ht="45">
      <c r="A42" s="1464" t="s">
        <v>3468</v>
      </c>
      <c r="B42" s="1464" t="s">
        <v>3469</v>
      </c>
      <c r="C42" s="1489"/>
      <c r="D42" s="1141"/>
      <c r="E42" s="1141"/>
      <c r="F42" s="1141"/>
      <c r="G42" s="1467">
        <f>AH42/AH63*100</f>
        <v>46.229925298852059</v>
      </c>
      <c r="H42" s="1467"/>
      <c r="I42" s="1467"/>
      <c r="J42" s="669">
        <f>SUM(J43)</f>
        <v>0</v>
      </c>
      <c r="K42" s="669">
        <f t="shared" ref="K42:N42" si="27">SUM(K43)</f>
        <v>0</v>
      </c>
      <c r="L42" s="669"/>
      <c r="M42" s="670">
        <v>0</v>
      </c>
      <c r="N42" s="670">
        <f t="shared" si="27"/>
        <v>0</v>
      </c>
      <c r="O42" s="670">
        <f>O43</f>
        <v>56398</v>
      </c>
      <c r="P42" s="670"/>
      <c r="Q42" s="669"/>
      <c r="R42" s="669"/>
      <c r="S42" s="670">
        <f>S43</f>
        <v>345009</v>
      </c>
      <c r="T42" s="670">
        <f>T43</f>
        <v>345009</v>
      </c>
      <c r="U42" s="670">
        <f>U43</f>
        <v>345010</v>
      </c>
      <c r="V42" s="669"/>
      <c r="W42" s="669"/>
      <c r="X42" s="669"/>
      <c r="Y42" s="670">
        <f>Y43</f>
        <v>345009</v>
      </c>
      <c r="Z42" s="670">
        <f>Z43</f>
        <v>345009</v>
      </c>
      <c r="AA42" s="670">
        <f>AA43</f>
        <v>345010</v>
      </c>
      <c r="AB42" s="669"/>
      <c r="AC42" s="669"/>
      <c r="AD42" s="669"/>
      <c r="AE42" s="670">
        <f>AE43</f>
        <v>345009</v>
      </c>
      <c r="AF42" s="670">
        <f>AF43</f>
        <v>345009</v>
      </c>
      <c r="AG42" s="670">
        <f>AG43</f>
        <v>348713</v>
      </c>
      <c r="AH42" s="1468">
        <f>M42+N42+O42+S42+T42+U42+Y42+Z42+AA42+AE42+AF42+AG42</f>
        <v>3165185</v>
      </c>
      <c r="AI42" s="670">
        <f>AH42-AL42</f>
        <v>2143018</v>
      </c>
      <c r="AJ42" s="670"/>
      <c r="AK42" s="670"/>
      <c r="AL42" s="670">
        <f>AL43</f>
        <v>1022167</v>
      </c>
      <c r="AM42" s="670"/>
      <c r="AN42" s="670"/>
      <c r="AO42" s="1469"/>
      <c r="AP42" s="667"/>
      <c r="AQ42" s="668"/>
    </row>
    <row r="43" spans="1:43" ht="45">
      <c r="A43" s="1470" t="s">
        <v>3470</v>
      </c>
      <c r="B43" s="1471" t="s">
        <v>3471</v>
      </c>
      <c r="C43" s="1480">
        <v>321</v>
      </c>
      <c r="D43" s="1284" t="s">
        <v>321</v>
      </c>
      <c r="E43" s="1284" t="s">
        <v>3472</v>
      </c>
      <c r="F43" s="1284" t="s">
        <v>3473</v>
      </c>
      <c r="G43" s="1473">
        <f>AH43/AH63*100</f>
        <v>46.229925298852059</v>
      </c>
      <c r="H43" s="1474"/>
      <c r="I43" s="1474">
        <v>0.75</v>
      </c>
      <c r="J43" s="1281"/>
      <c r="K43" s="1281"/>
      <c r="L43" s="1281">
        <v>320</v>
      </c>
      <c r="M43" s="1283"/>
      <c r="N43" s="1283"/>
      <c r="O43" s="1283">
        <v>56398</v>
      </c>
      <c r="P43" s="1281">
        <v>321</v>
      </c>
      <c r="Q43" s="1281">
        <v>318</v>
      </c>
      <c r="R43" s="1281">
        <v>318</v>
      </c>
      <c r="S43" s="1283">
        <v>345009</v>
      </c>
      <c r="T43" s="1283">
        <v>345009</v>
      </c>
      <c r="U43" s="1283">
        <v>345010</v>
      </c>
      <c r="V43" s="1281">
        <v>317</v>
      </c>
      <c r="W43" s="1281">
        <v>304</v>
      </c>
      <c r="X43" s="1281">
        <v>304</v>
      </c>
      <c r="Y43" s="1283">
        <v>345009</v>
      </c>
      <c r="Z43" s="1283">
        <v>345009</v>
      </c>
      <c r="AA43" s="1283">
        <v>345010</v>
      </c>
      <c r="AB43" s="1281">
        <v>304</v>
      </c>
      <c r="AC43" s="1281">
        <v>304</v>
      </c>
      <c r="AD43" s="1281">
        <v>304</v>
      </c>
      <c r="AE43" s="1283">
        <v>345009</v>
      </c>
      <c r="AF43" s="1283">
        <v>345009</v>
      </c>
      <c r="AG43" s="1283">
        <v>348713</v>
      </c>
      <c r="AH43" s="1283">
        <f t="shared" ref="AH43:AH49" si="28">M43+N43+O43+S43+T43+U43+Y43+Z43+AA43+AE43+AF43+AG43</f>
        <v>3165185</v>
      </c>
      <c r="AI43" s="677">
        <f>AH43-AL43</f>
        <v>2143018</v>
      </c>
      <c r="AJ43" s="1283"/>
      <c r="AK43" s="1283"/>
      <c r="AL43" s="1283">
        <v>1022167</v>
      </c>
      <c r="AM43" s="1283"/>
      <c r="AN43" s="1283"/>
      <c r="AO43" s="379" t="s">
        <v>3474</v>
      </c>
      <c r="AP43" s="379" t="s">
        <v>3475</v>
      </c>
      <c r="AQ43" s="379" t="s">
        <v>3476</v>
      </c>
    </row>
    <row r="44" spans="1:43" ht="60">
      <c r="A44" s="1464" t="s">
        <v>3477</v>
      </c>
      <c r="B44" s="1464" t="s">
        <v>3478</v>
      </c>
      <c r="C44" s="1489"/>
      <c r="D44" s="1483"/>
      <c r="E44" s="1141"/>
      <c r="F44" s="1141"/>
      <c r="G44" s="1467">
        <f>AH44/AH63*100</f>
        <v>3.6514394339392534E-2</v>
      </c>
      <c r="H44" s="1467"/>
      <c r="I44" s="1467"/>
      <c r="J44" s="669">
        <f>SUM(J45)</f>
        <v>0</v>
      </c>
      <c r="K44" s="669">
        <f t="shared" ref="K44:N44" si="29">SUM(K45)</f>
        <v>0</v>
      </c>
      <c r="L44" s="669">
        <f t="shared" si="29"/>
        <v>0</v>
      </c>
      <c r="M44" s="670">
        <v>0</v>
      </c>
      <c r="N44" s="670">
        <f t="shared" si="29"/>
        <v>0</v>
      </c>
      <c r="O44" s="670"/>
      <c r="P44" s="670"/>
      <c r="Q44" s="669"/>
      <c r="R44" s="669"/>
      <c r="S44" s="670"/>
      <c r="T44" s="670"/>
      <c r="U44" s="670"/>
      <c r="V44" s="669"/>
      <c r="W44" s="669"/>
      <c r="X44" s="669"/>
      <c r="Y44" s="670"/>
      <c r="Z44" s="670"/>
      <c r="AA44" s="670"/>
      <c r="AB44" s="666"/>
      <c r="AC44" s="669"/>
      <c r="AD44" s="669"/>
      <c r="AE44" s="670">
        <f>AE45</f>
        <v>2500</v>
      </c>
      <c r="AF44" s="670"/>
      <c r="AG44" s="670"/>
      <c r="AH44" s="1468">
        <f t="shared" si="28"/>
        <v>2500</v>
      </c>
      <c r="AI44" s="670"/>
      <c r="AJ44" s="670"/>
      <c r="AK44" s="670"/>
      <c r="AL44" s="670">
        <f>AL45</f>
        <v>2500</v>
      </c>
      <c r="AM44" s="670"/>
      <c r="AN44" s="670"/>
      <c r="AO44" s="1469"/>
      <c r="AP44" s="667"/>
      <c r="AQ44" s="668"/>
    </row>
    <row r="45" spans="1:43" ht="75">
      <c r="A45" s="1470" t="s">
        <v>3479</v>
      </c>
      <c r="B45" s="1471" t="s">
        <v>3480</v>
      </c>
      <c r="C45" s="1480">
        <v>1</v>
      </c>
      <c r="D45" s="1284" t="s">
        <v>2908</v>
      </c>
      <c r="E45" s="1284" t="s">
        <v>3481</v>
      </c>
      <c r="F45" s="1284" t="s">
        <v>3482</v>
      </c>
      <c r="G45" s="1473">
        <f>AH45/AH63*100</f>
        <v>3.6514394339392534E-2</v>
      </c>
      <c r="H45" s="1474"/>
      <c r="I45" s="1474">
        <v>1</v>
      </c>
      <c r="J45" s="678"/>
      <c r="K45" s="678"/>
      <c r="L45" s="678"/>
      <c r="M45" s="677"/>
      <c r="N45" s="677"/>
      <c r="O45" s="677"/>
      <c r="P45" s="677"/>
      <c r="Q45" s="678"/>
      <c r="R45" s="678"/>
      <c r="S45" s="677"/>
      <c r="T45" s="677"/>
      <c r="U45" s="677"/>
      <c r="V45" s="678"/>
      <c r="W45" s="678"/>
      <c r="X45" s="678"/>
      <c r="Y45" s="677"/>
      <c r="Z45" s="677"/>
      <c r="AA45" s="677"/>
      <c r="AB45" s="1480">
        <v>1</v>
      </c>
      <c r="AC45" s="678"/>
      <c r="AD45" s="678"/>
      <c r="AE45" s="677">
        <v>2500</v>
      </c>
      <c r="AF45" s="677"/>
      <c r="AG45" s="677"/>
      <c r="AH45" s="677">
        <f t="shared" si="28"/>
        <v>2500</v>
      </c>
      <c r="AI45" s="677"/>
      <c r="AJ45" s="677"/>
      <c r="AK45" s="677"/>
      <c r="AL45" s="677">
        <v>2500</v>
      </c>
      <c r="AM45" s="677"/>
      <c r="AN45" s="677"/>
      <c r="AO45" s="1475" t="s">
        <v>3411</v>
      </c>
      <c r="AP45" s="1476" t="s">
        <v>3412</v>
      </c>
      <c r="AQ45" s="1477"/>
    </row>
    <row r="46" spans="1:43" ht="120">
      <c r="A46" s="1464" t="s">
        <v>3483</v>
      </c>
      <c r="B46" s="1464" t="s">
        <v>3484</v>
      </c>
      <c r="C46" s="1489"/>
      <c r="D46" s="1141"/>
      <c r="E46" s="1141"/>
      <c r="F46" s="1141"/>
      <c r="G46" s="1467">
        <f>AH46/AH63*100</f>
        <v>2.636339271304141E-2</v>
      </c>
      <c r="H46" s="1467"/>
      <c r="I46" s="1467"/>
      <c r="J46" s="669"/>
      <c r="K46" s="669">
        <f t="shared" ref="K46:N46" si="30">SUM(K47)</f>
        <v>0</v>
      </c>
      <c r="L46" s="669">
        <f t="shared" si="30"/>
        <v>0</v>
      </c>
      <c r="M46" s="670">
        <f>M47</f>
        <v>1805</v>
      </c>
      <c r="N46" s="670">
        <f t="shared" si="30"/>
        <v>0</v>
      </c>
      <c r="O46" s="670"/>
      <c r="P46" s="670"/>
      <c r="Q46" s="669"/>
      <c r="R46" s="669"/>
      <c r="S46" s="670"/>
      <c r="T46" s="670"/>
      <c r="U46" s="670"/>
      <c r="V46" s="669"/>
      <c r="W46" s="669"/>
      <c r="X46" s="669"/>
      <c r="Y46" s="670"/>
      <c r="Z46" s="670"/>
      <c r="AA46" s="670"/>
      <c r="AB46" s="669"/>
      <c r="AC46" s="669"/>
      <c r="AD46" s="669"/>
      <c r="AE46" s="670"/>
      <c r="AF46" s="670"/>
      <c r="AG46" s="670"/>
      <c r="AH46" s="1468">
        <f t="shared" si="28"/>
        <v>1805</v>
      </c>
      <c r="AI46" s="670">
        <f>AI47</f>
        <v>1805</v>
      </c>
      <c r="AJ46" s="670"/>
      <c r="AK46" s="670"/>
      <c r="AL46" s="670"/>
      <c r="AM46" s="670"/>
      <c r="AN46" s="670"/>
      <c r="AO46" s="1469"/>
      <c r="AP46" s="667"/>
      <c r="AQ46" s="668"/>
    </row>
    <row r="47" spans="1:43" ht="105">
      <c r="A47" s="1470" t="s">
        <v>3485</v>
      </c>
      <c r="B47" s="1471" t="s">
        <v>3486</v>
      </c>
      <c r="C47" s="1480">
        <v>150</v>
      </c>
      <c r="D47" s="1284" t="s">
        <v>747</v>
      </c>
      <c r="E47" s="1284" t="s">
        <v>3487</v>
      </c>
      <c r="F47" s="1284" t="s">
        <v>749</v>
      </c>
      <c r="G47" s="1473">
        <f>AH47/AH63*100</f>
        <v>2.636339271304141E-2</v>
      </c>
      <c r="H47" s="1474"/>
      <c r="I47" s="1474">
        <v>1</v>
      </c>
      <c r="J47" s="678">
        <v>150</v>
      </c>
      <c r="K47" s="678"/>
      <c r="L47" s="678"/>
      <c r="M47" s="677">
        <v>1805</v>
      </c>
      <c r="N47" s="677"/>
      <c r="O47" s="677"/>
      <c r="P47" s="1480"/>
      <c r="Q47" s="678"/>
      <c r="R47" s="678"/>
      <c r="S47" s="677"/>
      <c r="T47" s="677"/>
      <c r="U47" s="677"/>
      <c r="V47" s="678"/>
      <c r="W47" s="678"/>
      <c r="X47" s="678"/>
      <c r="Y47" s="677"/>
      <c r="Z47" s="677"/>
      <c r="AA47" s="677"/>
      <c r="AB47" s="678"/>
      <c r="AC47" s="678"/>
      <c r="AD47" s="678"/>
      <c r="AE47" s="677"/>
      <c r="AF47" s="677"/>
      <c r="AG47" s="677"/>
      <c r="AH47" s="677">
        <f t="shared" si="28"/>
        <v>1805</v>
      </c>
      <c r="AI47" s="677">
        <v>1805</v>
      </c>
      <c r="AJ47" s="677"/>
      <c r="AK47" s="677"/>
      <c r="AL47" s="677"/>
      <c r="AM47" s="677"/>
      <c r="AN47" s="677"/>
      <c r="AO47" s="1475" t="s">
        <v>3411</v>
      </c>
      <c r="AP47" s="1476" t="s">
        <v>3412</v>
      </c>
      <c r="AQ47" s="1477"/>
    </row>
    <row r="48" spans="1:43" ht="60">
      <c r="A48" s="1464" t="s">
        <v>3488</v>
      </c>
      <c r="B48" s="1141" t="s">
        <v>3489</v>
      </c>
      <c r="C48" s="1482"/>
      <c r="D48" s="1141"/>
      <c r="E48" s="1141"/>
      <c r="F48" s="1141"/>
      <c r="G48" s="1467">
        <f>AH48/AH63*100</f>
        <v>0.94937425282420584</v>
      </c>
      <c r="H48" s="1467"/>
      <c r="I48" s="1467"/>
      <c r="J48" s="669">
        <f>SUM(J49)</f>
        <v>0</v>
      </c>
      <c r="K48" s="669">
        <f t="shared" ref="K48:N48" si="31">SUM(K49)</f>
        <v>0</v>
      </c>
      <c r="L48" s="669">
        <f t="shared" si="31"/>
        <v>0</v>
      </c>
      <c r="M48" s="670">
        <v>0</v>
      </c>
      <c r="N48" s="670">
        <f t="shared" si="31"/>
        <v>0</v>
      </c>
      <c r="O48" s="670"/>
      <c r="P48" s="666"/>
      <c r="Q48" s="669"/>
      <c r="R48" s="669"/>
      <c r="S48" s="670"/>
      <c r="T48" s="670"/>
      <c r="U48" s="670"/>
      <c r="V48" s="669"/>
      <c r="W48" s="669"/>
      <c r="X48" s="669"/>
      <c r="Y48" s="670"/>
      <c r="Z48" s="670"/>
      <c r="AA48" s="670"/>
      <c r="AB48" s="669"/>
      <c r="AC48" s="669"/>
      <c r="AD48" s="669"/>
      <c r="AE48" s="670">
        <f>AE49</f>
        <v>65000</v>
      </c>
      <c r="AF48" s="670"/>
      <c r="AG48" s="670"/>
      <c r="AH48" s="1468">
        <f t="shared" si="28"/>
        <v>65000</v>
      </c>
      <c r="AI48" s="670">
        <f>AI49</f>
        <v>65000</v>
      </c>
      <c r="AJ48" s="670"/>
      <c r="AK48" s="670"/>
      <c r="AL48" s="670"/>
      <c r="AM48" s="670"/>
      <c r="AN48" s="670"/>
      <c r="AO48" s="1469"/>
      <c r="AP48" s="667"/>
      <c r="AQ48" s="668"/>
    </row>
    <row r="49" spans="1:43" ht="60">
      <c r="A49" s="1470" t="s">
        <v>3490</v>
      </c>
      <c r="B49" s="1284" t="s">
        <v>3491</v>
      </c>
      <c r="C49" s="1403">
        <v>35</v>
      </c>
      <c r="D49" s="673" t="s">
        <v>50</v>
      </c>
      <c r="E49" s="1284" t="s">
        <v>3492</v>
      </c>
      <c r="F49" s="1284" t="s">
        <v>314</v>
      </c>
      <c r="G49" s="1473">
        <f>AH49/AH63*100</f>
        <v>0.94937425282420584</v>
      </c>
      <c r="H49" s="1474"/>
      <c r="I49" s="1473">
        <v>0</v>
      </c>
      <c r="J49" s="678"/>
      <c r="K49" s="678"/>
      <c r="L49" s="678"/>
      <c r="M49" s="677"/>
      <c r="N49" s="677"/>
      <c r="O49" s="677"/>
      <c r="P49" s="1480"/>
      <c r="Q49" s="678"/>
      <c r="R49" s="678"/>
      <c r="S49" s="677"/>
      <c r="T49" s="677"/>
      <c r="U49" s="677"/>
      <c r="V49" s="678"/>
      <c r="W49" s="678"/>
      <c r="X49" s="678"/>
      <c r="Y49" s="677"/>
      <c r="Z49" s="677"/>
      <c r="AA49" s="677"/>
      <c r="AB49" s="678">
        <v>35</v>
      </c>
      <c r="AC49" s="678"/>
      <c r="AD49" s="678"/>
      <c r="AE49" s="677">
        <v>65000</v>
      </c>
      <c r="AF49" s="677"/>
      <c r="AG49" s="677"/>
      <c r="AH49" s="1490">
        <f t="shared" si="28"/>
        <v>65000</v>
      </c>
      <c r="AI49" s="677">
        <v>65000</v>
      </c>
      <c r="AJ49" s="677"/>
      <c r="AK49" s="677"/>
      <c r="AL49" s="677"/>
      <c r="AM49" s="677"/>
      <c r="AN49" s="677"/>
      <c r="AO49" s="1475" t="s">
        <v>3411</v>
      </c>
      <c r="AP49" s="1476" t="s">
        <v>3412</v>
      </c>
      <c r="AQ49" s="1477"/>
    </row>
    <row r="50" spans="1:43" ht="45">
      <c r="A50" s="1449" t="s">
        <v>739</v>
      </c>
      <c r="B50" s="1449" t="s">
        <v>3493</v>
      </c>
      <c r="C50" s="1450"/>
      <c r="D50" s="1451"/>
      <c r="E50" s="1451"/>
      <c r="F50" s="1451"/>
      <c r="G50" s="1452">
        <f>AH50/AH63*100</f>
        <v>0.36331822367695571</v>
      </c>
      <c r="H50" s="1452"/>
      <c r="I50" s="1452"/>
      <c r="J50" s="1453">
        <f>SUM(J51)</f>
        <v>0</v>
      </c>
      <c r="K50" s="1453">
        <f t="shared" ref="K50:N52" si="32">SUM(K51)</f>
        <v>0</v>
      </c>
      <c r="L50" s="1453">
        <f t="shared" si="32"/>
        <v>0</v>
      </c>
      <c r="M50" s="1454">
        <v>0</v>
      </c>
      <c r="N50" s="1454">
        <f t="shared" si="32"/>
        <v>0</v>
      </c>
      <c r="O50" s="1454"/>
      <c r="P50" s="1454"/>
      <c r="Q50" s="1453"/>
      <c r="R50" s="1453"/>
      <c r="S50" s="1454"/>
      <c r="T50" s="1454"/>
      <c r="U50" s="1454"/>
      <c r="V50" s="1453"/>
      <c r="W50" s="1453"/>
      <c r="X50" s="1453"/>
      <c r="Y50" s="1454"/>
      <c r="Z50" s="1454"/>
      <c r="AA50" s="1454"/>
      <c r="AB50" s="1453"/>
      <c r="AC50" s="1453"/>
      <c r="AD50" s="1453"/>
      <c r="AE50" s="1454"/>
      <c r="AF50" s="1454">
        <f t="shared" ref="AF50:AI52" si="33">AF51</f>
        <v>24875</v>
      </c>
      <c r="AG50" s="1454">
        <f t="shared" si="33"/>
        <v>0</v>
      </c>
      <c r="AH50" s="1454">
        <f t="shared" si="33"/>
        <v>24875</v>
      </c>
      <c r="AI50" s="1454">
        <f t="shared" si="33"/>
        <v>24875</v>
      </c>
      <c r="AJ50" s="1454"/>
      <c r="AK50" s="1454"/>
      <c r="AL50" s="1454"/>
      <c r="AM50" s="1454"/>
      <c r="AN50" s="1454"/>
      <c r="AO50" s="1455"/>
      <c r="AP50" s="1456"/>
      <c r="AQ50" s="1457"/>
    </row>
    <row r="51" spans="1:43" ht="30">
      <c r="A51" s="1458" t="s">
        <v>741</v>
      </c>
      <c r="B51" s="1458" t="s">
        <v>742</v>
      </c>
      <c r="C51" s="1459"/>
      <c r="D51" s="1460"/>
      <c r="E51" s="1460"/>
      <c r="F51" s="1460"/>
      <c r="G51" s="1461">
        <f>AH51/AH63*100</f>
        <v>0.36331822367695571</v>
      </c>
      <c r="H51" s="1462">
        <f>AH51/AH63*100</f>
        <v>0.36331822367695571</v>
      </c>
      <c r="I51" s="1461"/>
      <c r="J51" s="663">
        <f>SUM(J52)</f>
        <v>0</v>
      </c>
      <c r="K51" s="663">
        <f t="shared" si="32"/>
        <v>0</v>
      </c>
      <c r="L51" s="663">
        <f t="shared" si="32"/>
        <v>0</v>
      </c>
      <c r="M51" s="664">
        <v>0</v>
      </c>
      <c r="N51" s="664">
        <f t="shared" si="32"/>
        <v>0</v>
      </c>
      <c r="O51" s="664"/>
      <c r="P51" s="664"/>
      <c r="Q51" s="663"/>
      <c r="R51" s="663"/>
      <c r="S51" s="664"/>
      <c r="T51" s="664"/>
      <c r="U51" s="664"/>
      <c r="V51" s="663"/>
      <c r="W51" s="663"/>
      <c r="X51" s="663"/>
      <c r="Y51" s="664"/>
      <c r="Z51" s="664"/>
      <c r="AA51" s="664"/>
      <c r="AB51" s="663"/>
      <c r="AC51" s="663"/>
      <c r="AD51" s="663"/>
      <c r="AE51" s="664"/>
      <c r="AF51" s="664">
        <f t="shared" si="33"/>
        <v>24875</v>
      </c>
      <c r="AG51" s="664">
        <f t="shared" si="33"/>
        <v>0</v>
      </c>
      <c r="AH51" s="664">
        <f>AH52</f>
        <v>24875</v>
      </c>
      <c r="AI51" s="664">
        <f>AI52</f>
        <v>24875</v>
      </c>
      <c r="AJ51" s="664"/>
      <c r="AK51" s="664"/>
      <c r="AL51" s="664"/>
      <c r="AM51" s="664"/>
      <c r="AN51" s="664"/>
      <c r="AO51" s="1463"/>
      <c r="AP51" s="661"/>
      <c r="AQ51" s="662"/>
    </row>
    <row r="52" spans="1:43" ht="45">
      <c r="A52" s="665" t="s">
        <v>3494</v>
      </c>
      <c r="B52" s="665" t="s">
        <v>3495</v>
      </c>
      <c r="C52" s="669"/>
      <c r="D52" s="667"/>
      <c r="E52" s="667"/>
      <c r="F52" s="667"/>
      <c r="G52" s="1467">
        <f>AH52/AH63*100</f>
        <v>0.36331822367695571</v>
      </c>
      <c r="H52" s="1467"/>
      <c r="I52" s="1467"/>
      <c r="J52" s="669">
        <f>SUM(J53)</f>
        <v>0</v>
      </c>
      <c r="K52" s="669">
        <f t="shared" si="32"/>
        <v>0</v>
      </c>
      <c r="L52" s="669">
        <f t="shared" si="32"/>
        <v>0</v>
      </c>
      <c r="M52" s="670">
        <v>0</v>
      </c>
      <c r="N52" s="670">
        <f t="shared" si="32"/>
        <v>0</v>
      </c>
      <c r="O52" s="670"/>
      <c r="P52" s="670"/>
      <c r="Q52" s="669"/>
      <c r="R52" s="669"/>
      <c r="S52" s="670"/>
      <c r="T52" s="670"/>
      <c r="U52" s="670"/>
      <c r="V52" s="669"/>
      <c r="W52" s="669"/>
      <c r="X52" s="669"/>
      <c r="Y52" s="670"/>
      <c r="Z52" s="670"/>
      <c r="AA52" s="670"/>
      <c r="AB52" s="669"/>
      <c r="AC52" s="669"/>
      <c r="AD52" s="669"/>
      <c r="AE52" s="670"/>
      <c r="AF52" s="670">
        <f t="shared" si="33"/>
        <v>24875</v>
      </c>
      <c r="AG52" s="670">
        <f t="shared" si="33"/>
        <v>0</v>
      </c>
      <c r="AH52" s="1468">
        <f>M52+N52+O52+S52+T52+U52+Y52+Z52+AA52+AE52+AF52+AG52</f>
        <v>24875</v>
      </c>
      <c r="AI52" s="670">
        <f t="shared" si="33"/>
        <v>24875</v>
      </c>
      <c r="AJ52" s="670"/>
      <c r="AK52" s="670"/>
      <c r="AL52" s="670"/>
      <c r="AM52" s="670"/>
      <c r="AN52" s="670"/>
      <c r="AO52" s="1469"/>
      <c r="AP52" s="667"/>
      <c r="AQ52" s="668"/>
    </row>
    <row r="53" spans="1:43" ht="60">
      <c r="A53" s="1470" t="s">
        <v>3496</v>
      </c>
      <c r="B53" s="1471" t="s">
        <v>3497</v>
      </c>
      <c r="C53" s="672">
        <v>3</v>
      </c>
      <c r="D53" s="1284" t="s">
        <v>889</v>
      </c>
      <c r="E53" s="1284" t="s">
        <v>3498</v>
      </c>
      <c r="F53" s="1284" t="s">
        <v>3499</v>
      </c>
      <c r="G53" s="1473">
        <f>AH53/AH63*100</f>
        <v>0.36331822367695571</v>
      </c>
      <c r="H53" s="1474"/>
      <c r="I53" s="1474">
        <v>1</v>
      </c>
      <c r="J53" s="678"/>
      <c r="K53" s="678"/>
      <c r="L53" s="678"/>
      <c r="M53" s="677"/>
      <c r="N53" s="677"/>
      <c r="O53" s="677"/>
      <c r="P53" s="677"/>
      <c r="Q53" s="678"/>
      <c r="R53" s="678"/>
      <c r="S53" s="677"/>
      <c r="T53" s="677"/>
      <c r="U53" s="677"/>
      <c r="V53" s="678"/>
      <c r="W53" s="678"/>
      <c r="X53" s="678"/>
      <c r="Y53" s="677"/>
      <c r="Z53" s="677"/>
      <c r="AA53" s="677"/>
      <c r="AB53" s="678"/>
      <c r="AC53" s="678">
        <v>3</v>
      </c>
      <c r="AD53" s="678"/>
      <c r="AE53" s="677"/>
      <c r="AF53" s="677">
        <v>24875</v>
      </c>
      <c r="AG53" s="677"/>
      <c r="AH53" s="1490">
        <f>M53+N53+O53+S53+T53+U53+Y53+Z53+AA53+AE53+AF53+AG53</f>
        <v>24875</v>
      </c>
      <c r="AI53" s="1490">
        <v>24875</v>
      </c>
      <c r="AJ53" s="677"/>
      <c r="AK53" s="677"/>
      <c r="AL53" s="677"/>
      <c r="AM53" s="677"/>
      <c r="AN53" s="677"/>
      <c r="AO53" s="1475" t="s">
        <v>3411</v>
      </c>
      <c r="AP53" s="1476" t="s">
        <v>3412</v>
      </c>
      <c r="AQ53" s="1477"/>
    </row>
    <row r="54" spans="1:43" ht="15">
      <c r="A54" s="1440" t="s">
        <v>763</v>
      </c>
      <c r="B54" s="1440" t="s">
        <v>3500</v>
      </c>
      <c r="C54" s="1441"/>
      <c r="D54" s="1442"/>
      <c r="E54" s="1442"/>
      <c r="F54" s="1442"/>
      <c r="G54" s="1443">
        <f>AH54/AH63*100</f>
        <v>51.832328822345055</v>
      </c>
      <c r="H54" s="1443"/>
      <c r="I54" s="1443"/>
      <c r="J54" s="1444">
        <f>SUM(J55)</f>
        <v>0</v>
      </c>
      <c r="K54" s="1444">
        <f t="shared" ref="K54:N57" si="34">SUM(K55)</f>
        <v>0</v>
      </c>
      <c r="L54" s="1444">
        <f t="shared" si="34"/>
        <v>0</v>
      </c>
      <c r="M54" s="1445">
        <v>0</v>
      </c>
      <c r="N54" s="1445">
        <f t="shared" si="34"/>
        <v>0</v>
      </c>
      <c r="O54" s="1445"/>
      <c r="P54" s="1445"/>
      <c r="Q54" s="1444"/>
      <c r="R54" s="1444"/>
      <c r="S54" s="1445"/>
      <c r="T54" s="1445"/>
      <c r="U54" s="1445"/>
      <c r="V54" s="1444"/>
      <c r="W54" s="1444"/>
      <c r="X54" s="1444"/>
      <c r="Y54" s="1445"/>
      <c r="Z54" s="1445"/>
      <c r="AA54" s="1445"/>
      <c r="AB54" s="1444"/>
      <c r="AC54" s="1444"/>
      <c r="AD54" s="1444"/>
      <c r="AE54" s="1445"/>
      <c r="AF54" s="1445">
        <f>AF55+AF59</f>
        <v>2047760</v>
      </c>
      <c r="AG54" s="1445">
        <f t="shared" ref="AG54" si="35">AG55+AG59</f>
        <v>1501000</v>
      </c>
      <c r="AH54" s="1445">
        <f>AH55+AH59</f>
        <v>3548760</v>
      </c>
      <c r="AI54" s="1445">
        <f>AI55+AI59</f>
        <v>1501000</v>
      </c>
      <c r="AJ54" s="1445"/>
      <c r="AK54" s="1445"/>
      <c r="AL54" s="1445"/>
      <c r="AM54" s="1445">
        <f>AM55+AM59</f>
        <v>2047760</v>
      </c>
      <c r="AN54" s="1445"/>
      <c r="AO54" s="1446"/>
      <c r="AP54" s="1447"/>
      <c r="AQ54" s="1448"/>
    </row>
    <row r="55" spans="1:43" ht="75">
      <c r="A55" s="355" t="s">
        <v>765</v>
      </c>
      <c r="B55" s="355" t="s">
        <v>766</v>
      </c>
      <c r="C55" s="356"/>
      <c r="D55" s="355"/>
      <c r="E55" s="355"/>
      <c r="F55" s="355"/>
      <c r="G55" s="1290"/>
      <c r="H55" s="1290"/>
      <c r="I55" s="1290"/>
      <c r="J55" s="356">
        <f>SUM(J56)</f>
        <v>0</v>
      </c>
      <c r="K55" s="356">
        <f t="shared" si="34"/>
        <v>0</v>
      </c>
      <c r="L55" s="356">
        <f t="shared" si="34"/>
        <v>0</v>
      </c>
      <c r="M55" s="1291">
        <v>0</v>
      </c>
      <c r="N55" s="1291">
        <f t="shared" si="34"/>
        <v>0</v>
      </c>
      <c r="O55" s="1291"/>
      <c r="P55" s="356"/>
      <c r="Q55" s="356"/>
      <c r="R55" s="356"/>
      <c r="S55" s="1291"/>
      <c r="T55" s="1291"/>
      <c r="U55" s="1291"/>
      <c r="V55" s="356"/>
      <c r="W55" s="356"/>
      <c r="X55" s="356"/>
      <c r="Y55" s="1291"/>
      <c r="Z55" s="1291"/>
      <c r="AA55" s="1291"/>
      <c r="AB55" s="356"/>
      <c r="AC55" s="356"/>
      <c r="AD55" s="356"/>
      <c r="AE55" s="1291"/>
      <c r="AF55" s="1291">
        <f t="shared" ref="AF55:AG57" si="36">AF56</f>
        <v>2047760</v>
      </c>
      <c r="AG55" s="1291">
        <f t="shared" si="36"/>
        <v>1500000</v>
      </c>
      <c r="AH55" s="1291">
        <f>AH56</f>
        <v>3547760</v>
      </c>
      <c r="AI55" s="1291">
        <f>AI56</f>
        <v>1500000</v>
      </c>
      <c r="AJ55" s="1291"/>
      <c r="AK55" s="1291"/>
      <c r="AL55" s="1291"/>
      <c r="AM55" s="1291">
        <f>AM56</f>
        <v>2047760</v>
      </c>
      <c r="AN55" s="1291"/>
      <c r="AO55" s="355"/>
      <c r="AP55" s="355"/>
      <c r="AQ55" s="355"/>
    </row>
    <row r="56" spans="1:43" ht="30">
      <c r="A56" s="363" t="s">
        <v>767</v>
      </c>
      <c r="B56" s="363" t="s">
        <v>768</v>
      </c>
      <c r="C56" s="364"/>
      <c r="D56" s="363"/>
      <c r="E56" s="363"/>
      <c r="F56" s="363"/>
      <c r="G56" s="1491"/>
      <c r="H56" s="1491"/>
      <c r="I56" s="1491"/>
      <c r="J56" s="364">
        <f>SUM(J57)</f>
        <v>0</v>
      </c>
      <c r="K56" s="364">
        <f t="shared" si="34"/>
        <v>0</v>
      </c>
      <c r="L56" s="364">
        <f t="shared" si="34"/>
        <v>0</v>
      </c>
      <c r="M56" s="1492">
        <v>0</v>
      </c>
      <c r="N56" s="1492">
        <f t="shared" si="34"/>
        <v>0</v>
      </c>
      <c r="O56" s="1492"/>
      <c r="P56" s="364"/>
      <c r="Q56" s="364"/>
      <c r="R56" s="364"/>
      <c r="S56" s="1492"/>
      <c r="T56" s="1492"/>
      <c r="U56" s="1492"/>
      <c r="V56" s="364"/>
      <c r="W56" s="364"/>
      <c r="X56" s="364"/>
      <c r="Y56" s="1492"/>
      <c r="Z56" s="1492"/>
      <c r="AA56" s="1492"/>
      <c r="AB56" s="364"/>
      <c r="AC56" s="364"/>
      <c r="AD56" s="364"/>
      <c r="AE56" s="1492"/>
      <c r="AF56" s="1492">
        <f t="shared" si="36"/>
        <v>2047760</v>
      </c>
      <c r="AG56" s="1492">
        <f t="shared" si="36"/>
        <v>1500000</v>
      </c>
      <c r="AH56" s="1492">
        <f>AH57</f>
        <v>3547760</v>
      </c>
      <c r="AI56" s="1492">
        <f>AI57</f>
        <v>1500000</v>
      </c>
      <c r="AJ56" s="1492"/>
      <c r="AK56" s="1492"/>
      <c r="AL56" s="1492"/>
      <c r="AM56" s="1492">
        <f>AM57</f>
        <v>2047760</v>
      </c>
      <c r="AN56" s="1492"/>
      <c r="AO56" s="363"/>
      <c r="AP56" s="363"/>
      <c r="AQ56" s="363"/>
    </row>
    <row r="57" spans="1:43" ht="45">
      <c r="A57" s="371" t="s">
        <v>3501</v>
      </c>
      <c r="B57" s="371" t="s">
        <v>3502</v>
      </c>
      <c r="C57" s="741">
        <v>8</v>
      </c>
      <c r="D57" s="371" t="s">
        <v>3503</v>
      </c>
      <c r="E57" s="371" t="s">
        <v>3504</v>
      </c>
      <c r="F57" s="18" t="s">
        <v>52</v>
      </c>
      <c r="G57" s="1493"/>
      <c r="H57" s="1493"/>
      <c r="I57" s="1493"/>
      <c r="J57" s="372">
        <f>SUM(J58)</f>
        <v>0</v>
      </c>
      <c r="K57" s="372">
        <f t="shared" si="34"/>
        <v>0</v>
      </c>
      <c r="L57" s="372">
        <f t="shared" si="34"/>
        <v>0</v>
      </c>
      <c r="M57" s="1468">
        <v>0</v>
      </c>
      <c r="N57" s="1468">
        <f t="shared" si="34"/>
        <v>0</v>
      </c>
      <c r="O57" s="1468"/>
      <c r="P57" s="372"/>
      <c r="Q57" s="372"/>
      <c r="R57" s="372"/>
      <c r="S57" s="1468"/>
      <c r="T57" s="1468"/>
      <c r="U57" s="1468"/>
      <c r="V57" s="372"/>
      <c r="W57" s="372"/>
      <c r="X57" s="372"/>
      <c r="Y57" s="1468"/>
      <c r="Z57" s="1468"/>
      <c r="AA57" s="1468"/>
      <c r="AB57" s="372"/>
      <c r="AC57" s="372"/>
      <c r="AD57" s="741">
        <v>8</v>
      </c>
      <c r="AE57" s="1468"/>
      <c r="AF57" s="1468">
        <f t="shared" si="36"/>
        <v>2047760</v>
      </c>
      <c r="AG57" s="1468">
        <f t="shared" si="36"/>
        <v>1500000</v>
      </c>
      <c r="AH57" s="1468">
        <f t="shared" ref="AH57:AH62" si="37">M57+N57+O57+S57+T57+U57+Y57+Z57+AA57+AE57+AF57+AG57</f>
        <v>3547760</v>
      </c>
      <c r="AI57" s="1468">
        <f>AI58</f>
        <v>1500000</v>
      </c>
      <c r="AJ57" s="1468"/>
      <c r="AK57" s="1468"/>
      <c r="AL57" s="1468"/>
      <c r="AM57" s="1468">
        <f>AM58</f>
        <v>2047760</v>
      </c>
      <c r="AN57" s="1468"/>
      <c r="AO57" s="371"/>
      <c r="AP57" s="371"/>
      <c r="AQ57" s="18"/>
    </row>
    <row r="58" spans="1:43" ht="30">
      <c r="A58" s="379" t="s">
        <v>3505</v>
      </c>
      <c r="B58" s="379" t="s">
        <v>3506</v>
      </c>
      <c r="C58" s="750">
        <v>8</v>
      </c>
      <c r="D58" s="379" t="s">
        <v>3503</v>
      </c>
      <c r="E58" s="379" t="s">
        <v>3504</v>
      </c>
      <c r="F58" s="22" t="s">
        <v>52</v>
      </c>
      <c r="G58" s="1474"/>
      <c r="H58" s="1474"/>
      <c r="I58" s="1474"/>
      <c r="J58" s="1285"/>
      <c r="K58" s="1285"/>
      <c r="L58" s="1285"/>
      <c r="M58" s="1490"/>
      <c r="N58" s="1490"/>
      <c r="O58" s="1490"/>
      <c r="P58" s="1490"/>
      <c r="Q58" s="1285"/>
      <c r="R58" s="1285"/>
      <c r="S58" s="1490"/>
      <c r="T58" s="1490"/>
      <c r="U58" s="1490"/>
      <c r="V58" s="1285"/>
      <c r="W58" s="1285"/>
      <c r="X58" s="1285"/>
      <c r="Y58" s="1490"/>
      <c r="Z58" s="1490"/>
      <c r="AA58" s="1490"/>
      <c r="AB58" s="1285"/>
      <c r="AC58" s="1285"/>
      <c r="AD58" s="672">
        <v>8</v>
      </c>
      <c r="AE58" s="1490"/>
      <c r="AF58" s="1490">
        <v>2047760</v>
      </c>
      <c r="AG58" s="1490">
        <v>1500000</v>
      </c>
      <c r="AH58" s="1490">
        <f t="shared" si="37"/>
        <v>3547760</v>
      </c>
      <c r="AI58" s="1490">
        <f>AH58-AM58</f>
        <v>1500000</v>
      </c>
      <c r="AJ58" s="1490"/>
      <c r="AK58" s="1490"/>
      <c r="AL58" s="1490"/>
      <c r="AM58" s="1490">
        <v>2047760</v>
      </c>
      <c r="AN58" s="1490"/>
      <c r="AO58" s="679"/>
      <c r="AP58" s="673"/>
      <c r="AQ58" s="1477"/>
    </row>
    <row r="59" spans="1:43" ht="15">
      <c r="A59" s="1449" t="s">
        <v>3507</v>
      </c>
      <c r="B59" s="1449" t="s">
        <v>3508</v>
      </c>
      <c r="C59" s="1450"/>
      <c r="D59" s="1451"/>
      <c r="E59" s="1451"/>
      <c r="F59" s="1451"/>
      <c r="G59" s="1452">
        <f>AH59/AH63*100</f>
        <v>1.4605757735757011E-2</v>
      </c>
      <c r="H59" s="1452"/>
      <c r="I59" s="1452"/>
      <c r="J59" s="1453">
        <f>SUM(J60)</f>
        <v>0</v>
      </c>
      <c r="K59" s="1453">
        <f>SUM(K60)</f>
        <v>0</v>
      </c>
      <c r="L59" s="1453">
        <f>SUM(L60)</f>
        <v>0</v>
      </c>
      <c r="M59" s="1454">
        <v>0</v>
      </c>
      <c r="N59" s="1454">
        <f>SUM(N60)</f>
        <v>0</v>
      </c>
      <c r="O59" s="1454"/>
      <c r="P59" s="1454"/>
      <c r="Q59" s="1453"/>
      <c r="R59" s="1453"/>
      <c r="S59" s="1454"/>
      <c r="T59" s="1454"/>
      <c r="U59" s="1454"/>
      <c r="V59" s="1453"/>
      <c r="W59" s="1453"/>
      <c r="X59" s="1453"/>
      <c r="Y59" s="1454"/>
      <c r="Z59" s="1454"/>
      <c r="AA59" s="1454"/>
      <c r="AB59" s="1453"/>
      <c r="AC59" s="1453"/>
      <c r="AD59" s="1453"/>
      <c r="AE59" s="1454"/>
      <c r="AF59" s="1454"/>
      <c r="AG59" s="1454">
        <f t="shared" ref="AG59" si="38">AG60</f>
        <v>1000</v>
      </c>
      <c r="AH59" s="1454">
        <f t="shared" si="37"/>
        <v>1000</v>
      </c>
      <c r="AI59" s="1454">
        <f>AI60</f>
        <v>1000</v>
      </c>
      <c r="AJ59" s="1454"/>
      <c r="AK59" s="1454"/>
      <c r="AL59" s="1454"/>
      <c r="AM59" s="1454"/>
      <c r="AN59" s="1454"/>
      <c r="AO59" s="1455"/>
      <c r="AP59" s="1456"/>
      <c r="AQ59" s="1457"/>
    </row>
    <row r="60" spans="1:43" ht="30">
      <c r="A60" s="1458" t="s">
        <v>3509</v>
      </c>
      <c r="B60" s="1458" t="s">
        <v>354</v>
      </c>
      <c r="C60" s="1459"/>
      <c r="D60" s="1460"/>
      <c r="E60" s="1460"/>
      <c r="F60" s="1460"/>
      <c r="G60" s="1461">
        <f>AH60/AH63*100</f>
        <v>1.4605757735757011E-2</v>
      </c>
      <c r="H60" s="1462">
        <f>AH60/AH63*100</f>
        <v>1.4605757735757011E-2</v>
      </c>
      <c r="I60" s="1461"/>
      <c r="J60" s="663">
        <f>SUM(J61)</f>
        <v>0</v>
      </c>
      <c r="K60" s="663">
        <f t="shared" ref="K60:N61" si="39">SUM(K61)</f>
        <v>0</v>
      </c>
      <c r="L60" s="663">
        <f t="shared" si="39"/>
        <v>0</v>
      </c>
      <c r="M60" s="664">
        <v>0</v>
      </c>
      <c r="N60" s="664">
        <f t="shared" si="39"/>
        <v>0</v>
      </c>
      <c r="O60" s="664"/>
      <c r="P60" s="664"/>
      <c r="Q60" s="663"/>
      <c r="R60" s="663"/>
      <c r="S60" s="664"/>
      <c r="T60" s="664"/>
      <c r="U60" s="664"/>
      <c r="V60" s="663"/>
      <c r="W60" s="663"/>
      <c r="X60" s="663"/>
      <c r="Y60" s="664"/>
      <c r="Z60" s="664"/>
      <c r="AA60" s="664"/>
      <c r="AB60" s="663"/>
      <c r="AC60" s="663"/>
      <c r="AD60" s="663"/>
      <c r="AE60" s="664"/>
      <c r="AF60" s="664"/>
      <c r="AG60" s="664">
        <f t="shared" ref="AG60" si="40">AG61+AG61</f>
        <v>1000</v>
      </c>
      <c r="AH60" s="664">
        <f t="shared" si="37"/>
        <v>1000</v>
      </c>
      <c r="AI60" s="664">
        <f>AI61</f>
        <v>1000</v>
      </c>
      <c r="AJ60" s="664"/>
      <c r="AK60" s="664"/>
      <c r="AL60" s="664"/>
      <c r="AM60" s="664"/>
      <c r="AN60" s="664"/>
      <c r="AO60" s="1463"/>
      <c r="AP60" s="661"/>
      <c r="AQ60" s="662"/>
    </row>
    <row r="61" spans="1:43" ht="30">
      <c r="A61" s="371" t="s">
        <v>2281</v>
      </c>
      <c r="B61" s="1464" t="s">
        <v>2282</v>
      </c>
      <c r="C61" s="1482"/>
      <c r="D61" s="667"/>
      <c r="E61" s="1141"/>
      <c r="F61" s="1141"/>
      <c r="G61" s="1467">
        <f>AH61/AH63*100</f>
        <v>1.4605757735757011E-2</v>
      </c>
      <c r="H61" s="1467"/>
      <c r="I61" s="1467"/>
      <c r="J61" s="669">
        <f>SUM(J62)</f>
        <v>0</v>
      </c>
      <c r="K61" s="669">
        <f t="shared" si="39"/>
        <v>0</v>
      </c>
      <c r="L61" s="669">
        <f t="shared" si="39"/>
        <v>0</v>
      </c>
      <c r="M61" s="670">
        <f t="shared" si="39"/>
        <v>0</v>
      </c>
      <c r="N61" s="670">
        <f t="shared" si="39"/>
        <v>0</v>
      </c>
      <c r="O61" s="670">
        <f>SUM(O62)</f>
        <v>0</v>
      </c>
      <c r="P61" s="670"/>
      <c r="Q61" s="669"/>
      <c r="R61" s="669"/>
      <c r="S61" s="670">
        <f t="shared" ref="S61:T61" si="41">SUM(S62)</f>
        <v>0</v>
      </c>
      <c r="T61" s="670">
        <f t="shared" si="41"/>
        <v>0</v>
      </c>
      <c r="U61" s="670">
        <f>SUM(U62)</f>
        <v>500</v>
      </c>
      <c r="V61" s="669"/>
      <c r="W61" s="669"/>
      <c r="X61" s="669"/>
      <c r="Y61" s="670">
        <f t="shared" ref="Y61:Z61" si="42">SUM(Y62)</f>
        <v>0</v>
      </c>
      <c r="Z61" s="670">
        <f t="shared" si="42"/>
        <v>0</v>
      </c>
      <c r="AA61" s="670">
        <f>SUM(AA62)</f>
        <v>0</v>
      </c>
      <c r="AB61" s="669"/>
      <c r="AC61" s="669"/>
      <c r="AD61" s="669"/>
      <c r="AE61" s="670">
        <f t="shared" ref="AE61:AF61" si="43">SUM(AE62)</f>
        <v>0</v>
      </c>
      <c r="AF61" s="670">
        <f t="shared" si="43"/>
        <v>0</v>
      </c>
      <c r="AG61" s="670">
        <f>SUM(AG62)</f>
        <v>500</v>
      </c>
      <c r="AH61" s="1468">
        <f t="shared" si="37"/>
        <v>1000</v>
      </c>
      <c r="AI61" s="670">
        <f>AI62</f>
        <v>1000</v>
      </c>
      <c r="AJ61" s="670"/>
      <c r="AK61" s="670"/>
      <c r="AL61" s="670"/>
      <c r="AM61" s="670"/>
      <c r="AN61" s="670"/>
      <c r="AO61" s="1469"/>
      <c r="AP61" s="667"/>
      <c r="AQ61" s="668"/>
    </row>
    <row r="62" spans="1:43" ht="75">
      <c r="A62" s="379" t="s">
        <v>3510</v>
      </c>
      <c r="B62" s="671" t="s">
        <v>3511</v>
      </c>
      <c r="C62" s="672">
        <v>2</v>
      </c>
      <c r="D62" s="673" t="s">
        <v>52</v>
      </c>
      <c r="E62" s="673" t="s">
        <v>3512</v>
      </c>
      <c r="F62" s="673" t="s">
        <v>3513</v>
      </c>
      <c r="G62" s="1473">
        <f>AH62/AH63*100</f>
        <v>1.4605757735757011E-2</v>
      </c>
      <c r="H62" s="1474"/>
      <c r="I62" s="1474">
        <v>1</v>
      </c>
      <c r="J62" s="678"/>
      <c r="K62" s="678"/>
      <c r="L62" s="678"/>
      <c r="M62" s="677"/>
      <c r="N62" s="677"/>
      <c r="O62" s="677"/>
      <c r="P62" s="1490"/>
      <c r="Q62" s="1285"/>
      <c r="R62" s="1285">
        <v>1</v>
      </c>
      <c r="S62" s="1490"/>
      <c r="T62" s="1490"/>
      <c r="U62" s="1490">
        <v>500</v>
      </c>
      <c r="V62" s="678"/>
      <c r="W62" s="678"/>
      <c r="X62" s="678"/>
      <c r="Y62" s="677"/>
      <c r="Z62" s="677"/>
      <c r="AA62" s="677"/>
      <c r="AB62" s="1285"/>
      <c r="AC62" s="1285"/>
      <c r="AD62" s="1285">
        <v>1</v>
      </c>
      <c r="AE62" s="1490"/>
      <c r="AF62" s="1490"/>
      <c r="AG62" s="1490">
        <v>500</v>
      </c>
      <c r="AH62" s="1490">
        <f t="shared" si="37"/>
        <v>1000</v>
      </c>
      <c r="AI62" s="677">
        <v>1000</v>
      </c>
      <c r="AJ62" s="677"/>
      <c r="AK62" s="677"/>
      <c r="AL62" s="677"/>
      <c r="AM62" s="677"/>
      <c r="AN62" s="677"/>
      <c r="AO62" s="1475" t="s">
        <v>3411</v>
      </c>
      <c r="AP62" s="1476" t="s">
        <v>3412</v>
      </c>
      <c r="AQ62" s="1477"/>
    </row>
    <row r="63" spans="1:43" ht="15">
      <c r="A63" s="1494"/>
      <c r="B63" s="322" t="s">
        <v>1728</v>
      </c>
      <c r="C63" s="1495"/>
      <c r="D63" s="1496"/>
      <c r="E63" s="1496"/>
      <c r="F63" s="1496"/>
      <c r="G63" s="1497">
        <f>G54+G39+G22+G11</f>
        <v>99.999999999999986</v>
      </c>
      <c r="H63" s="1461"/>
      <c r="I63" s="1497"/>
      <c r="J63" s="1498"/>
      <c r="K63" s="1498"/>
      <c r="L63" s="1498"/>
      <c r="M63" s="1499">
        <f>+M54+M39+M22+M11</f>
        <v>1805</v>
      </c>
      <c r="N63" s="1499">
        <f>+N54+N39+N22+N11</f>
        <v>0</v>
      </c>
      <c r="O63" s="1499">
        <f>+O54+O39+O22+O11</f>
        <v>60000</v>
      </c>
      <c r="P63" s="1499"/>
      <c r="Q63" s="1500"/>
      <c r="R63" s="1500"/>
      <c r="S63" s="1499">
        <f t="shared" ref="S63:U63" si="44">+S54+S39+S22+S11</f>
        <v>347009</v>
      </c>
      <c r="T63" s="1499">
        <f t="shared" si="44"/>
        <v>345009</v>
      </c>
      <c r="U63" s="1499">
        <f t="shared" si="44"/>
        <v>346612</v>
      </c>
      <c r="V63" s="1501"/>
      <c r="W63" s="1501"/>
      <c r="X63" s="1501"/>
      <c r="Y63" s="1499">
        <f>+Y54+Y39+Y22+Y11</f>
        <v>346009</v>
      </c>
      <c r="Z63" s="1499">
        <f>+Z54+Z39+Z22+Z11</f>
        <v>345009</v>
      </c>
      <c r="AA63" s="1499">
        <f>+AA54+AA39+AA22+AA11</f>
        <v>346612</v>
      </c>
      <c r="AB63" s="1500"/>
      <c r="AC63" s="1500"/>
      <c r="AD63" s="1500"/>
      <c r="AE63" s="1499">
        <f>+AE54+AE39+AE22+AE11</f>
        <v>412509</v>
      </c>
      <c r="AF63" s="1499">
        <f>+AF54+AF39+AF22+AF11</f>
        <v>2442519</v>
      </c>
      <c r="AG63" s="1499">
        <f>+AG54+AG39+AG22+AG11</f>
        <v>1853522</v>
      </c>
      <c r="AH63" s="1499">
        <f>AH54+AH39+AH22+AH11</f>
        <v>6846615</v>
      </c>
      <c r="AI63" s="1499">
        <f>AI54+AI39+AI22+AI11</f>
        <v>3773105</v>
      </c>
      <c r="AJ63" s="1499"/>
      <c r="AK63" s="1499"/>
      <c r="AL63" s="1499">
        <f>AL54+AL39+AL22+AL11</f>
        <v>1025750</v>
      </c>
      <c r="AM63" s="1499">
        <f>AM54+AM39+AM22+AM11</f>
        <v>2047760</v>
      </c>
      <c r="AN63" s="1499"/>
      <c r="AO63" s="1502"/>
      <c r="AP63" s="1502"/>
      <c r="AQ63" s="1502"/>
    </row>
  </sheetData>
  <sheetProtection algorithmName="SHA-512" hashValue="boixyJYvtAKYVSURJPwvtrPxBGuWexvofH/pwKeiVFeTqHlYoI8inAomlIhHFfxT0wfL49VqK4zKfKTI/iGumg==" saltValue="wrG4/j7O+oCxxpPix84Zww==" spinCount="100000" sheet="1" objects="1" scenarios="1"/>
  <mergeCells count="35">
    <mergeCell ref="Y9:AA9"/>
    <mergeCell ref="AB9:AD9"/>
    <mergeCell ref="AE9:AG9"/>
    <mergeCell ref="AH8:AH10"/>
    <mergeCell ref="AI8:AI10"/>
    <mergeCell ref="J9:L9"/>
    <mergeCell ref="M9:O9"/>
    <mergeCell ref="P9:R9"/>
    <mergeCell ref="S9:U9"/>
    <mergeCell ref="V9:X9"/>
    <mergeCell ref="AI7:AN7"/>
    <mergeCell ref="AO7:AO10"/>
    <mergeCell ref="AP7:AP10"/>
    <mergeCell ref="AQ7:AQ10"/>
    <mergeCell ref="AN8:AN10"/>
    <mergeCell ref="AJ8:AJ10"/>
    <mergeCell ref="AK8:AK10"/>
    <mergeCell ref="AL8:AL10"/>
    <mergeCell ref="AM8:AM10"/>
    <mergeCell ref="A1:AQ1"/>
    <mergeCell ref="A2:AQ2"/>
    <mergeCell ref="B7:B10"/>
    <mergeCell ref="C7:C10"/>
    <mergeCell ref="D7:D10"/>
    <mergeCell ref="E7:E10"/>
    <mergeCell ref="F7:F10"/>
    <mergeCell ref="G7:G10"/>
    <mergeCell ref="H7:H10"/>
    <mergeCell ref="I7:I10"/>
    <mergeCell ref="A8:A10"/>
    <mergeCell ref="J8:O8"/>
    <mergeCell ref="P8:U8"/>
    <mergeCell ref="V8:AA8"/>
    <mergeCell ref="AB8:AG8"/>
    <mergeCell ref="J7:AH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6"/>
  <sheetViews>
    <sheetView workbookViewId="0">
      <selection activeCell="B7" sqref="B7:B10"/>
    </sheetView>
  </sheetViews>
  <sheetFormatPr baseColWidth="10" defaultRowHeight="14.4"/>
  <cols>
    <col min="1" max="1" width="22" customWidth="1"/>
    <col min="2" max="2" width="39.88671875" customWidth="1"/>
    <col min="3" max="3" width="11.44140625" customWidth="1"/>
    <col min="4" max="4" width="14.5546875" customWidth="1"/>
    <col min="5" max="5" width="19.109375" customWidth="1"/>
    <col min="6" max="6" width="16.33203125" customWidth="1"/>
    <col min="7" max="7" width="8.6640625" customWidth="1"/>
    <col min="8" max="8" width="9.5546875" customWidth="1"/>
    <col min="9" max="9" width="10.6640625" customWidth="1"/>
    <col min="10" max="12" width="8.88671875" bestFit="1" customWidth="1"/>
    <col min="13" max="14" width="13.5546875" bestFit="1" customWidth="1"/>
    <col min="15" max="15" width="13.5546875" customWidth="1"/>
    <col min="16" max="18" width="8.88671875" bestFit="1" customWidth="1"/>
    <col min="19" max="21" width="13.5546875" bestFit="1" customWidth="1"/>
    <col min="22" max="24" width="8.88671875" bestFit="1" customWidth="1"/>
    <col min="25" max="27" width="13.5546875" bestFit="1" customWidth="1"/>
    <col min="28" max="30" width="8.88671875" bestFit="1" customWidth="1"/>
    <col min="31" max="33" width="13.5546875" bestFit="1" customWidth="1"/>
    <col min="34" max="35" width="18.5546875" bestFit="1" customWidth="1"/>
    <col min="36" max="36" width="16.88671875" customWidth="1"/>
    <col min="37" max="37" width="8.6640625" customWidth="1"/>
    <col min="38" max="38" width="14.5546875" customWidth="1"/>
    <col min="39" max="40" width="8.6640625" customWidth="1"/>
    <col min="41" max="41" width="15.44140625" customWidth="1"/>
    <col min="42" max="42" width="20.88671875" customWidth="1"/>
    <col min="43" max="43" width="5.88671875" customWidth="1"/>
  </cols>
  <sheetData>
    <row r="1" spans="1:43" ht="17.399999999999999">
      <c r="A1" s="2143" t="s">
        <v>0</v>
      </c>
      <c r="B1" s="2143"/>
      <c r="C1" s="2143"/>
      <c r="D1" s="2143"/>
      <c r="E1" s="2143"/>
      <c r="F1" s="2143"/>
      <c r="G1" s="2143"/>
      <c r="H1" s="2143"/>
      <c r="I1" s="2143"/>
      <c r="J1" s="2143"/>
      <c r="K1" s="2143"/>
      <c r="L1" s="2143"/>
      <c r="M1" s="2143"/>
      <c r="N1" s="2143"/>
      <c r="O1" s="2143"/>
      <c r="P1" s="2143"/>
      <c r="Q1" s="2143"/>
      <c r="R1" s="2143"/>
      <c r="S1" s="2143"/>
      <c r="T1" s="2143"/>
      <c r="U1" s="2143"/>
      <c r="V1" s="2143"/>
      <c r="W1" s="2143"/>
      <c r="X1" s="2143"/>
      <c r="Y1" s="2143"/>
      <c r="Z1" s="2143"/>
      <c r="AA1" s="2143"/>
      <c r="AB1" s="2143"/>
      <c r="AC1" s="2143"/>
      <c r="AD1" s="2143"/>
      <c r="AE1" s="2143"/>
      <c r="AF1" s="2143"/>
      <c r="AG1" s="2143"/>
      <c r="AH1" s="2143"/>
      <c r="AI1" s="2143"/>
      <c r="AJ1" s="2143"/>
      <c r="AK1" s="2143"/>
      <c r="AL1" s="2143"/>
      <c r="AM1" s="2143"/>
      <c r="AN1" s="2143"/>
      <c r="AO1" s="2143"/>
      <c r="AP1" s="2143"/>
      <c r="AQ1" s="2143"/>
    </row>
    <row r="2" spans="1:43" ht="17.399999999999999">
      <c r="A2" s="2143" t="s">
        <v>1</v>
      </c>
      <c r="B2" s="2143"/>
      <c r="C2" s="2143"/>
      <c r="D2" s="2143"/>
      <c r="E2" s="2143"/>
      <c r="F2" s="2143"/>
      <c r="G2" s="2143"/>
      <c r="H2" s="2143"/>
      <c r="I2" s="2143"/>
      <c r="J2" s="2143"/>
      <c r="K2" s="2143"/>
      <c r="L2" s="2143"/>
      <c r="M2" s="2143"/>
      <c r="N2" s="2143"/>
      <c r="O2" s="2143"/>
      <c r="P2" s="2143"/>
      <c r="Q2" s="2143"/>
      <c r="R2" s="2143"/>
      <c r="S2" s="2143"/>
      <c r="T2" s="2143"/>
      <c r="U2" s="2143"/>
      <c r="V2" s="2143"/>
      <c r="W2" s="2143"/>
      <c r="X2" s="2143"/>
      <c r="Y2" s="2143"/>
      <c r="Z2" s="2143"/>
      <c r="AA2" s="2143"/>
      <c r="AB2" s="2143"/>
      <c r="AC2" s="2143"/>
      <c r="AD2" s="2143"/>
      <c r="AE2" s="2143"/>
      <c r="AF2" s="2143"/>
      <c r="AG2" s="2143"/>
      <c r="AH2" s="2143"/>
      <c r="AI2" s="2143"/>
      <c r="AJ2" s="2143"/>
      <c r="AK2" s="2143"/>
      <c r="AL2" s="2143"/>
      <c r="AM2" s="2143"/>
      <c r="AN2" s="2143"/>
      <c r="AO2" s="2143"/>
      <c r="AP2" s="2143"/>
      <c r="AQ2" s="2143"/>
    </row>
    <row r="3" spans="1:43" ht="17.399999999999999">
      <c r="A3" s="2154"/>
      <c r="B3" s="2154"/>
      <c r="C3" s="2154"/>
      <c r="D3" s="2154"/>
      <c r="E3" s="2154"/>
      <c r="F3" s="2154"/>
      <c r="G3" s="2154"/>
      <c r="H3" s="2154"/>
      <c r="I3" s="2154"/>
      <c r="J3" s="2154"/>
      <c r="K3" s="2154"/>
      <c r="L3" s="2154"/>
      <c r="M3" s="2154"/>
      <c r="N3" s="2154"/>
      <c r="O3" s="2154"/>
      <c r="P3" s="2154"/>
      <c r="Q3" s="2154"/>
      <c r="R3" s="2154"/>
      <c r="S3" s="2154"/>
      <c r="T3" s="2154"/>
      <c r="U3" s="2154"/>
      <c r="V3" s="2154"/>
      <c r="W3" s="2154"/>
      <c r="X3" s="2154"/>
      <c r="Y3" s="2154"/>
      <c r="Z3" s="2154"/>
      <c r="AA3" s="2154"/>
      <c r="AB3" s="2154"/>
      <c r="AC3" s="2154"/>
      <c r="AD3" s="2154"/>
      <c r="AE3" s="2154"/>
      <c r="AF3" s="2154"/>
      <c r="AG3" s="2154"/>
      <c r="AH3" s="2154"/>
      <c r="AI3" s="2154"/>
      <c r="AJ3" s="2154"/>
      <c r="AK3" s="2154"/>
      <c r="AL3" s="2154"/>
      <c r="AM3" s="2154"/>
      <c r="AN3" s="2154"/>
      <c r="AO3" s="2154"/>
      <c r="AP3" s="2154"/>
      <c r="AQ3" s="2154"/>
    </row>
    <row r="4" spans="1:43" ht="17.399999999999999">
      <c r="A4" s="1503"/>
      <c r="B4" s="1504" t="s">
        <v>911</v>
      </c>
      <c r="C4" s="1505"/>
      <c r="D4" s="1505"/>
      <c r="E4" s="1506"/>
      <c r="F4" s="1507"/>
      <c r="G4" s="1505"/>
      <c r="H4" s="1508"/>
      <c r="I4" s="1505"/>
      <c r="J4" s="1507"/>
      <c r="K4" s="1507"/>
      <c r="L4" s="1507"/>
      <c r="M4" s="1507"/>
      <c r="N4" s="1507"/>
      <c r="O4" s="1507"/>
      <c r="P4" s="1507"/>
      <c r="Q4" s="1507"/>
      <c r="R4" s="1507"/>
      <c r="S4" s="1507"/>
      <c r="T4" s="1507"/>
      <c r="U4" s="1507"/>
      <c r="V4" s="1507"/>
      <c r="W4" s="1507"/>
      <c r="X4" s="1507"/>
      <c r="Y4" s="1507"/>
      <c r="Z4" s="1507"/>
      <c r="AA4" s="1507"/>
      <c r="AB4" s="87"/>
      <c r="AC4" s="87"/>
      <c r="AD4" s="87"/>
      <c r="AE4" s="1507"/>
      <c r="AF4" s="1507"/>
      <c r="AG4" s="1507"/>
      <c r="AH4" s="1507"/>
      <c r="AI4" s="1507"/>
      <c r="AJ4" s="1507"/>
      <c r="AK4" s="1507"/>
      <c r="AL4" s="1507"/>
      <c r="AM4" s="1507"/>
      <c r="AN4" s="1507"/>
      <c r="AO4" s="1507"/>
      <c r="AP4" s="1507"/>
      <c r="AQ4" s="1507"/>
    </row>
    <row r="5" spans="1:43" ht="17.399999999999999">
      <c r="A5" s="1503"/>
      <c r="B5" s="1504" t="s">
        <v>3514</v>
      </c>
      <c r="C5" s="1505"/>
      <c r="D5" s="1505"/>
      <c r="E5" s="1506"/>
      <c r="F5" s="1507"/>
      <c r="G5" s="1505"/>
      <c r="H5" s="1508"/>
      <c r="I5" s="1505"/>
      <c r="J5" s="1507"/>
      <c r="K5" s="1507"/>
      <c r="L5" s="1507"/>
      <c r="M5" s="1507"/>
      <c r="N5" s="1507"/>
      <c r="O5" s="1507"/>
      <c r="P5" s="1507"/>
      <c r="Q5" s="1507"/>
      <c r="R5" s="1507"/>
      <c r="S5" s="1507"/>
      <c r="T5" s="1507"/>
      <c r="U5" s="1507"/>
      <c r="V5" s="1507"/>
      <c r="W5" s="1507"/>
      <c r="X5" s="1507"/>
      <c r="Y5" s="1507"/>
      <c r="Z5" s="1507"/>
      <c r="AA5" s="1507"/>
      <c r="AB5" s="87"/>
      <c r="AC5" s="87"/>
      <c r="AD5" s="87"/>
      <c r="AE5" s="1507"/>
      <c r="AF5" s="1507"/>
      <c r="AG5" s="1507"/>
      <c r="AH5" s="1507"/>
      <c r="AI5" s="1507"/>
      <c r="AJ5" s="1507"/>
      <c r="AK5" s="1507"/>
      <c r="AL5" s="1507"/>
      <c r="AM5" s="1507"/>
      <c r="AN5" s="1507"/>
      <c r="AO5" s="1507"/>
      <c r="AP5" s="1507"/>
      <c r="AQ5" s="1507"/>
    </row>
    <row r="6" spans="1:43" ht="17.399999999999999">
      <c r="A6" s="1503"/>
      <c r="B6" s="1504" t="s">
        <v>1392</v>
      </c>
      <c r="C6" s="1505"/>
      <c r="D6" s="1505"/>
      <c r="E6" s="1503"/>
      <c r="F6" s="83"/>
      <c r="G6" s="1509"/>
      <c r="H6" s="1510"/>
      <c r="I6" s="1417"/>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row>
    <row r="7" spans="1:43" ht="15.6">
      <c r="A7" s="2155" t="s">
        <v>5</v>
      </c>
      <c r="B7" s="2158" t="s">
        <v>6</v>
      </c>
      <c r="C7" s="1943" t="s">
        <v>7</v>
      </c>
      <c r="D7" s="1943" t="s">
        <v>8</v>
      </c>
      <c r="E7" s="1943" t="s">
        <v>9</v>
      </c>
      <c r="F7" s="1943" t="s">
        <v>10</v>
      </c>
      <c r="G7" s="1947" t="s">
        <v>11</v>
      </c>
      <c r="H7" s="1947" t="s">
        <v>12</v>
      </c>
      <c r="I7" s="1947" t="s">
        <v>13</v>
      </c>
      <c r="J7" s="1950" t="s">
        <v>14</v>
      </c>
      <c r="K7" s="1951"/>
      <c r="L7" s="1951"/>
      <c r="M7" s="1951"/>
      <c r="N7" s="1951"/>
      <c r="O7" s="1951"/>
      <c r="P7" s="1951"/>
      <c r="Q7" s="1951"/>
      <c r="R7" s="1951"/>
      <c r="S7" s="1951"/>
      <c r="T7" s="1951"/>
      <c r="U7" s="1951"/>
      <c r="V7" s="1951"/>
      <c r="W7" s="1951"/>
      <c r="X7" s="1951"/>
      <c r="Y7" s="1951"/>
      <c r="Z7" s="1951"/>
      <c r="AA7" s="1951"/>
      <c r="AB7" s="1951"/>
      <c r="AC7" s="1951"/>
      <c r="AD7" s="1951"/>
      <c r="AE7" s="1951"/>
      <c r="AF7" s="1951"/>
      <c r="AG7" s="1951"/>
      <c r="AH7" s="1952"/>
      <c r="AI7" s="2161" t="s">
        <v>15</v>
      </c>
      <c r="AJ7" s="2162"/>
      <c r="AK7" s="2162"/>
      <c r="AL7" s="2162"/>
      <c r="AM7" s="2162"/>
      <c r="AN7" s="2163"/>
      <c r="AO7" s="2155" t="s">
        <v>16</v>
      </c>
      <c r="AP7" s="2155" t="s">
        <v>17</v>
      </c>
      <c r="AQ7" s="1954" t="s">
        <v>18</v>
      </c>
    </row>
    <row r="8" spans="1:43" ht="15.6">
      <c r="A8" s="2156"/>
      <c r="B8" s="2159"/>
      <c r="C8" s="1944"/>
      <c r="D8" s="1944"/>
      <c r="E8" s="1944"/>
      <c r="F8" s="1944"/>
      <c r="G8" s="1948"/>
      <c r="H8" s="1948"/>
      <c r="I8" s="1948"/>
      <c r="J8" s="1950" t="s">
        <v>19</v>
      </c>
      <c r="K8" s="1951"/>
      <c r="L8" s="1951"/>
      <c r="M8" s="1951"/>
      <c r="N8" s="1951"/>
      <c r="O8" s="1952"/>
      <c r="P8" s="1950" t="s">
        <v>20</v>
      </c>
      <c r="Q8" s="1951"/>
      <c r="R8" s="1951"/>
      <c r="S8" s="1951"/>
      <c r="T8" s="1951"/>
      <c r="U8" s="1952"/>
      <c r="V8" s="1950" t="s">
        <v>21</v>
      </c>
      <c r="W8" s="1951"/>
      <c r="X8" s="1951"/>
      <c r="Y8" s="1951"/>
      <c r="Z8" s="1951"/>
      <c r="AA8" s="1952"/>
      <c r="AB8" s="1950" t="s">
        <v>22</v>
      </c>
      <c r="AC8" s="1951"/>
      <c r="AD8" s="1951"/>
      <c r="AE8" s="1951"/>
      <c r="AF8" s="1951"/>
      <c r="AG8" s="1952"/>
      <c r="AH8" s="1943" t="s">
        <v>403</v>
      </c>
      <c r="AI8" s="1958" t="s">
        <v>24</v>
      </c>
      <c r="AJ8" s="1958" t="s">
        <v>3515</v>
      </c>
      <c r="AK8" s="1954" t="s">
        <v>916</v>
      </c>
      <c r="AL8" s="1958" t="s">
        <v>27</v>
      </c>
      <c r="AM8" s="1954" t="s">
        <v>28</v>
      </c>
      <c r="AN8" s="1954" t="s">
        <v>29</v>
      </c>
      <c r="AO8" s="2156"/>
      <c r="AP8" s="2156"/>
      <c r="AQ8" s="1955"/>
    </row>
    <row r="9" spans="1:43" ht="15.6">
      <c r="A9" s="2156"/>
      <c r="B9" s="2159"/>
      <c r="C9" s="1944"/>
      <c r="D9" s="1944"/>
      <c r="E9" s="1944"/>
      <c r="F9" s="1944"/>
      <c r="G9" s="1948"/>
      <c r="H9" s="1948"/>
      <c r="I9" s="1948"/>
      <c r="J9" s="1950" t="s">
        <v>30</v>
      </c>
      <c r="K9" s="1951"/>
      <c r="L9" s="1952"/>
      <c r="M9" s="1950" t="s">
        <v>31</v>
      </c>
      <c r="N9" s="1951"/>
      <c r="O9" s="1952"/>
      <c r="P9" s="1950" t="s">
        <v>30</v>
      </c>
      <c r="Q9" s="1951"/>
      <c r="R9" s="1952"/>
      <c r="S9" s="1950" t="s">
        <v>31</v>
      </c>
      <c r="T9" s="1951"/>
      <c r="U9" s="1952"/>
      <c r="V9" s="1950" t="s">
        <v>30</v>
      </c>
      <c r="W9" s="1951"/>
      <c r="X9" s="1952"/>
      <c r="Y9" s="1950" t="s">
        <v>31</v>
      </c>
      <c r="Z9" s="1951"/>
      <c r="AA9" s="1952"/>
      <c r="AB9" s="1950" t="s">
        <v>30</v>
      </c>
      <c r="AC9" s="1951"/>
      <c r="AD9" s="1952"/>
      <c r="AE9" s="1950" t="s">
        <v>31</v>
      </c>
      <c r="AF9" s="1951"/>
      <c r="AG9" s="1952"/>
      <c r="AH9" s="1944"/>
      <c r="AI9" s="1959"/>
      <c r="AJ9" s="1959"/>
      <c r="AK9" s="1955"/>
      <c r="AL9" s="1959"/>
      <c r="AM9" s="1955"/>
      <c r="AN9" s="1955"/>
      <c r="AO9" s="2156"/>
      <c r="AP9" s="2156"/>
      <c r="AQ9" s="1955"/>
    </row>
    <row r="10" spans="1:43" ht="15.6">
      <c r="A10" s="2157"/>
      <c r="B10" s="2160"/>
      <c r="C10" s="1945"/>
      <c r="D10" s="1945"/>
      <c r="E10" s="1945"/>
      <c r="F10" s="1945"/>
      <c r="G10" s="1949"/>
      <c r="H10" s="1949"/>
      <c r="I10" s="1949"/>
      <c r="J10" s="5" t="s">
        <v>32</v>
      </c>
      <c r="K10" s="5" t="s">
        <v>33</v>
      </c>
      <c r="L10" s="5" t="s">
        <v>34</v>
      </c>
      <c r="M10" s="5" t="s">
        <v>32</v>
      </c>
      <c r="N10" s="5" t="s">
        <v>33</v>
      </c>
      <c r="O10" s="5" t="s">
        <v>34</v>
      </c>
      <c r="P10" s="5" t="s">
        <v>35</v>
      </c>
      <c r="Q10" s="5" t="s">
        <v>34</v>
      </c>
      <c r="R10" s="5" t="s">
        <v>36</v>
      </c>
      <c r="S10" s="5" t="s">
        <v>35</v>
      </c>
      <c r="T10" s="5" t="s">
        <v>34</v>
      </c>
      <c r="U10" s="5" t="s">
        <v>36</v>
      </c>
      <c r="V10" s="5" t="s">
        <v>36</v>
      </c>
      <c r="W10" s="5" t="s">
        <v>35</v>
      </c>
      <c r="X10" s="5" t="s">
        <v>37</v>
      </c>
      <c r="Y10" s="5" t="s">
        <v>36</v>
      </c>
      <c r="Z10" s="5" t="s">
        <v>35</v>
      </c>
      <c r="AA10" s="5" t="s">
        <v>37</v>
      </c>
      <c r="AB10" s="5" t="s">
        <v>38</v>
      </c>
      <c r="AC10" s="5" t="s">
        <v>39</v>
      </c>
      <c r="AD10" s="5" t="s">
        <v>40</v>
      </c>
      <c r="AE10" s="5" t="s">
        <v>38</v>
      </c>
      <c r="AF10" s="5" t="s">
        <v>39</v>
      </c>
      <c r="AG10" s="5" t="s">
        <v>40</v>
      </c>
      <c r="AH10" s="1945"/>
      <c r="AI10" s="2045"/>
      <c r="AJ10" s="2045"/>
      <c r="AK10" s="1956"/>
      <c r="AL10" s="2045"/>
      <c r="AM10" s="1956"/>
      <c r="AN10" s="1956"/>
      <c r="AO10" s="2157"/>
      <c r="AP10" s="2157"/>
      <c r="AQ10" s="1956"/>
    </row>
    <row r="11" spans="1:43" ht="15.6">
      <c r="A11" s="6" t="s">
        <v>675</v>
      </c>
      <c r="B11" s="6" t="s">
        <v>3405</v>
      </c>
      <c r="C11" s="1511"/>
      <c r="D11" s="1511"/>
      <c r="E11" s="1511"/>
      <c r="F11" s="1511"/>
      <c r="G11" s="8">
        <f t="shared" ref="G11:G74" si="0">AH11/$AH$76*100</f>
        <v>4.097008978595177E-2</v>
      </c>
      <c r="H11" s="8"/>
      <c r="I11" s="8"/>
      <c r="J11" s="1512"/>
      <c r="K11" s="1512"/>
      <c r="L11" s="1512"/>
      <c r="M11" s="9"/>
      <c r="N11" s="9"/>
      <c r="O11" s="9">
        <f t="shared" ref="O11:O13" si="1">+O12</f>
        <v>750</v>
      </c>
      <c r="P11" s="7"/>
      <c r="Q11" s="7"/>
      <c r="R11" s="7"/>
      <c r="S11" s="9"/>
      <c r="T11" s="9"/>
      <c r="U11" s="9">
        <f t="shared" ref="U11:U13" si="2">+U12</f>
        <v>750</v>
      </c>
      <c r="V11" s="7"/>
      <c r="W11" s="7"/>
      <c r="X11" s="7"/>
      <c r="Y11" s="9"/>
      <c r="Z11" s="9"/>
      <c r="AA11" s="9">
        <f t="shared" ref="AA11:AA13" si="3">+AA12</f>
        <v>750</v>
      </c>
      <c r="AB11" s="7"/>
      <c r="AC11" s="7"/>
      <c r="AD11" s="7"/>
      <c r="AE11" s="9"/>
      <c r="AF11" s="9"/>
      <c r="AG11" s="9">
        <f t="shared" ref="AG11:AI13" si="4">+AG12</f>
        <v>750</v>
      </c>
      <c r="AH11" s="9">
        <f t="shared" si="4"/>
        <v>3000</v>
      </c>
      <c r="AI11" s="9">
        <f t="shared" si="4"/>
        <v>3000</v>
      </c>
      <c r="AJ11" s="1513"/>
      <c r="AK11" s="9"/>
      <c r="AL11" s="9"/>
      <c r="AM11" s="1513"/>
      <c r="AN11" s="1513"/>
      <c r="AO11" s="1514"/>
      <c r="AP11" s="1514"/>
      <c r="AQ11" s="1514"/>
    </row>
    <row r="12" spans="1:43" ht="30">
      <c r="A12" s="10" t="s">
        <v>3516</v>
      </c>
      <c r="B12" s="10" t="s">
        <v>3517</v>
      </c>
      <c r="C12" s="1515"/>
      <c r="D12" s="1516"/>
      <c r="E12" s="1516"/>
      <c r="F12" s="1516"/>
      <c r="G12" s="12">
        <f t="shared" si="0"/>
        <v>4.097008978595177E-2</v>
      </c>
      <c r="H12" s="12"/>
      <c r="I12" s="12"/>
      <c r="J12" s="11"/>
      <c r="K12" s="11"/>
      <c r="L12" s="11"/>
      <c r="M12" s="13"/>
      <c r="N12" s="13"/>
      <c r="O12" s="13">
        <f t="shared" si="1"/>
        <v>750</v>
      </c>
      <c r="P12" s="11"/>
      <c r="Q12" s="11"/>
      <c r="R12" s="11"/>
      <c r="S12" s="13"/>
      <c r="T12" s="13"/>
      <c r="U12" s="13">
        <f t="shared" si="2"/>
        <v>750</v>
      </c>
      <c r="V12" s="11"/>
      <c r="W12" s="11"/>
      <c r="X12" s="11"/>
      <c r="Y12" s="13"/>
      <c r="Z12" s="13"/>
      <c r="AA12" s="13">
        <f t="shared" si="3"/>
        <v>750</v>
      </c>
      <c r="AB12" s="11"/>
      <c r="AC12" s="11"/>
      <c r="AD12" s="11"/>
      <c r="AE12" s="13"/>
      <c r="AF12" s="13"/>
      <c r="AG12" s="13">
        <f t="shared" si="4"/>
        <v>750</v>
      </c>
      <c r="AH12" s="13">
        <f t="shared" si="4"/>
        <v>3000</v>
      </c>
      <c r="AI12" s="13">
        <f t="shared" si="4"/>
        <v>3000</v>
      </c>
      <c r="AJ12" s="1517"/>
      <c r="AK12" s="13"/>
      <c r="AL12" s="13"/>
      <c r="AM12" s="1517"/>
      <c r="AN12" s="1517"/>
      <c r="AO12" s="1518"/>
      <c r="AP12" s="1518"/>
      <c r="AQ12" s="1518"/>
    </row>
    <row r="13" spans="1:43" ht="15.6">
      <c r="A13" s="14" t="s">
        <v>3518</v>
      </c>
      <c r="B13" s="14" t="s">
        <v>3519</v>
      </c>
      <c r="C13" s="1519"/>
      <c r="D13" s="1520"/>
      <c r="E13" s="1520"/>
      <c r="F13" s="1520"/>
      <c r="G13" s="16">
        <f t="shared" si="0"/>
        <v>4.097008978595177E-2</v>
      </c>
      <c r="H13" s="1491">
        <v>1</v>
      </c>
      <c r="I13" s="16"/>
      <c r="J13" s="1521"/>
      <c r="K13" s="1521"/>
      <c r="L13" s="1521"/>
      <c r="M13" s="17"/>
      <c r="N13" s="17"/>
      <c r="O13" s="17">
        <f t="shared" si="1"/>
        <v>750</v>
      </c>
      <c r="P13" s="15"/>
      <c r="Q13" s="15"/>
      <c r="R13" s="15"/>
      <c r="S13" s="17"/>
      <c r="T13" s="17"/>
      <c r="U13" s="17">
        <f t="shared" si="2"/>
        <v>750</v>
      </c>
      <c r="V13" s="15"/>
      <c r="W13" s="15"/>
      <c r="X13" s="15"/>
      <c r="Y13" s="17"/>
      <c r="Z13" s="17"/>
      <c r="AA13" s="17">
        <f t="shared" si="3"/>
        <v>750</v>
      </c>
      <c r="AB13" s="15"/>
      <c r="AC13" s="15"/>
      <c r="AD13" s="15"/>
      <c r="AE13" s="17"/>
      <c r="AF13" s="17"/>
      <c r="AG13" s="17">
        <f t="shared" si="4"/>
        <v>750</v>
      </c>
      <c r="AH13" s="17">
        <f t="shared" si="4"/>
        <v>3000</v>
      </c>
      <c r="AI13" s="17">
        <f t="shared" si="4"/>
        <v>3000</v>
      </c>
      <c r="AJ13" s="1522"/>
      <c r="AK13" s="17"/>
      <c r="AL13" s="17"/>
      <c r="AM13" s="1522"/>
      <c r="AN13" s="1522"/>
      <c r="AO13" s="1523"/>
      <c r="AP13" s="1523"/>
      <c r="AQ13" s="1523"/>
    </row>
    <row r="14" spans="1:43" ht="45">
      <c r="A14" s="18" t="s">
        <v>3520</v>
      </c>
      <c r="B14" s="18" t="s">
        <v>3521</v>
      </c>
      <c r="C14" s="1524"/>
      <c r="D14" s="1525"/>
      <c r="E14" s="1525"/>
      <c r="F14" s="1525"/>
      <c r="G14" s="20">
        <f t="shared" si="0"/>
        <v>4.097008978595177E-2</v>
      </c>
      <c r="H14" s="1526"/>
      <c r="I14" s="20"/>
      <c r="J14" s="1527"/>
      <c r="K14" s="1527"/>
      <c r="L14" s="1527"/>
      <c r="M14" s="21"/>
      <c r="N14" s="21"/>
      <c r="O14" s="21">
        <f>SUM(O15)</f>
        <v>750</v>
      </c>
      <c r="P14" s="19"/>
      <c r="Q14" s="19"/>
      <c r="R14" s="19"/>
      <c r="S14" s="21"/>
      <c r="T14" s="21"/>
      <c r="U14" s="21">
        <f>SUM(U15)</f>
        <v>750</v>
      </c>
      <c r="V14" s="19"/>
      <c r="W14" s="19"/>
      <c r="X14" s="19"/>
      <c r="Y14" s="21"/>
      <c r="Z14" s="21"/>
      <c r="AA14" s="21">
        <f>SUM(AA15)</f>
        <v>750</v>
      </c>
      <c r="AB14" s="19"/>
      <c r="AC14" s="19"/>
      <c r="AD14" s="19"/>
      <c r="AE14" s="21"/>
      <c r="AF14" s="21"/>
      <c r="AG14" s="21">
        <f t="shared" ref="AG14:AI14" si="5">SUM(AG15)</f>
        <v>750</v>
      </c>
      <c r="AH14" s="21">
        <f t="shared" si="5"/>
        <v>3000</v>
      </c>
      <c r="AI14" s="21">
        <f t="shared" si="5"/>
        <v>3000</v>
      </c>
      <c r="AJ14" s="1528"/>
      <c r="AK14" s="21"/>
      <c r="AL14" s="21"/>
      <c r="AM14" s="1528"/>
      <c r="AN14" s="1528"/>
      <c r="AO14" s="1529"/>
      <c r="AP14" s="1529"/>
      <c r="AQ14" s="1529"/>
    </row>
    <row r="15" spans="1:43" ht="105">
      <c r="A15" s="22" t="s">
        <v>3522</v>
      </c>
      <c r="B15" s="22" t="s">
        <v>3523</v>
      </c>
      <c r="C15" s="1530">
        <f>J15+K15+L15+P15+Q15+R15+V15+W15+X15+AB15+AC15+AD15</f>
        <v>4</v>
      </c>
      <c r="D15" s="22" t="s">
        <v>57</v>
      </c>
      <c r="E15" s="22" t="s">
        <v>3524</v>
      </c>
      <c r="F15" s="22" t="s">
        <v>52</v>
      </c>
      <c r="G15" s="24">
        <f t="shared" si="0"/>
        <v>4.097008978595177E-2</v>
      </c>
      <c r="H15" s="1531"/>
      <c r="I15" s="24">
        <v>100</v>
      </c>
      <c r="J15" s="23"/>
      <c r="K15" s="23"/>
      <c r="L15" s="23">
        <v>1</v>
      </c>
      <c r="M15" s="26"/>
      <c r="N15" s="26"/>
      <c r="O15" s="26">
        <v>750</v>
      </c>
      <c r="P15" s="23"/>
      <c r="Q15" s="23"/>
      <c r="R15" s="23">
        <v>1</v>
      </c>
      <c r="S15" s="26"/>
      <c r="T15" s="26"/>
      <c r="U15" s="26">
        <v>750</v>
      </c>
      <c r="V15" s="23"/>
      <c r="W15" s="23"/>
      <c r="X15" s="23">
        <v>1</v>
      </c>
      <c r="Y15" s="26"/>
      <c r="Z15" s="26"/>
      <c r="AA15" s="26">
        <v>750</v>
      </c>
      <c r="AB15" s="23"/>
      <c r="AC15" s="23"/>
      <c r="AD15" s="23">
        <v>1</v>
      </c>
      <c r="AE15" s="26"/>
      <c r="AF15" s="26"/>
      <c r="AG15" s="26">
        <v>750</v>
      </c>
      <c r="AH15" s="26">
        <f>SUM(AI15:AN15)</f>
        <v>3000</v>
      </c>
      <c r="AI15" s="26">
        <v>3000</v>
      </c>
      <c r="AJ15" s="26"/>
      <c r="AK15" s="26"/>
      <c r="AL15" s="26"/>
      <c r="AM15" s="26"/>
      <c r="AN15" s="26"/>
      <c r="AO15" s="1532" t="s">
        <v>3525</v>
      </c>
      <c r="AP15" s="1532" t="s">
        <v>3526</v>
      </c>
      <c r="AQ15" s="1532"/>
    </row>
    <row r="16" spans="1:43" ht="15">
      <c r="A16" s="6" t="s">
        <v>3527</v>
      </c>
      <c r="B16" s="6" t="s">
        <v>3528</v>
      </c>
      <c r="C16" s="1533"/>
      <c r="D16" s="6"/>
      <c r="E16" s="6"/>
      <c r="F16" s="6"/>
      <c r="G16" s="8">
        <f t="shared" si="0"/>
        <v>9.3714300541556295</v>
      </c>
      <c r="H16" s="1534"/>
      <c r="I16" s="8"/>
      <c r="J16" s="7"/>
      <c r="K16" s="7"/>
      <c r="L16" s="7"/>
      <c r="M16" s="9">
        <f>M17+M36</f>
        <v>33160</v>
      </c>
      <c r="N16" s="9">
        <f>N17+N36</f>
        <v>38120</v>
      </c>
      <c r="O16" s="9">
        <f>O17+O36</f>
        <v>54765</v>
      </c>
      <c r="P16" s="7"/>
      <c r="Q16" s="7"/>
      <c r="R16" s="7"/>
      <c r="S16" s="9">
        <f>S17+S36</f>
        <v>72715</v>
      </c>
      <c r="T16" s="9">
        <f>T17+T36</f>
        <v>86315</v>
      </c>
      <c r="U16" s="9">
        <f>U17+U36</f>
        <v>86455</v>
      </c>
      <c r="V16" s="7"/>
      <c r="W16" s="7"/>
      <c r="X16" s="7"/>
      <c r="Y16" s="9">
        <f>Y17+Y36</f>
        <v>78020</v>
      </c>
      <c r="Z16" s="9">
        <f>Z17+Z36</f>
        <v>46565</v>
      </c>
      <c r="AA16" s="9">
        <f>AA17+AA36</f>
        <v>48060</v>
      </c>
      <c r="AB16" s="7"/>
      <c r="AC16" s="7"/>
      <c r="AD16" s="7"/>
      <c r="AE16" s="9">
        <f t="shared" ref="AE16:AJ16" si="6">AE17+AE36</f>
        <v>49380</v>
      </c>
      <c r="AF16" s="9">
        <f t="shared" si="6"/>
        <v>47220</v>
      </c>
      <c r="AG16" s="9">
        <f t="shared" si="6"/>
        <v>45440</v>
      </c>
      <c r="AH16" s="9">
        <f t="shared" si="6"/>
        <v>686215</v>
      </c>
      <c r="AI16" s="9">
        <f t="shared" si="6"/>
        <v>437445</v>
      </c>
      <c r="AJ16" s="9">
        <f t="shared" si="6"/>
        <v>248770</v>
      </c>
      <c r="AK16" s="9"/>
      <c r="AL16" s="9"/>
      <c r="AM16" s="9"/>
      <c r="AN16" s="9"/>
      <c r="AO16" s="1535"/>
      <c r="AP16" s="1535"/>
      <c r="AQ16" s="1535"/>
    </row>
    <row r="17" spans="1:43" ht="15">
      <c r="A17" s="10" t="s">
        <v>3529</v>
      </c>
      <c r="B17" s="10" t="s">
        <v>3530</v>
      </c>
      <c r="C17" s="1515"/>
      <c r="D17" s="10"/>
      <c r="E17" s="10"/>
      <c r="F17" s="10"/>
      <c r="G17" s="12">
        <f t="shared" si="0"/>
        <v>8.7792756897826738</v>
      </c>
      <c r="H17" s="1536"/>
      <c r="I17" s="12"/>
      <c r="J17" s="11"/>
      <c r="K17" s="11"/>
      <c r="L17" s="11"/>
      <c r="M17" s="13">
        <f t="shared" ref="M17:O18" si="7">+M18</f>
        <v>30195</v>
      </c>
      <c r="N17" s="13">
        <f t="shared" si="7"/>
        <v>34440</v>
      </c>
      <c r="O17" s="13">
        <f t="shared" si="7"/>
        <v>50880</v>
      </c>
      <c r="P17" s="11"/>
      <c r="Q17" s="11"/>
      <c r="R17" s="11"/>
      <c r="S17" s="13">
        <f t="shared" ref="S17:U18" si="8">+S18</f>
        <v>69270</v>
      </c>
      <c r="T17" s="13">
        <f t="shared" si="8"/>
        <v>82565</v>
      </c>
      <c r="U17" s="13">
        <f t="shared" si="8"/>
        <v>82600</v>
      </c>
      <c r="V17" s="11"/>
      <c r="W17" s="11"/>
      <c r="X17" s="11"/>
      <c r="Y17" s="13">
        <f t="shared" ref="Y17:AA18" si="9">+Y18</f>
        <v>74135</v>
      </c>
      <c r="Z17" s="13">
        <f t="shared" si="9"/>
        <v>43500</v>
      </c>
      <c r="AA17" s="13">
        <f t="shared" si="9"/>
        <v>44175</v>
      </c>
      <c r="AB17" s="11"/>
      <c r="AC17" s="11"/>
      <c r="AD17" s="11"/>
      <c r="AE17" s="13">
        <f t="shared" ref="AE17:AJ18" si="10">+AE18</f>
        <v>45495</v>
      </c>
      <c r="AF17" s="13">
        <f t="shared" si="10"/>
        <v>43235</v>
      </c>
      <c r="AG17" s="13">
        <f t="shared" si="10"/>
        <v>42365</v>
      </c>
      <c r="AH17" s="13">
        <f t="shared" si="10"/>
        <v>642855</v>
      </c>
      <c r="AI17" s="13">
        <f t="shared" si="10"/>
        <v>394085</v>
      </c>
      <c r="AJ17" s="13">
        <f t="shared" si="10"/>
        <v>248770</v>
      </c>
      <c r="AK17" s="13"/>
      <c r="AL17" s="13"/>
      <c r="AM17" s="13"/>
      <c r="AN17" s="13"/>
      <c r="AO17" s="1537"/>
      <c r="AP17" s="1538"/>
      <c r="AQ17" s="1538"/>
    </row>
    <row r="18" spans="1:43" ht="15">
      <c r="A18" s="14" t="s">
        <v>3531</v>
      </c>
      <c r="B18" s="14" t="s">
        <v>1942</v>
      </c>
      <c r="C18" s="639"/>
      <c r="D18" s="14"/>
      <c r="E18" s="14"/>
      <c r="F18" s="14"/>
      <c r="G18" s="16">
        <f t="shared" si="0"/>
        <v>8.7792756897826738</v>
      </c>
      <c r="H18" s="1491">
        <v>7</v>
      </c>
      <c r="I18" s="16"/>
      <c r="J18" s="15"/>
      <c r="K18" s="15"/>
      <c r="L18" s="15"/>
      <c r="M18" s="17">
        <f t="shared" si="7"/>
        <v>30195</v>
      </c>
      <c r="N18" s="17">
        <f t="shared" si="7"/>
        <v>34440</v>
      </c>
      <c r="O18" s="17">
        <f t="shared" si="7"/>
        <v>50880</v>
      </c>
      <c r="P18" s="15"/>
      <c r="Q18" s="15"/>
      <c r="R18" s="15"/>
      <c r="S18" s="17">
        <f t="shared" si="8"/>
        <v>69270</v>
      </c>
      <c r="T18" s="17">
        <f t="shared" si="8"/>
        <v>82565</v>
      </c>
      <c r="U18" s="17">
        <f t="shared" si="8"/>
        <v>82600</v>
      </c>
      <c r="V18" s="15"/>
      <c r="W18" s="15"/>
      <c r="X18" s="15"/>
      <c r="Y18" s="17">
        <f t="shared" si="9"/>
        <v>74135</v>
      </c>
      <c r="Z18" s="17">
        <f t="shared" si="9"/>
        <v>43500</v>
      </c>
      <c r="AA18" s="17">
        <f t="shared" si="9"/>
        <v>44175</v>
      </c>
      <c r="AB18" s="15"/>
      <c r="AC18" s="15"/>
      <c r="AD18" s="15"/>
      <c r="AE18" s="17">
        <f t="shared" si="10"/>
        <v>45495</v>
      </c>
      <c r="AF18" s="17">
        <f t="shared" si="10"/>
        <v>43235</v>
      </c>
      <c r="AG18" s="17">
        <f t="shared" si="10"/>
        <v>42365</v>
      </c>
      <c r="AH18" s="17">
        <f t="shared" si="10"/>
        <v>642855</v>
      </c>
      <c r="AI18" s="17">
        <f t="shared" si="10"/>
        <v>394085</v>
      </c>
      <c r="AJ18" s="17">
        <f t="shared" si="10"/>
        <v>248770</v>
      </c>
      <c r="AK18" s="17"/>
      <c r="AL18" s="17"/>
      <c r="AM18" s="17"/>
      <c r="AN18" s="17"/>
      <c r="AO18" s="1299"/>
      <c r="AP18" s="1299"/>
      <c r="AQ18" s="1299"/>
    </row>
    <row r="19" spans="1:43" ht="30">
      <c r="A19" s="18" t="s">
        <v>3532</v>
      </c>
      <c r="B19" s="18" t="s">
        <v>1944</v>
      </c>
      <c r="C19" s="643"/>
      <c r="D19" s="18"/>
      <c r="E19" s="18"/>
      <c r="F19" s="18"/>
      <c r="G19" s="20">
        <f t="shared" si="0"/>
        <v>8.7792756897826738</v>
      </c>
      <c r="H19" s="1526"/>
      <c r="I19" s="20"/>
      <c r="J19" s="19"/>
      <c r="K19" s="19"/>
      <c r="L19" s="19"/>
      <c r="M19" s="21">
        <f>SUM(M20:M35)</f>
        <v>30195</v>
      </c>
      <c r="N19" s="21">
        <f>SUM(N20:N35)</f>
        <v>34440</v>
      </c>
      <c r="O19" s="21">
        <f>SUM(O20:O35)</f>
        <v>50880</v>
      </c>
      <c r="P19" s="19"/>
      <c r="Q19" s="19"/>
      <c r="R19" s="19"/>
      <c r="S19" s="21">
        <f>SUM(S20:S35)</f>
        <v>69270</v>
      </c>
      <c r="T19" s="21">
        <f>SUM(T20:T35)</f>
        <v>82565</v>
      </c>
      <c r="U19" s="21">
        <f>SUM(U20:U35)</f>
        <v>82600</v>
      </c>
      <c r="V19" s="19"/>
      <c r="W19" s="19"/>
      <c r="X19" s="19"/>
      <c r="Y19" s="21">
        <f>SUM(Y20:Y35)</f>
        <v>74135</v>
      </c>
      <c r="Z19" s="21">
        <f>SUM(Z20:Z35)</f>
        <v>43500</v>
      </c>
      <c r="AA19" s="21">
        <f>SUM(AA20:AA35)</f>
        <v>44175</v>
      </c>
      <c r="AB19" s="19"/>
      <c r="AC19" s="19"/>
      <c r="AD19" s="19"/>
      <c r="AE19" s="21">
        <f t="shared" ref="AE19:AJ19" si="11">SUM(AE20:AE35)</f>
        <v>45495</v>
      </c>
      <c r="AF19" s="21">
        <f t="shared" si="11"/>
        <v>43235</v>
      </c>
      <c r="AG19" s="21">
        <f t="shared" si="11"/>
        <v>42365</v>
      </c>
      <c r="AH19" s="21">
        <f t="shared" si="11"/>
        <v>642855</v>
      </c>
      <c r="AI19" s="21">
        <f t="shared" si="11"/>
        <v>394085</v>
      </c>
      <c r="AJ19" s="21">
        <f t="shared" si="11"/>
        <v>248770</v>
      </c>
      <c r="AK19" s="21"/>
      <c r="AL19" s="21"/>
      <c r="AM19" s="21"/>
      <c r="AN19" s="21"/>
      <c r="AO19" s="1539"/>
      <c r="AP19" s="1539"/>
      <c r="AQ19" s="1539"/>
    </row>
    <row r="20" spans="1:43" ht="75">
      <c r="A20" s="22" t="s">
        <v>3533</v>
      </c>
      <c r="B20" s="22" t="s">
        <v>3534</v>
      </c>
      <c r="C20" s="1530">
        <f t="shared" ref="C20:C39" si="12">J20+K20+L20+P20+Q20+R20+V20+W20+X20+AB20+AC20+AD20</f>
        <v>21</v>
      </c>
      <c r="D20" s="22" t="s">
        <v>52</v>
      </c>
      <c r="E20" s="22" t="s">
        <v>3535</v>
      </c>
      <c r="F20" s="22" t="s">
        <v>3536</v>
      </c>
      <c r="G20" s="24">
        <f t="shared" si="0"/>
        <v>0.96013405413377961</v>
      </c>
      <c r="H20" s="1531"/>
      <c r="I20" s="1540">
        <v>4</v>
      </c>
      <c r="J20" s="23">
        <v>2</v>
      </c>
      <c r="K20" s="23">
        <v>2</v>
      </c>
      <c r="L20" s="23">
        <v>2</v>
      </c>
      <c r="M20" s="26">
        <v>5860</v>
      </c>
      <c r="N20" s="26">
        <v>5860</v>
      </c>
      <c r="O20" s="26">
        <v>5860</v>
      </c>
      <c r="P20" s="23">
        <v>2</v>
      </c>
      <c r="Q20" s="23">
        <v>2</v>
      </c>
      <c r="R20" s="23">
        <v>2</v>
      </c>
      <c r="S20" s="26">
        <v>5860</v>
      </c>
      <c r="T20" s="26">
        <v>5860</v>
      </c>
      <c r="U20" s="26">
        <v>5860</v>
      </c>
      <c r="V20" s="23">
        <v>2</v>
      </c>
      <c r="W20" s="23">
        <v>2</v>
      </c>
      <c r="X20" s="23">
        <v>2</v>
      </c>
      <c r="Y20" s="26">
        <v>5860</v>
      </c>
      <c r="Z20" s="26">
        <v>5860</v>
      </c>
      <c r="AA20" s="26">
        <v>5860</v>
      </c>
      <c r="AB20" s="23">
        <v>1</v>
      </c>
      <c r="AC20" s="23">
        <v>1</v>
      </c>
      <c r="AD20" s="23">
        <v>1</v>
      </c>
      <c r="AE20" s="26">
        <v>5860</v>
      </c>
      <c r="AF20" s="26">
        <v>5860</v>
      </c>
      <c r="AG20" s="26">
        <v>5845</v>
      </c>
      <c r="AH20" s="26">
        <f t="shared" ref="AH20:AH35" si="13">SUM(AI20:AN20)</f>
        <v>70305</v>
      </c>
      <c r="AI20" s="26">
        <v>15305</v>
      </c>
      <c r="AJ20" s="26">
        <v>55000</v>
      </c>
      <c r="AK20" s="26"/>
      <c r="AL20" s="26"/>
      <c r="AM20" s="26"/>
      <c r="AN20" s="26"/>
      <c r="AO20" s="1532" t="s">
        <v>3537</v>
      </c>
      <c r="AP20" s="1532" t="s">
        <v>3538</v>
      </c>
      <c r="AQ20" s="1532"/>
    </row>
    <row r="21" spans="1:43" ht="75">
      <c r="A21" s="22" t="s">
        <v>3539</v>
      </c>
      <c r="B21" s="22" t="s">
        <v>3540</v>
      </c>
      <c r="C21" s="1530">
        <f t="shared" si="12"/>
        <v>50</v>
      </c>
      <c r="D21" s="22" t="s">
        <v>3541</v>
      </c>
      <c r="E21" s="22" t="s">
        <v>3542</v>
      </c>
      <c r="F21" s="22" t="s">
        <v>3543</v>
      </c>
      <c r="G21" s="24">
        <f t="shared" si="0"/>
        <v>1.5221754025140612</v>
      </c>
      <c r="H21" s="1531"/>
      <c r="I21" s="1540">
        <v>5</v>
      </c>
      <c r="J21" s="23">
        <v>4</v>
      </c>
      <c r="K21" s="23">
        <v>5</v>
      </c>
      <c r="L21" s="23">
        <v>4</v>
      </c>
      <c r="M21" s="26">
        <v>8915</v>
      </c>
      <c r="N21" s="26">
        <v>11145</v>
      </c>
      <c r="O21" s="26">
        <v>8915</v>
      </c>
      <c r="P21" s="23">
        <v>4</v>
      </c>
      <c r="Q21" s="23">
        <v>4</v>
      </c>
      <c r="R21" s="23">
        <v>4</v>
      </c>
      <c r="S21" s="26">
        <v>8915</v>
      </c>
      <c r="T21" s="26">
        <v>8915</v>
      </c>
      <c r="U21" s="26">
        <v>8915</v>
      </c>
      <c r="V21" s="23">
        <v>4</v>
      </c>
      <c r="W21" s="23">
        <v>4</v>
      </c>
      <c r="X21" s="23">
        <v>4</v>
      </c>
      <c r="Y21" s="26">
        <v>8915</v>
      </c>
      <c r="Z21" s="26">
        <v>8915</v>
      </c>
      <c r="AA21" s="26">
        <v>8915</v>
      </c>
      <c r="AB21" s="23">
        <v>5</v>
      </c>
      <c r="AC21" s="23">
        <v>4</v>
      </c>
      <c r="AD21" s="23">
        <v>4</v>
      </c>
      <c r="AE21" s="26">
        <v>11145</v>
      </c>
      <c r="AF21" s="26">
        <v>8915</v>
      </c>
      <c r="AG21" s="26">
        <v>8935</v>
      </c>
      <c r="AH21" s="26">
        <f t="shared" si="13"/>
        <v>111460</v>
      </c>
      <c r="AI21" s="26">
        <v>48460</v>
      </c>
      <c r="AJ21" s="26">
        <v>63000</v>
      </c>
      <c r="AK21" s="26"/>
      <c r="AL21" s="26"/>
      <c r="AM21" s="26"/>
      <c r="AN21" s="26"/>
      <c r="AO21" s="1532" t="s">
        <v>3537</v>
      </c>
      <c r="AP21" s="1532" t="s">
        <v>3538</v>
      </c>
      <c r="AQ21" s="1532"/>
    </row>
    <row r="22" spans="1:43" ht="75">
      <c r="A22" s="22" t="s">
        <v>3544</v>
      </c>
      <c r="B22" s="22" t="s">
        <v>3540</v>
      </c>
      <c r="C22" s="1530">
        <f t="shared" si="12"/>
        <v>36</v>
      </c>
      <c r="D22" s="22" t="s">
        <v>3541</v>
      </c>
      <c r="E22" s="22" t="s">
        <v>3545</v>
      </c>
      <c r="F22" s="22" t="s">
        <v>3546</v>
      </c>
      <c r="G22" s="24">
        <f t="shared" si="0"/>
        <v>1.5542686395130569</v>
      </c>
      <c r="H22" s="1531"/>
      <c r="I22" s="1540">
        <v>4</v>
      </c>
      <c r="J22" s="23">
        <v>3</v>
      </c>
      <c r="K22" s="23">
        <v>3</v>
      </c>
      <c r="L22" s="23">
        <v>3</v>
      </c>
      <c r="M22" s="26">
        <v>9485</v>
      </c>
      <c r="N22" s="26">
        <v>9485</v>
      </c>
      <c r="O22" s="26">
        <v>9485</v>
      </c>
      <c r="P22" s="23">
        <v>3</v>
      </c>
      <c r="Q22" s="23">
        <v>3</v>
      </c>
      <c r="R22" s="23">
        <v>3</v>
      </c>
      <c r="S22" s="26">
        <v>9485</v>
      </c>
      <c r="T22" s="26">
        <v>9485</v>
      </c>
      <c r="U22" s="26">
        <v>9485</v>
      </c>
      <c r="V22" s="23">
        <v>3</v>
      </c>
      <c r="W22" s="23">
        <v>3</v>
      </c>
      <c r="X22" s="23">
        <v>3</v>
      </c>
      <c r="Y22" s="26">
        <v>9485</v>
      </c>
      <c r="Z22" s="26">
        <v>9485</v>
      </c>
      <c r="AA22" s="26">
        <v>9485</v>
      </c>
      <c r="AB22" s="23">
        <v>3</v>
      </c>
      <c r="AC22" s="23">
        <v>3</v>
      </c>
      <c r="AD22" s="23">
        <v>3</v>
      </c>
      <c r="AE22" s="26">
        <v>9485</v>
      </c>
      <c r="AF22" s="26">
        <v>9485</v>
      </c>
      <c r="AG22" s="26">
        <v>9475</v>
      </c>
      <c r="AH22" s="26">
        <f t="shared" si="13"/>
        <v>113810</v>
      </c>
      <c r="AI22" s="26">
        <v>40810</v>
      </c>
      <c r="AJ22" s="26">
        <v>73000</v>
      </c>
      <c r="AK22" s="26"/>
      <c r="AL22" s="26"/>
      <c r="AM22" s="26"/>
      <c r="AN22" s="26"/>
      <c r="AO22" s="1532" t="s">
        <v>3537</v>
      </c>
      <c r="AP22" s="1532" t="s">
        <v>3538</v>
      </c>
      <c r="AQ22" s="1532"/>
    </row>
    <row r="23" spans="1:43" ht="120">
      <c r="A23" s="22" t="s">
        <v>3547</v>
      </c>
      <c r="B23" s="22" t="s">
        <v>3548</v>
      </c>
      <c r="C23" s="1530">
        <f>J23+K23+L23+P23+Q23+R23+V23+W23+X23+AB23+AC23+AD23</f>
        <v>36</v>
      </c>
      <c r="D23" s="22" t="s">
        <v>1945</v>
      </c>
      <c r="E23" s="22" t="s">
        <v>3549</v>
      </c>
      <c r="F23" s="22" t="s">
        <v>3550</v>
      </c>
      <c r="G23" s="24">
        <f t="shared" si="0"/>
        <v>0.13492816236173447</v>
      </c>
      <c r="H23" s="1531"/>
      <c r="I23" s="1540">
        <v>4</v>
      </c>
      <c r="J23" s="23">
        <v>3</v>
      </c>
      <c r="K23" s="23">
        <v>3</v>
      </c>
      <c r="L23" s="23">
        <v>3</v>
      </c>
      <c r="M23" s="26">
        <v>825</v>
      </c>
      <c r="N23" s="26">
        <v>825</v>
      </c>
      <c r="O23" s="26">
        <v>825</v>
      </c>
      <c r="P23" s="23">
        <v>3</v>
      </c>
      <c r="Q23" s="23">
        <v>3</v>
      </c>
      <c r="R23" s="23">
        <v>3</v>
      </c>
      <c r="S23" s="26">
        <v>825</v>
      </c>
      <c r="T23" s="26">
        <v>825</v>
      </c>
      <c r="U23" s="26">
        <v>825</v>
      </c>
      <c r="V23" s="23">
        <v>3</v>
      </c>
      <c r="W23" s="23">
        <v>3</v>
      </c>
      <c r="X23" s="23">
        <v>3</v>
      </c>
      <c r="Y23" s="26">
        <v>825</v>
      </c>
      <c r="Z23" s="26">
        <v>825</v>
      </c>
      <c r="AA23" s="26">
        <v>825</v>
      </c>
      <c r="AB23" s="23">
        <v>3</v>
      </c>
      <c r="AC23" s="23">
        <v>3</v>
      </c>
      <c r="AD23" s="23">
        <v>3</v>
      </c>
      <c r="AE23" s="26">
        <v>825</v>
      </c>
      <c r="AF23" s="26">
        <v>825</v>
      </c>
      <c r="AG23" s="26">
        <v>805</v>
      </c>
      <c r="AH23" s="26">
        <f t="shared" si="13"/>
        <v>9880</v>
      </c>
      <c r="AI23" s="26">
        <v>9880</v>
      </c>
      <c r="AJ23" s="26"/>
      <c r="AK23" s="26"/>
      <c r="AL23" s="26"/>
      <c r="AM23" s="26"/>
      <c r="AN23" s="26"/>
      <c r="AO23" s="1532" t="s">
        <v>3525</v>
      </c>
      <c r="AP23" s="1532" t="s">
        <v>3551</v>
      </c>
      <c r="AQ23" s="1532"/>
    </row>
    <row r="24" spans="1:43" ht="60">
      <c r="A24" s="22" t="s">
        <v>3552</v>
      </c>
      <c r="B24" s="22" t="s">
        <v>3553</v>
      </c>
      <c r="C24" s="1530">
        <f>J24+K24+L24+P24+Q24+R24+V24+W24+X24+AB24+AC24+AD24</f>
        <v>20</v>
      </c>
      <c r="D24" s="22" t="s">
        <v>3554</v>
      </c>
      <c r="E24" s="22" t="s">
        <v>3555</v>
      </c>
      <c r="F24" s="22" t="s">
        <v>3556</v>
      </c>
      <c r="G24" s="24">
        <f t="shared" si="0"/>
        <v>0.16606543059905782</v>
      </c>
      <c r="H24" s="1531"/>
      <c r="I24" s="1540">
        <v>5</v>
      </c>
      <c r="J24" s="23">
        <v>1</v>
      </c>
      <c r="K24" s="23">
        <v>1</v>
      </c>
      <c r="L24" s="23">
        <v>1</v>
      </c>
      <c r="M24" s="26">
        <v>555</v>
      </c>
      <c r="N24" s="26">
        <v>555</v>
      </c>
      <c r="O24" s="26">
        <v>555</v>
      </c>
      <c r="P24" s="23">
        <v>1</v>
      </c>
      <c r="Q24" s="23">
        <v>2</v>
      </c>
      <c r="R24" s="23">
        <v>2</v>
      </c>
      <c r="S24" s="26">
        <v>555</v>
      </c>
      <c r="T24" s="26">
        <v>1105</v>
      </c>
      <c r="U24" s="26">
        <v>1105</v>
      </c>
      <c r="V24" s="23">
        <v>2</v>
      </c>
      <c r="W24" s="23">
        <v>3</v>
      </c>
      <c r="X24" s="23">
        <v>3</v>
      </c>
      <c r="Y24" s="26">
        <v>1105</v>
      </c>
      <c r="Z24" s="26">
        <v>1660</v>
      </c>
      <c r="AA24" s="26">
        <v>1660</v>
      </c>
      <c r="AB24" s="23">
        <v>2</v>
      </c>
      <c r="AC24" s="23">
        <v>1</v>
      </c>
      <c r="AD24" s="23">
        <v>1</v>
      </c>
      <c r="AE24" s="26">
        <v>1105</v>
      </c>
      <c r="AF24" s="26">
        <v>1105</v>
      </c>
      <c r="AG24" s="26">
        <v>1095</v>
      </c>
      <c r="AH24" s="26">
        <f t="shared" si="13"/>
        <v>12160</v>
      </c>
      <c r="AI24" s="26">
        <v>12160</v>
      </c>
      <c r="AJ24" s="26"/>
      <c r="AK24" s="26"/>
      <c r="AL24" s="26"/>
      <c r="AM24" s="26"/>
      <c r="AN24" s="26"/>
      <c r="AO24" s="1532" t="s">
        <v>3525</v>
      </c>
      <c r="AP24" s="1532" t="s">
        <v>3557</v>
      </c>
      <c r="AQ24" s="1532"/>
    </row>
    <row r="25" spans="1:43" ht="75">
      <c r="A25" s="22" t="s">
        <v>3558</v>
      </c>
      <c r="B25" s="22" t="s">
        <v>3559</v>
      </c>
      <c r="C25" s="1530">
        <f t="shared" si="12"/>
        <v>1344</v>
      </c>
      <c r="D25" s="22" t="s">
        <v>252</v>
      </c>
      <c r="E25" s="22" t="s">
        <v>3560</v>
      </c>
      <c r="F25" s="22" t="s">
        <v>3561</v>
      </c>
      <c r="G25" s="24">
        <f t="shared" si="0"/>
        <v>0.59215436437295621</v>
      </c>
      <c r="H25" s="1531"/>
      <c r="I25" s="1540">
        <v>5</v>
      </c>
      <c r="J25" s="23">
        <v>88</v>
      </c>
      <c r="K25" s="23">
        <v>99</v>
      </c>
      <c r="L25" s="23">
        <v>114</v>
      </c>
      <c r="M25" s="26">
        <v>2840</v>
      </c>
      <c r="N25" s="26">
        <v>3195</v>
      </c>
      <c r="O25" s="26">
        <v>3680</v>
      </c>
      <c r="P25" s="23">
        <v>109</v>
      </c>
      <c r="Q25" s="23">
        <v>124</v>
      </c>
      <c r="R25" s="23">
        <v>125</v>
      </c>
      <c r="S25" s="26">
        <v>3515</v>
      </c>
      <c r="T25" s="26">
        <v>4000</v>
      </c>
      <c r="U25" s="26">
        <v>4035</v>
      </c>
      <c r="V25" s="23">
        <v>127</v>
      </c>
      <c r="W25" s="23">
        <v>106</v>
      </c>
      <c r="X25" s="23">
        <v>127</v>
      </c>
      <c r="Y25" s="26">
        <v>4095</v>
      </c>
      <c r="Z25" s="26">
        <v>3420</v>
      </c>
      <c r="AA25" s="26">
        <v>4095</v>
      </c>
      <c r="AB25" s="23">
        <v>116</v>
      </c>
      <c r="AC25" s="23">
        <v>115</v>
      </c>
      <c r="AD25" s="23">
        <v>94</v>
      </c>
      <c r="AE25" s="26">
        <v>3740</v>
      </c>
      <c r="AF25" s="26">
        <v>3710</v>
      </c>
      <c r="AG25" s="26">
        <v>3035</v>
      </c>
      <c r="AH25" s="26">
        <f t="shared" si="13"/>
        <v>43360</v>
      </c>
      <c r="AI25" s="26">
        <v>43360</v>
      </c>
      <c r="AJ25" s="26"/>
      <c r="AK25" s="26"/>
      <c r="AL25" s="26"/>
      <c r="AM25" s="26"/>
      <c r="AN25" s="26"/>
      <c r="AO25" s="1532" t="s">
        <v>3537</v>
      </c>
      <c r="AP25" s="1532" t="s">
        <v>3562</v>
      </c>
      <c r="AQ25" s="1532"/>
    </row>
    <row r="26" spans="1:43" ht="90">
      <c r="A26" s="22" t="s">
        <v>3563</v>
      </c>
      <c r="B26" s="22" t="s">
        <v>3564</v>
      </c>
      <c r="C26" s="1530">
        <f t="shared" si="12"/>
        <v>3155</v>
      </c>
      <c r="D26" s="22" t="s">
        <v>3565</v>
      </c>
      <c r="E26" s="22" t="s">
        <v>3566</v>
      </c>
      <c r="F26" s="22" t="s">
        <v>3567</v>
      </c>
      <c r="G26" s="24">
        <f t="shared" si="0"/>
        <v>0.52243692825386157</v>
      </c>
      <c r="H26" s="1531"/>
      <c r="I26" s="1540">
        <v>6</v>
      </c>
      <c r="J26" s="647">
        <v>30</v>
      </c>
      <c r="K26" s="647">
        <v>90</v>
      </c>
      <c r="L26" s="647">
        <v>70</v>
      </c>
      <c r="M26" s="26">
        <v>285</v>
      </c>
      <c r="N26" s="26">
        <v>860</v>
      </c>
      <c r="O26" s="26">
        <v>670</v>
      </c>
      <c r="P26" s="647">
        <v>315</v>
      </c>
      <c r="Q26" s="647">
        <v>400</v>
      </c>
      <c r="R26" s="647">
        <v>400</v>
      </c>
      <c r="S26" s="26">
        <v>3015</v>
      </c>
      <c r="T26" s="26">
        <v>3825</v>
      </c>
      <c r="U26" s="26">
        <v>3825</v>
      </c>
      <c r="V26" s="647">
        <v>450</v>
      </c>
      <c r="W26" s="647">
        <v>450</v>
      </c>
      <c r="X26" s="647">
        <v>450</v>
      </c>
      <c r="Y26" s="26">
        <v>4305</v>
      </c>
      <c r="Z26" s="26">
        <v>4305</v>
      </c>
      <c r="AA26" s="26">
        <v>4305</v>
      </c>
      <c r="AB26" s="647">
        <v>200</v>
      </c>
      <c r="AC26" s="647">
        <v>175</v>
      </c>
      <c r="AD26" s="647">
        <v>125</v>
      </c>
      <c r="AE26" s="26">
        <v>4305</v>
      </c>
      <c r="AF26" s="26">
        <v>4305</v>
      </c>
      <c r="AG26" s="26">
        <v>4250</v>
      </c>
      <c r="AH26" s="26">
        <f t="shared" si="13"/>
        <v>38255</v>
      </c>
      <c r="AI26" s="26">
        <v>38255</v>
      </c>
      <c r="AJ26" s="26"/>
      <c r="AK26" s="26"/>
      <c r="AL26" s="26"/>
      <c r="AM26" s="26"/>
      <c r="AN26" s="26"/>
      <c r="AO26" s="1532" t="s">
        <v>3537</v>
      </c>
      <c r="AP26" s="1541" t="s">
        <v>3562</v>
      </c>
      <c r="AQ26" s="1532"/>
    </row>
    <row r="27" spans="1:43" ht="75">
      <c r="A27" s="22" t="s">
        <v>3568</v>
      </c>
      <c r="B27" s="22" t="s">
        <v>3569</v>
      </c>
      <c r="C27" s="1530">
        <f>J27+K27+L27+P27+Q27+R27+V27+W27+X27+AB27+AC27+AD27</f>
        <v>3155</v>
      </c>
      <c r="D27" s="22" t="s">
        <v>3570</v>
      </c>
      <c r="E27" s="22" t="s">
        <v>3571</v>
      </c>
      <c r="F27" s="22" t="s">
        <v>3572</v>
      </c>
      <c r="G27" s="24">
        <f t="shared" si="0"/>
        <v>0.34831404666356658</v>
      </c>
      <c r="H27" s="1531"/>
      <c r="I27" s="1540">
        <v>6</v>
      </c>
      <c r="J27" s="23">
        <v>30</v>
      </c>
      <c r="K27" s="23">
        <v>90</v>
      </c>
      <c r="L27" s="23">
        <v>70</v>
      </c>
      <c r="M27" s="26">
        <v>190</v>
      </c>
      <c r="N27" s="26">
        <v>575</v>
      </c>
      <c r="O27" s="26">
        <v>445</v>
      </c>
      <c r="P27" s="23">
        <v>315</v>
      </c>
      <c r="Q27" s="23">
        <v>400</v>
      </c>
      <c r="R27" s="23">
        <v>400</v>
      </c>
      <c r="S27" s="26">
        <v>2010</v>
      </c>
      <c r="T27" s="26">
        <v>2550</v>
      </c>
      <c r="U27" s="26">
        <v>2550</v>
      </c>
      <c r="V27" s="23">
        <v>450</v>
      </c>
      <c r="W27" s="23">
        <v>450</v>
      </c>
      <c r="X27" s="23">
        <v>450</v>
      </c>
      <c r="Y27" s="26">
        <v>2870</v>
      </c>
      <c r="Z27" s="26">
        <v>2870</v>
      </c>
      <c r="AA27" s="26">
        <v>2870</v>
      </c>
      <c r="AB27" s="647">
        <v>200</v>
      </c>
      <c r="AC27" s="647">
        <v>175</v>
      </c>
      <c r="AD27" s="647">
        <v>125</v>
      </c>
      <c r="AE27" s="26">
        <v>2870</v>
      </c>
      <c r="AF27" s="26">
        <v>2870</v>
      </c>
      <c r="AG27" s="26">
        <v>2835</v>
      </c>
      <c r="AH27" s="26">
        <f t="shared" si="13"/>
        <v>25505</v>
      </c>
      <c r="AI27" s="26">
        <v>25505</v>
      </c>
      <c r="AJ27" s="26"/>
      <c r="AK27" s="26"/>
      <c r="AL27" s="26"/>
      <c r="AM27" s="26"/>
      <c r="AN27" s="26"/>
      <c r="AO27" s="1532" t="s">
        <v>3537</v>
      </c>
      <c r="AP27" s="1532" t="s">
        <v>3573</v>
      </c>
      <c r="AQ27" s="1532"/>
    </row>
    <row r="28" spans="1:43" ht="135">
      <c r="A28" s="22" t="s">
        <v>3574</v>
      </c>
      <c r="B28" s="22" t="s">
        <v>3575</v>
      </c>
      <c r="C28" s="1530">
        <f t="shared" si="12"/>
        <v>11</v>
      </c>
      <c r="D28" s="22" t="s">
        <v>3576</v>
      </c>
      <c r="E28" s="22" t="s">
        <v>3577</v>
      </c>
      <c r="F28" s="22" t="s">
        <v>3578</v>
      </c>
      <c r="G28" s="24">
        <f t="shared" si="0"/>
        <v>0.14530725177417561</v>
      </c>
      <c r="H28" s="1531"/>
      <c r="I28" s="1540">
        <v>4</v>
      </c>
      <c r="J28" s="23">
        <v>1</v>
      </c>
      <c r="K28" s="23">
        <v>1</v>
      </c>
      <c r="L28" s="23">
        <v>1</v>
      </c>
      <c r="M28" s="26">
        <v>885</v>
      </c>
      <c r="N28" s="26">
        <v>885</v>
      </c>
      <c r="O28" s="26">
        <v>885</v>
      </c>
      <c r="P28" s="23">
        <v>1</v>
      </c>
      <c r="Q28" s="23">
        <v>1</v>
      </c>
      <c r="R28" s="23">
        <v>1</v>
      </c>
      <c r="S28" s="26">
        <v>885</v>
      </c>
      <c r="T28" s="26">
        <v>885</v>
      </c>
      <c r="U28" s="26">
        <v>885</v>
      </c>
      <c r="V28" s="23">
        <v>1</v>
      </c>
      <c r="W28" s="23">
        <v>1</v>
      </c>
      <c r="X28" s="23">
        <v>1</v>
      </c>
      <c r="Y28" s="26">
        <v>885</v>
      </c>
      <c r="Z28" s="26">
        <v>885</v>
      </c>
      <c r="AA28" s="26">
        <v>885</v>
      </c>
      <c r="AB28" s="23">
        <v>1</v>
      </c>
      <c r="AC28" s="23">
        <v>1</v>
      </c>
      <c r="AD28" s="23">
        <v>0</v>
      </c>
      <c r="AE28" s="26">
        <v>885</v>
      </c>
      <c r="AF28" s="26">
        <v>885</v>
      </c>
      <c r="AG28" s="26">
        <v>905</v>
      </c>
      <c r="AH28" s="26">
        <f t="shared" si="13"/>
        <v>10640</v>
      </c>
      <c r="AI28" s="26">
        <v>10640</v>
      </c>
      <c r="AJ28" s="26"/>
      <c r="AK28" s="26"/>
      <c r="AL28" s="26"/>
      <c r="AM28" s="26"/>
      <c r="AN28" s="26"/>
      <c r="AO28" s="1532" t="s">
        <v>3525</v>
      </c>
      <c r="AP28" s="1532" t="s">
        <v>3557</v>
      </c>
      <c r="AQ28" s="1532"/>
    </row>
    <row r="29" spans="1:43" ht="90">
      <c r="A29" s="22" t="s">
        <v>3579</v>
      </c>
      <c r="B29" s="22" t="s">
        <v>3580</v>
      </c>
      <c r="C29" s="1530">
        <f t="shared" si="12"/>
        <v>3155</v>
      </c>
      <c r="D29" s="22" t="s">
        <v>1945</v>
      </c>
      <c r="E29" s="22" t="s">
        <v>1946</v>
      </c>
      <c r="F29" s="22" t="s">
        <v>1947</v>
      </c>
      <c r="G29" s="24">
        <f t="shared" si="0"/>
        <v>0.20751350476584571</v>
      </c>
      <c r="H29" s="1531"/>
      <c r="I29" s="1540">
        <v>5</v>
      </c>
      <c r="J29" s="23">
        <v>30</v>
      </c>
      <c r="K29" s="23">
        <v>90</v>
      </c>
      <c r="L29" s="23">
        <v>70</v>
      </c>
      <c r="M29" s="26">
        <v>115</v>
      </c>
      <c r="N29" s="26">
        <v>340</v>
      </c>
      <c r="O29" s="26">
        <v>265</v>
      </c>
      <c r="P29" s="23">
        <v>315</v>
      </c>
      <c r="Q29" s="23">
        <v>400</v>
      </c>
      <c r="R29" s="23">
        <v>400</v>
      </c>
      <c r="S29" s="26">
        <v>1195</v>
      </c>
      <c r="T29" s="26">
        <v>1520</v>
      </c>
      <c r="U29" s="26">
        <v>1520</v>
      </c>
      <c r="V29" s="23">
        <v>450</v>
      </c>
      <c r="W29" s="23">
        <v>450</v>
      </c>
      <c r="X29" s="23">
        <v>450</v>
      </c>
      <c r="Y29" s="26">
        <v>1710</v>
      </c>
      <c r="Z29" s="26">
        <v>1710</v>
      </c>
      <c r="AA29" s="26">
        <v>1710</v>
      </c>
      <c r="AB29" s="647">
        <v>200</v>
      </c>
      <c r="AC29" s="647">
        <v>175</v>
      </c>
      <c r="AD29" s="647">
        <v>125</v>
      </c>
      <c r="AE29" s="26">
        <v>1710</v>
      </c>
      <c r="AF29" s="26">
        <v>1710</v>
      </c>
      <c r="AG29" s="26">
        <v>1690</v>
      </c>
      <c r="AH29" s="26">
        <f t="shared" si="13"/>
        <v>15195</v>
      </c>
      <c r="AI29" s="26">
        <v>15195</v>
      </c>
      <c r="AJ29" s="26"/>
      <c r="AK29" s="26"/>
      <c r="AL29" s="26"/>
      <c r="AM29" s="26"/>
      <c r="AN29" s="26"/>
      <c r="AO29" s="1532" t="s">
        <v>3525</v>
      </c>
      <c r="AP29" s="1532" t="s">
        <v>3551</v>
      </c>
      <c r="AQ29" s="1532"/>
    </row>
    <row r="30" spans="1:43" ht="75">
      <c r="A30" s="22" t="s">
        <v>3581</v>
      </c>
      <c r="B30" s="22" t="s">
        <v>3582</v>
      </c>
      <c r="C30" s="1530">
        <f t="shared" si="12"/>
        <v>3155</v>
      </c>
      <c r="D30" s="22" t="s">
        <v>57</v>
      </c>
      <c r="E30" s="22" t="s">
        <v>3583</v>
      </c>
      <c r="F30" s="22" t="s">
        <v>3584</v>
      </c>
      <c r="G30" s="24">
        <f t="shared" si="0"/>
        <v>0.19713441535340456</v>
      </c>
      <c r="H30" s="1531"/>
      <c r="I30" s="1540">
        <v>7</v>
      </c>
      <c r="J30" s="23">
        <v>30</v>
      </c>
      <c r="K30" s="23">
        <v>90</v>
      </c>
      <c r="L30" s="23">
        <v>70</v>
      </c>
      <c r="M30" s="26">
        <v>110</v>
      </c>
      <c r="N30" s="26">
        <v>325</v>
      </c>
      <c r="O30" s="26">
        <v>255</v>
      </c>
      <c r="P30" s="23">
        <v>315</v>
      </c>
      <c r="Q30" s="23">
        <v>400</v>
      </c>
      <c r="R30" s="23">
        <v>400</v>
      </c>
      <c r="S30" s="26">
        <v>1135</v>
      </c>
      <c r="T30" s="26">
        <v>1445</v>
      </c>
      <c r="U30" s="26">
        <v>1445</v>
      </c>
      <c r="V30" s="23">
        <v>450</v>
      </c>
      <c r="W30" s="23">
        <v>450</v>
      </c>
      <c r="X30" s="23">
        <v>450</v>
      </c>
      <c r="Y30" s="26">
        <v>1625</v>
      </c>
      <c r="Z30" s="26">
        <v>1625</v>
      </c>
      <c r="AA30" s="26">
        <v>1625</v>
      </c>
      <c r="AB30" s="647">
        <v>200</v>
      </c>
      <c r="AC30" s="647">
        <v>175</v>
      </c>
      <c r="AD30" s="647">
        <v>125</v>
      </c>
      <c r="AE30" s="26">
        <v>1625</v>
      </c>
      <c r="AF30" s="26">
        <v>1625</v>
      </c>
      <c r="AG30" s="26">
        <v>1595</v>
      </c>
      <c r="AH30" s="26">
        <f t="shared" si="13"/>
        <v>14435</v>
      </c>
      <c r="AI30" s="26">
        <v>14435</v>
      </c>
      <c r="AJ30" s="26"/>
      <c r="AK30" s="26"/>
      <c r="AL30" s="26"/>
      <c r="AM30" s="26"/>
      <c r="AN30" s="26"/>
      <c r="AO30" s="1532" t="s">
        <v>3525</v>
      </c>
      <c r="AP30" s="1532" t="s">
        <v>3585</v>
      </c>
      <c r="AQ30" s="1532"/>
    </row>
    <row r="31" spans="1:43" ht="75">
      <c r="A31" s="22" t="s">
        <v>3586</v>
      </c>
      <c r="B31" s="22" t="s">
        <v>3582</v>
      </c>
      <c r="C31" s="1530">
        <f t="shared" si="12"/>
        <v>3155</v>
      </c>
      <c r="D31" s="22" t="s">
        <v>57</v>
      </c>
      <c r="E31" s="22" t="s">
        <v>3587</v>
      </c>
      <c r="F31" s="22" t="s">
        <v>3588</v>
      </c>
      <c r="G31" s="24">
        <f t="shared" si="0"/>
        <v>0.18675532594096347</v>
      </c>
      <c r="H31" s="1531"/>
      <c r="I31" s="1540">
        <v>8</v>
      </c>
      <c r="J31" s="23">
        <v>30</v>
      </c>
      <c r="K31" s="23">
        <v>90</v>
      </c>
      <c r="L31" s="23">
        <v>70</v>
      </c>
      <c r="M31" s="26">
        <v>105</v>
      </c>
      <c r="N31" s="26">
        <v>310</v>
      </c>
      <c r="O31" s="26">
        <v>240</v>
      </c>
      <c r="P31" s="23">
        <v>315</v>
      </c>
      <c r="Q31" s="23">
        <v>400</v>
      </c>
      <c r="R31" s="23">
        <v>400</v>
      </c>
      <c r="S31" s="26">
        <v>1075</v>
      </c>
      <c r="T31" s="26">
        <v>1370</v>
      </c>
      <c r="U31" s="26">
        <v>1370</v>
      </c>
      <c r="V31" s="23">
        <v>450</v>
      </c>
      <c r="W31" s="23">
        <v>450</v>
      </c>
      <c r="X31" s="23">
        <v>450</v>
      </c>
      <c r="Y31" s="26">
        <v>1540</v>
      </c>
      <c r="Z31" s="26">
        <v>1540</v>
      </c>
      <c r="AA31" s="26">
        <v>1540</v>
      </c>
      <c r="AB31" s="647">
        <v>200</v>
      </c>
      <c r="AC31" s="647">
        <v>175</v>
      </c>
      <c r="AD31" s="647">
        <v>125</v>
      </c>
      <c r="AE31" s="26">
        <v>1540</v>
      </c>
      <c r="AF31" s="26">
        <v>1540</v>
      </c>
      <c r="AG31" s="26">
        <v>1505</v>
      </c>
      <c r="AH31" s="26">
        <f t="shared" si="13"/>
        <v>13675</v>
      </c>
      <c r="AI31" s="26">
        <v>13675</v>
      </c>
      <c r="AJ31" s="26"/>
      <c r="AK31" s="26"/>
      <c r="AL31" s="26"/>
      <c r="AM31" s="26"/>
      <c r="AN31" s="26"/>
      <c r="AO31" s="1532" t="s">
        <v>3525</v>
      </c>
      <c r="AP31" s="1532" t="s">
        <v>3585</v>
      </c>
      <c r="AQ31" s="1532"/>
    </row>
    <row r="32" spans="1:43" ht="45">
      <c r="A32" s="22" t="s">
        <v>3589</v>
      </c>
      <c r="B32" s="22" t="s">
        <v>3590</v>
      </c>
      <c r="C32" s="1530">
        <f t="shared" si="12"/>
        <v>3155</v>
      </c>
      <c r="D32" s="22" t="s">
        <v>1945</v>
      </c>
      <c r="E32" s="22" t="s">
        <v>3591</v>
      </c>
      <c r="F32" s="22" t="s">
        <v>3592</v>
      </c>
      <c r="G32" s="24">
        <f t="shared" si="0"/>
        <v>4.8481272913376255E-2</v>
      </c>
      <c r="H32" s="1531"/>
      <c r="I32" s="1540">
        <v>10</v>
      </c>
      <c r="J32" s="23">
        <v>30</v>
      </c>
      <c r="K32" s="23">
        <v>90</v>
      </c>
      <c r="L32" s="23">
        <v>70</v>
      </c>
      <c r="M32" s="26">
        <v>25</v>
      </c>
      <c r="N32" s="26">
        <v>80</v>
      </c>
      <c r="O32" s="26">
        <v>60</v>
      </c>
      <c r="P32" s="23">
        <v>315</v>
      </c>
      <c r="Q32" s="23">
        <v>400</v>
      </c>
      <c r="R32" s="23">
        <v>400</v>
      </c>
      <c r="S32" s="26">
        <v>280</v>
      </c>
      <c r="T32" s="26">
        <v>355</v>
      </c>
      <c r="U32" s="26">
        <v>355</v>
      </c>
      <c r="V32" s="23">
        <v>450</v>
      </c>
      <c r="W32" s="23">
        <v>450</v>
      </c>
      <c r="X32" s="23">
        <v>450</v>
      </c>
      <c r="Y32" s="26">
        <v>400</v>
      </c>
      <c r="Z32" s="26">
        <v>400</v>
      </c>
      <c r="AA32" s="26">
        <v>400</v>
      </c>
      <c r="AB32" s="647">
        <v>200</v>
      </c>
      <c r="AC32" s="647">
        <v>175</v>
      </c>
      <c r="AD32" s="647">
        <v>125</v>
      </c>
      <c r="AE32" s="26">
        <v>400</v>
      </c>
      <c r="AF32" s="26">
        <v>400</v>
      </c>
      <c r="AG32" s="26">
        <v>395</v>
      </c>
      <c r="AH32" s="26">
        <f t="shared" si="13"/>
        <v>3550</v>
      </c>
      <c r="AI32" s="26">
        <v>3550</v>
      </c>
      <c r="AJ32" s="26"/>
      <c r="AK32" s="26"/>
      <c r="AL32" s="26"/>
      <c r="AM32" s="26"/>
      <c r="AN32" s="26"/>
      <c r="AO32" s="1532" t="s">
        <v>3525</v>
      </c>
      <c r="AP32" s="1532" t="s">
        <v>3593</v>
      </c>
      <c r="AQ32" s="1532"/>
    </row>
    <row r="33" spans="1:43" ht="60">
      <c r="A33" s="22" t="s">
        <v>3594</v>
      </c>
      <c r="B33" s="22" t="s">
        <v>3595</v>
      </c>
      <c r="C33" s="1530">
        <f t="shared" si="12"/>
        <v>3000</v>
      </c>
      <c r="D33" s="22" t="s">
        <v>3596</v>
      </c>
      <c r="E33" s="22" t="s">
        <v>3597</v>
      </c>
      <c r="F33" s="22" t="s">
        <v>3598</v>
      </c>
      <c r="G33" s="24">
        <f t="shared" si="0"/>
        <v>0.76777948258873607</v>
      </c>
      <c r="H33" s="1531"/>
      <c r="I33" s="1540">
        <v>9</v>
      </c>
      <c r="J33" s="23"/>
      <c r="K33" s="23"/>
      <c r="L33" s="23">
        <v>1000</v>
      </c>
      <c r="M33" s="1296"/>
      <c r="N33" s="1296"/>
      <c r="O33" s="26">
        <v>18740</v>
      </c>
      <c r="P33" s="23">
        <v>500</v>
      </c>
      <c r="Q33" s="23">
        <v>500</v>
      </c>
      <c r="R33" s="23">
        <v>500</v>
      </c>
      <c r="S33" s="26">
        <v>9370</v>
      </c>
      <c r="T33" s="26">
        <v>9370</v>
      </c>
      <c r="U33" s="26">
        <v>9370</v>
      </c>
      <c r="V33" s="23">
        <v>500</v>
      </c>
      <c r="W33" s="23"/>
      <c r="X33" s="23"/>
      <c r="Y33" s="26">
        <v>9370</v>
      </c>
      <c r="Z33" s="26"/>
      <c r="AA33" s="26"/>
      <c r="AB33" s="23"/>
      <c r="AC33" s="23"/>
      <c r="AD33" s="23"/>
      <c r="AE33" s="26"/>
      <c r="AF33" s="26"/>
      <c r="AG33" s="26"/>
      <c r="AH33" s="26">
        <f t="shared" si="13"/>
        <v>56220</v>
      </c>
      <c r="AI33" s="26">
        <v>36000</v>
      </c>
      <c r="AJ33" s="26">
        <v>20220</v>
      </c>
      <c r="AK33" s="26"/>
      <c r="AL33" s="26"/>
      <c r="AM33" s="26"/>
      <c r="AN33" s="26"/>
      <c r="AO33" s="1532" t="s">
        <v>3537</v>
      </c>
      <c r="AP33" s="1532" t="s">
        <v>3599</v>
      </c>
      <c r="AQ33" s="1532"/>
    </row>
    <row r="34" spans="1:43" ht="60">
      <c r="A34" s="22" t="s">
        <v>3600</v>
      </c>
      <c r="B34" s="22" t="s">
        <v>3601</v>
      </c>
      <c r="C34" s="1530">
        <f>J34+K34+L34+P34+Q34+R34+V34+W34+X34+AB34+AC34+AD34</f>
        <v>4</v>
      </c>
      <c r="D34" s="22" t="s">
        <v>55</v>
      </c>
      <c r="E34" s="22" t="s">
        <v>3602</v>
      </c>
      <c r="F34" s="22" t="s">
        <v>3603</v>
      </c>
      <c r="G34" s="24">
        <f t="shared" si="0"/>
        <v>0.61420992937439356</v>
      </c>
      <c r="H34" s="1531"/>
      <c r="I34" s="1540">
        <v>9</v>
      </c>
      <c r="J34" s="23"/>
      <c r="K34" s="23"/>
      <c r="L34" s="23"/>
      <c r="M34" s="1296"/>
      <c r="N34" s="1296"/>
      <c r="O34" s="1296"/>
      <c r="P34" s="23">
        <v>1</v>
      </c>
      <c r="Q34" s="23">
        <v>1</v>
      </c>
      <c r="R34" s="23">
        <v>1</v>
      </c>
      <c r="S34" s="26">
        <v>11245</v>
      </c>
      <c r="T34" s="26">
        <v>11245</v>
      </c>
      <c r="U34" s="26">
        <v>11245</v>
      </c>
      <c r="V34" s="23">
        <v>1</v>
      </c>
      <c r="W34" s="23"/>
      <c r="X34" s="23"/>
      <c r="Y34" s="26">
        <v>11240</v>
      </c>
      <c r="Z34" s="26"/>
      <c r="AA34" s="26"/>
      <c r="AB34" s="23"/>
      <c r="AC34" s="23"/>
      <c r="AD34" s="23"/>
      <c r="AE34" s="26"/>
      <c r="AF34" s="26"/>
      <c r="AG34" s="26"/>
      <c r="AH34" s="26">
        <f t="shared" si="13"/>
        <v>44975</v>
      </c>
      <c r="AI34" s="26">
        <v>28800</v>
      </c>
      <c r="AJ34" s="26">
        <v>16175</v>
      </c>
      <c r="AK34" s="26"/>
      <c r="AL34" s="26"/>
      <c r="AM34" s="26"/>
      <c r="AN34" s="26"/>
      <c r="AO34" s="1532" t="s">
        <v>3537</v>
      </c>
      <c r="AP34" s="1532" t="s">
        <v>3599</v>
      </c>
      <c r="AQ34" s="1532"/>
    </row>
    <row r="35" spans="1:43" ht="75">
      <c r="A35" s="22" t="s">
        <v>3604</v>
      </c>
      <c r="B35" s="22" t="s">
        <v>3605</v>
      </c>
      <c r="C35" s="1530">
        <f t="shared" si="12"/>
        <v>3000</v>
      </c>
      <c r="D35" s="22" t="s">
        <v>3606</v>
      </c>
      <c r="E35" s="22" t="s">
        <v>3607</v>
      </c>
      <c r="F35" s="22" t="s">
        <v>3608</v>
      </c>
      <c r="G35" s="24">
        <f t="shared" si="0"/>
        <v>0.81161747865970446</v>
      </c>
      <c r="H35" s="1531"/>
      <c r="I35" s="1540">
        <v>9</v>
      </c>
      <c r="J35" s="23"/>
      <c r="K35" s="23"/>
      <c r="L35" s="23"/>
      <c r="M35" s="1296"/>
      <c r="N35" s="1296"/>
      <c r="O35" s="1296"/>
      <c r="P35" s="23">
        <v>500</v>
      </c>
      <c r="Q35" s="23">
        <v>1000</v>
      </c>
      <c r="R35" s="23">
        <v>1000</v>
      </c>
      <c r="S35" s="26">
        <v>9905</v>
      </c>
      <c r="T35" s="26">
        <v>19810</v>
      </c>
      <c r="U35" s="26">
        <v>19810</v>
      </c>
      <c r="V35" s="23">
        <v>500</v>
      </c>
      <c r="W35" s="23"/>
      <c r="X35" s="23"/>
      <c r="Y35" s="26">
        <v>9905</v>
      </c>
      <c r="Z35" s="26"/>
      <c r="AA35" s="26"/>
      <c r="AB35" s="23"/>
      <c r="AC35" s="23"/>
      <c r="AD35" s="23"/>
      <c r="AE35" s="26"/>
      <c r="AF35" s="26"/>
      <c r="AG35" s="26"/>
      <c r="AH35" s="26">
        <f t="shared" si="13"/>
        <v>59430</v>
      </c>
      <c r="AI35" s="26">
        <v>38055</v>
      </c>
      <c r="AJ35" s="26">
        <v>21375</v>
      </c>
      <c r="AK35" s="26"/>
      <c r="AL35" s="26"/>
      <c r="AM35" s="26"/>
      <c r="AN35" s="26"/>
      <c r="AO35" s="1532" t="s">
        <v>3537</v>
      </c>
      <c r="AP35" s="1532" t="s">
        <v>3599</v>
      </c>
      <c r="AQ35" s="1532"/>
    </row>
    <row r="36" spans="1:43" ht="30">
      <c r="A36" s="10" t="s">
        <v>3609</v>
      </c>
      <c r="B36" s="10" t="s">
        <v>3610</v>
      </c>
      <c r="C36" s="1542"/>
      <c r="D36" s="1516"/>
      <c r="E36" s="1516"/>
      <c r="F36" s="1516"/>
      <c r="G36" s="12">
        <f t="shared" si="0"/>
        <v>0.59215436437295621</v>
      </c>
      <c r="H36" s="1536"/>
      <c r="I36" s="12"/>
      <c r="J36" s="1543"/>
      <c r="K36" s="1543"/>
      <c r="L36" s="1543"/>
      <c r="M36" s="13">
        <f t="shared" ref="M36:O37" si="14">+M37</f>
        <v>2965</v>
      </c>
      <c r="N36" s="13">
        <f t="shared" si="14"/>
        <v>3680</v>
      </c>
      <c r="O36" s="13">
        <f t="shared" si="14"/>
        <v>3885</v>
      </c>
      <c r="P36" s="11"/>
      <c r="Q36" s="11"/>
      <c r="R36" s="11"/>
      <c r="S36" s="13">
        <f t="shared" ref="S36:U37" si="15">+S37</f>
        <v>3445</v>
      </c>
      <c r="T36" s="13">
        <f t="shared" si="15"/>
        <v>3750</v>
      </c>
      <c r="U36" s="13">
        <f t="shared" si="15"/>
        <v>3855</v>
      </c>
      <c r="V36" s="11"/>
      <c r="W36" s="11"/>
      <c r="X36" s="11"/>
      <c r="Y36" s="13">
        <f t="shared" ref="Y36:AA37" si="16">+Y37</f>
        <v>3885</v>
      </c>
      <c r="Z36" s="13">
        <f t="shared" si="16"/>
        <v>3065</v>
      </c>
      <c r="AA36" s="13">
        <f t="shared" si="16"/>
        <v>3885</v>
      </c>
      <c r="AB36" s="11"/>
      <c r="AC36" s="11"/>
      <c r="AD36" s="11"/>
      <c r="AE36" s="13">
        <f t="shared" ref="AE36:AI37" si="17">+AE37</f>
        <v>3885</v>
      </c>
      <c r="AF36" s="13">
        <f t="shared" si="17"/>
        <v>3985</v>
      </c>
      <c r="AG36" s="13">
        <f t="shared" si="17"/>
        <v>3075</v>
      </c>
      <c r="AH36" s="13">
        <f t="shared" si="17"/>
        <v>43360</v>
      </c>
      <c r="AI36" s="13">
        <f t="shared" si="17"/>
        <v>43360</v>
      </c>
      <c r="AJ36" s="1517"/>
      <c r="AK36" s="13"/>
      <c r="AL36" s="13"/>
      <c r="AM36" s="1517"/>
      <c r="AN36" s="1517"/>
      <c r="AO36" s="1544"/>
      <c r="AP36" s="1518"/>
      <c r="AQ36" s="1518"/>
    </row>
    <row r="37" spans="1:43" ht="30">
      <c r="A37" s="14" t="s">
        <v>3611</v>
      </c>
      <c r="B37" s="14" t="s">
        <v>3612</v>
      </c>
      <c r="C37" s="1545"/>
      <c r="D37" s="1520"/>
      <c r="E37" s="1520"/>
      <c r="F37" s="1520"/>
      <c r="G37" s="16">
        <f t="shared" si="0"/>
        <v>0.59215436437295621</v>
      </c>
      <c r="H37" s="1491">
        <v>1</v>
      </c>
      <c r="I37" s="16"/>
      <c r="J37" s="1521"/>
      <c r="K37" s="1521"/>
      <c r="L37" s="1521"/>
      <c r="M37" s="17">
        <f t="shared" si="14"/>
        <v>2965</v>
      </c>
      <c r="N37" s="17">
        <f t="shared" si="14"/>
        <v>3680</v>
      </c>
      <c r="O37" s="17">
        <f t="shared" si="14"/>
        <v>3885</v>
      </c>
      <c r="P37" s="15"/>
      <c r="Q37" s="15"/>
      <c r="R37" s="15"/>
      <c r="S37" s="17">
        <f t="shared" si="15"/>
        <v>3445</v>
      </c>
      <c r="T37" s="17">
        <f t="shared" si="15"/>
        <v>3750</v>
      </c>
      <c r="U37" s="17">
        <f t="shared" si="15"/>
        <v>3855</v>
      </c>
      <c r="V37" s="15"/>
      <c r="W37" s="15"/>
      <c r="X37" s="15"/>
      <c r="Y37" s="17">
        <f t="shared" si="16"/>
        <v>3885</v>
      </c>
      <c r="Z37" s="17">
        <f t="shared" si="16"/>
        <v>3065</v>
      </c>
      <c r="AA37" s="17">
        <f t="shared" si="16"/>
        <v>3885</v>
      </c>
      <c r="AB37" s="15"/>
      <c r="AC37" s="15"/>
      <c r="AD37" s="15"/>
      <c r="AE37" s="17">
        <f t="shared" si="17"/>
        <v>3885</v>
      </c>
      <c r="AF37" s="17">
        <f t="shared" si="17"/>
        <v>3985</v>
      </c>
      <c r="AG37" s="17">
        <f t="shared" si="17"/>
        <v>3075</v>
      </c>
      <c r="AH37" s="17">
        <f t="shared" si="17"/>
        <v>43360</v>
      </c>
      <c r="AI37" s="17">
        <f t="shared" si="17"/>
        <v>43360</v>
      </c>
      <c r="AJ37" s="1522"/>
      <c r="AK37" s="17"/>
      <c r="AL37" s="17"/>
      <c r="AM37" s="1522"/>
      <c r="AN37" s="1522"/>
      <c r="AO37" s="1546"/>
      <c r="AP37" s="1523"/>
      <c r="AQ37" s="1523"/>
    </row>
    <row r="38" spans="1:43" ht="45">
      <c r="A38" s="18" t="s">
        <v>3613</v>
      </c>
      <c r="B38" s="18" t="s">
        <v>3614</v>
      </c>
      <c r="C38" s="1547"/>
      <c r="D38" s="1525"/>
      <c r="E38" s="1525"/>
      <c r="F38" s="1525"/>
      <c r="G38" s="20">
        <f t="shared" si="0"/>
        <v>0.59215436437295621</v>
      </c>
      <c r="H38" s="1526"/>
      <c r="I38" s="20"/>
      <c r="J38" s="1527"/>
      <c r="K38" s="1527"/>
      <c r="L38" s="1527"/>
      <c r="M38" s="21">
        <f>SUM(M39:M40)</f>
        <v>2965</v>
      </c>
      <c r="N38" s="21">
        <f>SUM(N39:N40)</f>
        <v>3680</v>
      </c>
      <c r="O38" s="21">
        <f>SUM(O39:O40)</f>
        <v>3885</v>
      </c>
      <c r="P38" s="19"/>
      <c r="Q38" s="19"/>
      <c r="R38" s="19"/>
      <c r="S38" s="21">
        <f>SUM(S39:S40)</f>
        <v>3445</v>
      </c>
      <c r="T38" s="21">
        <f>SUM(T39:T40)</f>
        <v>3750</v>
      </c>
      <c r="U38" s="21">
        <f>SUM(U39:U40)</f>
        <v>3855</v>
      </c>
      <c r="V38" s="19"/>
      <c r="W38" s="19"/>
      <c r="X38" s="19"/>
      <c r="Y38" s="21">
        <f>SUM(Y39:Y40)</f>
        <v>3885</v>
      </c>
      <c r="Z38" s="21">
        <f>SUM(Z39:Z40)</f>
        <v>3065</v>
      </c>
      <c r="AA38" s="21">
        <f>SUM(AA39:AA40)</f>
        <v>3885</v>
      </c>
      <c r="AB38" s="19"/>
      <c r="AC38" s="19"/>
      <c r="AD38" s="19"/>
      <c r="AE38" s="21">
        <f t="shared" ref="AE38:AI38" si="18">SUM(AE39:AE40)</f>
        <v>3885</v>
      </c>
      <c r="AF38" s="21">
        <f t="shared" si="18"/>
        <v>3985</v>
      </c>
      <c r="AG38" s="21">
        <f t="shared" si="18"/>
        <v>3075</v>
      </c>
      <c r="AH38" s="21">
        <f t="shared" si="18"/>
        <v>43360</v>
      </c>
      <c r="AI38" s="21">
        <f t="shared" si="18"/>
        <v>43360</v>
      </c>
      <c r="AJ38" s="1528"/>
      <c r="AK38" s="21"/>
      <c r="AL38" s="21"/>
      <c r="AM38" s="1528"/>
      <c r="AN38" s="1528"/>
      <c r="AO38" s="1548"/>
      <c r="AP38" s="1529"/>
      <c r="AQ38" s="1529"/>
    </row>
    <row r="39" spans="1:43" ht="90">
      <c r="A39" s="22" t="s">
        <v>3615</v>
      </c>
      <c r="B39" s="22" t="s">
        <v>3616</v>
      </c>
      <c r="C39" s="1530">
        <f t="shared" si="12"/>
        <v>200000</v>
      </c>
      <c r="D39" s="22" t="s">
        <v>3617</v>
      </c>
      <c r="E39" s="22" t="s">
        <v>3618</v>
      </c>
      <c r="F39" s="22" t="s">
        <v>3619</v>
      </c>
      <c r="G39" s="24">
        <f t="shared" si="0"/>
        <v>0.2786648940274486</v>
      </c>
      <c r="H39" s="1531"/>
      <c r="I39" s="1540">
        <v>40</v>
      </c>
      <c r="J39" s="23">
        <v>15000</v>
      </c>
      <c r="K39" s="23">
        <v>15000</v>
      </c>
      <c r="L39" s="23">
        <v>17000</v>
      </c>
      <c r="M39" s="26">
        <v>1530</v>
      </c>
      <c r="N39" s="26">
        <v>1530</v>
      </c>
      <c r="O39" s="26">
        <v>1735</v>
      </c>
      <c r="P39" s="23">
        <v>15000</v>
      </c>
      <c r="Q39" s="23">
        <v>18000</v>
      </c>
      <c r="R39" s="23">
        <v>19000</v>
      </c>
      <c r="S39" s="26">
        <v>1530</v>
      </c>
      <c r="T39" s="26">
        <v>1835</v>
      </c>
      <c r="U39" s="26">
        <v>1940</v>
      </c>
      <c r="V39" s="23">
        <v>17000</v>
      </c>
      <c r="W39" s="23">
        <v>16000</v>
      </c>
      <c r="X39" s="23">
        <v>17000</v>
      </c>
      <c r="Y39" s="26">
        <v>1735</v>
      </c>
      <c r="Z39" s="26">
        <v>1630</v>
      </c>
      <c r="AA39" s="26">
        <v>1735</v>
      </c>
      <c r="AB39" s="23">
        <v>17000</v>
      </c>
      <c r="AC39" s="23">
        <v>18000</v>
      </c>
      <c r="AD39" s="23">
        <v>16000</v>
      </c>
      <c r="AE39" s="26">
        <v>1735</v>
      </c>
      <c r="AF39" s="26">
        <v>1835</v>
      </c>
      <c r="AG39" s="26">
        <v>1635</v>
      </c>
      <c r="AH39" s="26">
        <f t="shared" ref="AH39:AH40" si="19">SUM(AI39:AN39)</f>
        <v>20405</v>
      </c>
      <c r="AI39" s="26">
        <v>20405</v>
      </c>
      <c r="AJ39" s="26"/>
      <c r="AK39" s="26"/>
      <c r="AL39" s="26"/>
      <c r="AM39" s="26"/>
      <c r="AN39" s="26"/>
      <c r="AO39" s="1532" t="s">
        <v>3537</v>
      </c>
      <c r="AP39" s="1532" t="s">
        <v>3620</v>
      </c>
      <c r="AQ39" s="1532"/>
    </row>
    <row r="40" spans="1:43" ht="90">
      <c r="A40" s="22" t="s">
        <v>3621</v>
      </c>
      <c r="B40" s="22" t="s">
        <v>3616</v>
      </c>
      <c r="C40" s="1530">
        <f>J40+K40+L40+P40+Q40+R40+V40+W40+X40+AB40+AC40+AD40</f>
        <v>4800</v>
      </c>
      <c r="D40" s="22" t="s">
        <v>2908</v>
      </c>
      <c r="E40" s="22" t="s">
        <v>3622</v>
      </c>
      <c r="F40" s="22" t="s">
        <v>3623</v>
      </c>
      <c r="G40" s="24">
        <f t="shared" si="0"/>
        <v>0.31348947034550761</v>
      </c>
      <c r="H40" s="1531"/>
      <c r="I40" s="1540">
        <v>60</v>
      </c>
      <c r="J40" s="23">
        <v>300</v>
      </c>
      <c r="K40" s="23">
        <v>450</v>
      </c>
      <c r="L40" s="23">
        <v>450</v>
      </c>
      <c r="M40" s="26">
        <v>1435</v>
      </c>
      <c r="N40" s="26">
        <v>2150</v>
      </c>
      <c r="O40" s="26">
        <v>2150</v>
      </c>
      <c r="P40" s="23">
        <v>400</v>
      </c>
      <c r="Q40" s="23">
        <v>400</v>
      </c>
      <c r="R40" s="23">
        <v>400</v>
      </c>
      <c r="S40" s="26">
        <v>1915</v>
      </c>
      <c r="T40" s="26">
        <v>1915</v>
      </c>
      <c r="U40" s="26">
        <v>1915</v>
      </c>
      <c r="V40" s="23">
        <v>450</v>
      </c>
      <c r="W40" s="23">
        <v>300</v>
      </c>
      <c r="X40" s="23">
        <v>450</v>
      </c>
      <c r="Y40" s="26">
        <v>2150</v>
      </c>
      <c r="Z40" s="26">
        <v>1435</v>
      </c>
      <c r="AA40" s="26">
        <v>2150</v>
      </c>
      <c r="AB40" s="23">
        <v>450</v>
      </c>
      <c r="AC40" s="23">
        <v>450</v>
      </c>
      <c r="AD40" s="23">
        <v>300</v>
      </c>
      <c r="AE40" s="26">
        <v>2150</v>
      </c>
      <c r="AF40" s="26">
        <v>2150</v>
      </c>
      <c r="AG40" s="26">
        <v>1440</v>
      </c>
      <c r="AH40" s="26">
        <f t="shared" si="19"/>
        <v>22955</v>
      </c>
      <c r="AI40" s="26">
        <v>22955</v>
      </c>
      <c r="AJ40" s="26"/>
      <c r="AK40" s="26"/>
      <c r="AL40" s="26"/>
      <c r="AM40" s="26"/>
      <c r="AN40" s="26"/>
      <c r="AO40" s="1532" t="s">
        <v>3537</v>
      </c>
      <c r="AP40" s="1532" t="s">
        <v>3620</v>
      </c>
      <c r="AQ40" s="1532"/>
    </row>
    <row r="41" spans="1:43" ht="15">
      <c r="A41" s="6" t="s">
        <v>727</v>
      </c>
      <c r="B41" s="6" t="s">
        <v>3624</v>
      </c>
      <c r="C41" s="1533"/>
      <c r="D41" s="6"/>
      <c r="E41" s="6"/>
      <c r="F41" s="6"/>
      <c r="G41" s="8">
        <f t="shared" si="0"/>
        <v>7.7570036661402011E-2</v>
      </c>
      <c r="H41" s="1534"/>
      <c r="I41" s="8"/>
      <c r="J41" s="7"/>
      <c r="K41" s="7"/>
      <c r="L41" s="7"/>
      <c r="M41" s="9"/>
      <c r="N41" s="9"/>
      <c r="O41" s="9">
        <f t="shared" ref="O41:O43" si="20">+O42</f>
        <v>1420</v>
      </c>
      <c r="P41" s="7"/>
      <c r="Q41" s="7"/>
      <c r="R41" s="7"/>
      <c r="S41" s="9"/>
      <c r="T41" s="9"/>
      <c r="U41" s="9">
        <f t="shared" ref="U41:U43" si="21">+U42</f>
        <v>1420</v>
      </c>
      <c r="V41" s="7"/>
      <c r="W41" s="7"/>
      <c r="X41" s="7"/>
      <c r="Y41" s="9"/>
      <c r="Z41" s="9"/>
      <c r="AA41" s="9">
        <f t="shared" ref="AA41:AA43" si="22">+AA42</f>
        <v>1420</v>
      </c>
      <c r="AB41" s="7"/>
      <c r="AC41" s="7"/>
      <c r="AD41" s="7"/>
      <c r="AE41" s="9"/>
      <c r="AF41" s="9"/>
      <c r="AG41" s="9">
        <f t="shared" ref="AG41:AI43" si="23">+AG42</f>
        <v>1420</v>
      </c>
      <c r="AH41" s="9">
        <f t="shared" si="23"/>
        <v>5680</v>
      </c>
      <c r="AI41" s="9">
        <f t="shared" si="23"/>
        <v>5680</v>
      </c>
      <c r="AJ41" s="9"/>
      <c r="AK41" s="9"/>
      <c r="AL41" s="9"/>
      <c r="AM41" s="9"/>
      <c r="AN41" s="9"/>
      <c r="AO41" s="1535"/>
      <c r="AP41" s="1535"/>
      <c r="AQ41" s="1535"/>
    </row>
    <row r="42" spans="1:43" ht="45">
      <c r="A42" s="10" t="s">
        <v>729</v>
      </c>
      <c r="B42" s="10" t="s">
        <v>3424</v>
      </c>
      <c r="C42" s="1515"/>
      <c r="D42" s="10"/>
      <c r="E42" s="10"/>
      <c r="F42" s="10"/>
      <c r="G42" s="12">
        <f t="shared" si="0"/>
        <v>7.7570036661402011E-2</v>
      </c>
      <c r="H42" s="1536"/>
      <c r="I42" s="12"/>
      <c r="J42" s="11"/>
      <c r="K42" s="11"/>
      <c r="L42" s="11"/>
      <c r="M42" s="13"/>
      <c r="N42" s="13"/>
      <c r="O42" s="13">
        <f t="shared" si="20"/>
        <v>1420</v>
      </c>
      <c r="P42" s="11"/>
      <c r="Q42" s="11"/>
      <c r="R42" s="11"/>
      <c r="S42" s="13"/>
      <c r="T42" s="13"/>
      <c r="U42" s="13">
        <f t="shared" si="21"/>
        <v>1420</v>
      </c>
      <c r="V42" s="11"/>
      <c r="W42" s="11"/>
      <c r="X42" s="11"/>
      <c r="Y42" s="13"/>
      <c r="Z42" s="13"/>
      <c r="AA42" s="13">
        <f t="shared" si="22"/>
        <v>1420</v>
      </c>
      <c r="AB42" s="11"/>
      <c r="AC42" s="11"/>
      <c r="AD42" s="11"/>
      <c r="AE42" s="13"/>
      <c r="AF42" s="13"/>
      <c r="AG42" s="13">
        <f t="shared" si="23"/>
        <v>1420</v>
      </c>
      <c r="AH42" s="13">
        <f t="shared" si="23"/>
        <v>5680</v>
      </c>
      <c r="AI42" s="13">
        <f t="shared" si="23"/>
        <v>5680</v>
      </c>
      <c r="AJ42" s="13"/>
      <c r="AK42" s="13"/>
      <c r="AL42" s="13"/>
      <c r="AM42" s="13"/>
      <c r="AN42" s="13"/>
      <c r="AO42" s="1537"/>
      <c r="AP42" s="1538"/>
      <c r="AQ42" s="1538"/>
    </row>
    <row r="43" spans="1:43" ht="15">
      <c r="A43" s="14" t="s">
        <v>730</v>
      </c>
      <c r="B43" s="14" t="s">
        <v>327</v>
      </c>
      <c r="C43" s="1519"/>
      <c r="D43" s="14"/>
      <c r="E43" s="14"/>
      <c r="F43" s="14"/>
      <c r="G43" s="16">
        <f t="shared" si="0"/>
        <v>7.7570036661402011E-2</v>
      </c>
      <c r="H43" s="1491">
        <v>1</v>
      </c>
      <c r="I43" s="16"/>
      <c r="J43" s="15"/>
      <c r="K43" s="15"/>
      <c r="L43" s="15"/>
      <c r="M43" s="17"/>
      <c r="N43" s="17"/>
      <c r="O43" s="17">
        <f t="shared" si="20"/>
        <v>1420</v>
      </c>
      <c r="P43" s="15"/>
      <c r="Q43" s="15"/>
      <c r="R43" s="15"/>
      <c r="S43" s="17"/>
      <c r="T43" s="17"/>
      <c r="U43" s="17">
        <f t="shared" si="21"/>
        <v>1420</v>
      </c>
      <c r="V43" s="15"/>
      <c r="W43" s="15"/>
      <c r="X43" s="15"/>
      <c r="Y43" s="17"/>
      <c r="Z43" s="17"/>
      <c r="AA43" s="17">
        <f t="shared" si="22"/>
        <v>1420</v>
      </c>
      <c r="AB43" s="15"/>
      <c r="AC43" s="15"/>
      <c r="AD43" s="15"/>
      <c r="AE43" s="17"/>
      <c r="AF43" s="17"/>
      <c r="AG43" s="17">
        <f t="shared" si="23"/>
        <v>1420</v>
      </c>
      <c r="AH43" s="17">
        <f t="shared" si="23"/>
        <v>5680</v>
      </c>
      <c r="AI43" s="17">
        <f t="shared" si="23"/>
        <v>5680</v>
      </c>
      <c r="AJ43" s="17"/>
      <c r="AK43" s="17"/>
      <c r="AL43" s="17"/>
      <c r="AM43" s="17"/>
      <c r="AN43" s="17"/>
      <c r="AO43" s="639"/>
      <c r="AP43" s="1299"/>
      <c r="AQ43" s="1299"/>
    </row>
    <row r="44" spans="1:43" ht="60">
      <c r="A44" s="18" t="s">
        <v>3425</v>
      </c>
      <c r="B44" s="18" t="s">
        <v>3426</v>
      </c>
      <c r="C44" s="1524"/>
      <c r="D44" s="18"/>
      <c r="E44" s="18"/>
      <c r="F44" s="18"/>
      <c r="G44" s="20">
        <f t="shared" si="0"/>
        <v>7.7570036661402011E-2</v>
      </c>
      <c r="H44" s="1526"/>
      <c r="I44" s="20"/>
      <c r="J44" s="19"/>
      <c r="K44" s="19"/>
      <c r="L44" s="19"/>
      <c r="M44" s="21"/>
      <c r="N44" s="21"/>
      <c r="O44" s="21">
        <f>SUM(O45:O45)</f>
        <v>1420</v>
      </c>
      <c r="P44" s="19"/>
      <c r="Q44" s="19"/>
      <c r="R44" s="19"/>
      <c r="S44" s="21"/>
      <c r="T44" s="21"/>
      <c r="U44" s="21">
        <f>SUM(U45:U45)</f>
        <v>1420</v>
      </c>
      <c r="V44" s="19"/>
      <c r="W44" s="19"/>
      <c r="X44" s="19"/>
      <c r="Y44" s="21"/>
      <c r="Z44" s="21"/>
      <c r="AA44" s="21">
        <f>SUM(AA45:AA45)</f>
        <v>1420</v>
      </c>
      <c r="AB44" s="19"/>
      <c r="AC44" s="19"/>
      <c r="AD44" s="19"/>
      <c r="AE44" s="21"/>
      <c r="AF44" s="21"/>
      <c r="AG44" s="21">
        <f t="shared" ref="AG44:AI44" si="24">SUM(AG45:AG45)</f>
        <v>1420</v>
      </c>
      <c r="AH44" s="21">
        <f t="shared" si="24"/>
        <v>5680</v>
      </c>
      <c r="AI44" s="21">
        <f t="shared" si="24"/>
        <v>5680</v>
      </c>
      <c r="AJ44" s="21"/>
      <c r="AK44" s="21"/>
      <c r="AL44" s="21"/>
      <c r="AM44" s="21"/>
      <c r="AN44" s="21"/>
      <c r="AO44" s="643"/>
      <c r="AP44" s="1539"/>
      <c r="AQ44" s="1539"/>
    </row>
    <row r="45" spans="1:43" ht="105">
      <c r="A45" s="22" t="s">
        <v>3625</v>
      </c>
      <c r="B45" s="22" t="s">
        <v>3626</v>
      </c>
      <c r="C45" s="1530">
        <f>J45+K45+L45+P45+Q45+R45+V45+W45+X45+AB45+AC45+AD45</f>
        <v>4</v>
      </c>
      <c r="D45" s="22" t="s">
        <v>55</v>
      </c>
      <c r="E45" s="22" t="s">
        <v>3627</v>
      </c>
      <c r="F45" s="22" t="s">
        <v>3628</v>
      </c>
      <c r="G45" s="24">
        <f t="shared" si="0"/>
        <v>7.7570036661402011E-2</v>
      </c>
      <c r="H45" s="1531"/>
      <c r="I45" s="24">
        <v>100</v>
      </c>
      <c r="J45" s="23"/>
      <c r="K45" s="23"/>
      <c r="L45" s="23">
        <v>1</v>
      </c>
      <c r="M45" s="26"/>
      <c r="N45" s="26"/>
      <c r="O45" s="26">
        <v>1420</v>
      </c>
      <c r="P45" s="23"/>
      <c r="Q45" s="23"/>
      <c r="R45" s="23">
        <v>1</v>
      </c>
      <c r="S45" s="26"/>
      <c r="T45" s="26"/>
      <c r="U45" s="26">
        <v>1420</v>
      </c>
      <c r="V45" s="23"/>
      <c r="W45" s="23"/>
      <c r="X45" s="23">
        <v>1</v>
      </c>
      <c r="Y45" s="26"/>
      <c r="Z45" s="26"/>
      <c r="AA45" s="26">
        <v>1420</v>
      </c>
      <c r="AB45" s="23"/>
      <c r="AC45" s="23"/>
      <c r="AD45" s="23">
        <v>1</v>
      </c>
      <c r="AE45" s="26"/>
      <c r="AF45" s="26"/>
      <c r="AG45" s="26">
        <v>1420</v>
      </c>
      <c r="AH45" s="26">
        <f>SUM(AI45:AN45)</f>
        <v>5680</v>
      </c>
      <c r="AI45" s="26">
        <v>5680</v>
      </c>
      <c r="AJ45" s="1549"/>
      <c r="AK45" s="26"/>
      <c r="AL45" s="26"/>
      <c r="AM45" s="1549"/>
      <c r="AN45" s="1549"/>
      <c r="AO45" s="1532" t="s">
        <v>3537</v>
      </c>
      <c r="AP45" s="1532" t="s">
        <v>3629</v>
      </c>
      <c r="AQ45" s="1550"/>
    </row>
    <row r="46" spans="1:43" ht="15.6">
      <c r="A46" s="1002" t="s">
        <v>379</v>
      </c>
      <c r="B46" s="47" t="s">
        <v>380</v>
      </c>
      <c r="C46" s="1533"/>
      <c r="D46" s="6"/>
      <c r="E46" s="6"/>
      <c r="F46" s="6"/>
      <c r="G46" s="8">
        <f t="shared" si="0"/>
        <v>90.510029819397019</v>
      </c>
      <c r="H46" s="1534"/>
      <c r="I46" s="8"/>
      <c r="J46" s="7"/>
      <c r="K46" s="7"/>
      <c r="L46" s="7"/>
      <c r="M46" s="9">
        <f>+M47</f>
        <v>552255</v>
      </c>
      <c r="N46" s="9">
        <f>+N47</f>
        <v>552285</v>
      </c>
      <c r="O46" s="9">
        <f>+O47</f>
        <v>552305</v>
      </c>
      <c r="P46" s="7"/>
      <c r="Q46" s="7"/>
      <c r="R46" s="7"/>
      <c r="S46" s="9">
        <f>+S47</f>
        <v>552270</v>
      </c>
      <c r="T46" s="9">
        <f>+T47</f>
        <v>552315</v>
      </c>
      <c r="U46" s="9">
        <f>+U47</f>
        <v>552295</v>
      </c>
      <c r="V46" s="7"/>
      <c r="W46" s="7"/>
      <c r="X46" s="7"/>
      <c r="Y46" s="9">
        <f>+Y47</f>
        <v>552315</v>
      </c>
      <c r="Z46" s="9">
        <f>+Z47</f>
        <v>552270</v>
      </c>
      <c r="AA46" s="9">
        <f>+AA47</f>
        <v>552305</v>
      </c>
      <c r="AB46" s="7"/>
      <c r="AC46" s="7"/>
      <c r="AD46" s="7"/>
      <c r="AE46" s="9">
        <f t="shared" ref="AE46:AJ46" si="25">+AE47</f>
        <v>552320</v>
      </c>
      <c r="AF46" s="9">
        <f t="shared" si="25"/>
        <v>552395</v>
      </c>
      <c r="AG46" s="9">
        <f t="shared" si="25"/>
        <v>552215</v>
      </c>
      <c r="AH46" s="9">
        <f t="shared" si="25"/>
        <v>6627520</v>
      </c>
      <c r="AI46" s="9">
        <f t="shared" si="25"/>
        <v>6472815</v>
      </c>
      <c r="AJ46" s="9">
        <f t="shared" si="25"/>
        <v>114705</v>
      </c>
      <c r="AK46" s="9"/>
      <c r="AL46" s="9">
        <f>+AL47</f>
        <v>40000</v>
      </c>
      <c r="AM46" s="9"/>
      <c r="AN46" s="1513"/>
      <c r="AO46" s="1535"/>
      <c r="AP46" s="1535"/>
      <c r="AQ46" s="1514"/>
    </row>
    <row r="47" spans="1:43" ht="30">
      <c r="A47" s="1011" t="s">
        <v>3630</v>
      </c>
      <c r="B47" s="355" t="s">
        <v>3631</v>
      </c>
      <c r="C47" s="1537"/>
      <c r="D47" s="10"/>
      <c r="E47" s="10"/>
      <c r="F47" s="10"/>
      <c r="G47" s="12">
        <f t="shared" si="0"/>
        <v>90.510029819397019</v>
      </c>
      <c r="H47" s="1536"/>
      <c r="I47" s="12"/>
      <c r="J47" s="11"/>
      <c r="K47" s="11"/>
      <c r="L47" s="11"/>
      <c r="M47" s="13">
        <f>M48+M51+M54+M57+M60+M63+M66+M72+M69</f>
        <v>552255</v>
      </c>
      <c r="N47" s="13">
        <f>N48+N51+N54+N57+N60+N63+N66+N72+N69</f>
        <v>552285</v>
      </c>
      <c r="O47" s="13">
        <f>O48+O51+O54+O57+O60+O63+O66+O72+O69</f>
        <v>552305</v>
      </c>
      <c r="P47" s="11"/>
      <c r="Q47" s="11"/>
      <c r="R47" s="11"/>
      <c r="S47" s="13">
        <f>S48+S51+S54+S57+S60+S63+S66+S72+S69</f>
        <v>552270</v>
      </c>
      <c r="T47" s="13">
        <f>T48+T51+T54+T57+T60+T63+T66+T72+T69</f>
        <v>552315</v>
      </c>
      <c r="U47" s="13">
        <f>U48+U51+U54+U57+U60+U63+U66+U72+U69</f>
        <v>552295</v>
      </c>
      <c r="V47" s="11"/>
      <c r="W47" s="11"/>
      <c r="X47" s="11"/>
      <c r="Y47" s="13">
        <f>Y48+Y51+Y54+Y57+Y60+Y63+Y66+Y72+Y69</f>
        <v>552315</v>
      </c>
      <c r="Z47" s="13">
        <f>Z48+Z51+Z54+Z57+Z60+Z63+Z66+Z72+Z69</f>
        <v>552270</v>
      </c>
      <c r="AA47" s="13">
        <f>AA48+AA51+AA54+AA57+AA60+AA63+AA66+AA72+AA69</f>
        <v>552305</v>
      </c>
      <c r="AB47" s="11"/>
      <c r="AC47" s="11"/>
      <c r="AD47" s="11"/>
      <c r="AE47" s="13">
        <f t="shared" ref="AE47:AJ47" si="26">AE48+AE51+AE54+AE57+AE60+AE63+AE66+AE72+AE69</f>
        <v>552320</v>
      </c>
      <c r="AF47" s="13">
        <f t="shared" si="26"/>
        <v>552395</v>
      </c>
      <c r="AG47" s="13">
        <f t="shared" si="26"/>
        <v>552215</v>
      </c>
      <c r="AH47" s="13">
        <f t="shared" si="26"/>
        <v>6627520</v>
      </c>
      <c r="AI47" s="13">
        <f t="shared" si="26"/>
        <v>6472815</v>
      </c>
      <c r="AJ47" s="13">
        <f t="shared" si="26"/>
        <v>114705</v>
      </c>
      <c r="AK47" s="13"/>
      <c r="AL47" s="13">
        <f>AL48+AL51+AL54+AL57+AL60+AL63+AL66+AL72+AL69</f>
        <v>40000</v>
      </c>
      <c r="AM47" s="13"/>
      <c r="AN47" s="1517"/>
      <c r="AO47" s="1538"/>
      <c r="AP47" s="1538"/>
      <c r="AQ47" s="1518"/>
    </row>
    <row r="48" spans="1:43" ht="15.6">
      <c r="A48" s="1019" t="s">
        <v>3632</v>
      </c>
      <c r="B48" s="363" t="s">
        <v>3633</v>
      </c>
      <c r="C48" s="639"/>
      <c r="D48" s="14"/>
      <c r="E48" s="14"/>
      <c r="F48" s="14"/>
      <c r="G48" s="16">
        <f t="shared" si="0"/>
        <v>79.794234552398365</v>
      </c>
      <c r="H48" s="1491">
        <v>71</v>
      </c>
      <c r="I48" s="16"/>
      <c r="J48" s="15"/>
      <c r="K48" s="15"/>
      <c r="L48" s="15"/>
      <c r="M48" s="17">
        <f t="shared" ref="M48:O49" si="27">+M49</f>
        <v>486905</v>
      </c>
      <c r="N48" s="17">
        <f t="shared" si="27"/>
        <v>486905</v>
      </c>
      <c r="O48" s="17">
        <f t="shared" si="27"/>
        <v>486905</v>
      </c>
      <c r="P48" s="15"/>
      <c r="Q48" s="15"/>
      <c r="R48" s="15"/>
      <c r="S48" s="17">
        <f t="shared" ref="S48:U49" si="28">+S49</f>
        <v>486905</v>
      </c>
      <c r="T48" s="17">
        <f t="shared" si="28"/>
        <v>486905</v>
      </c>
      <c r="U48" s="17">
        <f t="shared" si="28"/>
        <v>486905</v>
      </c>
      <c r="V48" s="15"/>
      <c r="W48" s="15"/>
      <c r="X48" s="15"/>
      <c r="Y48" s="17">
        <f t="shared" ref="Y48:AA49" si="29">+Y49</f>
        <v>486905</v>
      </c>
      <c r="Z48" s="17">
        <f t="shared" si="29"/>
        <v>486905</v>
      </c>
      <c r="AA48" s="17">
        <f t="shared" si="29"/>
        <v>486905</v>
      </c>
      <c r="AB48" s="15"/>
      <c r="AC48" s="15"/>
      <c r="AD48" s="15"/>
      <c r="AE48" s="17">
        <f t="shared" ref="AE48:AI49" si="30">+AE49</f>
        <v>486905</v>
      </c>
      <c r="AF48" s="17">
        <f t="shared" si="30"/>
        <v>486905</v>
      </c>
      <c r="AG48" s="17">
        <f t="shared" si="30"/>
        <v>486910</v>
      </c>
      <c r="AH48" s="17">
        <f t="shared" si="30"/>
        <v>5842865</v>
      </c>
      <c r="AI48" s="17">
        <f t="shared" si="30"/>
        <v>5842865</v>
      </c>
      <c r="AJ48" s="17"/>
      <c r="AK48" s="17"/>
      <c r="AL48" s="17"/>
      <c r="AM48" s="17"/>
      <c r="AN48" s="1522"/>
      <c r="AO48" s="1299"/>
      <c r="AP48" s="1299"/>
      <c r="AQ48" s="1523"/>
    </row>
    <row r="49" spans="1:43" ht="105">
      <c r="A49" s="428" t="s">
        <v>3634</v>
      </c>
      <c r="B49" s="371" t="s">
        <v>3635</v>
      </c>
      <c r="C49" s="643"/>
      <c r="D49" s="18"/>
      <c r="E49" s="18"/>
      <c r="F49" s="18"/>
      <c r="G49" s="20">
        <f t="shared" si="0"/>
        <v>79.794234552398365</v>
      </c>
      <c r="H49" s="1526"/>
      <c r="I49" s="20"/>
      <c r="J49" s="19"/>
      <c r="K49" s="19"/>
      <c r="L49" s="19"/>
      <c r="M49" s="21">
        <f t="shared" si="27"/>
        <v>486905</v>
      </c>
      <c r="N49" s="21">
        <f t="shared" si="27"/>
        <v>486905</v>
      </c>
      <c r="O49" s="21">
        <f t="shared" si="27"/>
        <v>486905</v>
      </c>
      <c r="P49" s="19"/>
      <c r="Q49" s="19"/>
      <c r="R49" s="19"/>
      <c r="S49" s="21">
        <f t="shared" si="28"/>
        <v>486905</v>
      </c>
      <c r="T49" s="21">
        <f t="shared" si="28"/>
        <v>486905</v>
      </c>
      <c r="U49" s="21">
        <f t="shared" si="28"/>
        <v>486905</v>
      </c>
      <c r="V49" s="19"/>
      <c r="W49" s="19"/>
      <c r="X49" s="19"/>
      <c r="Y49" s="21">
        <f t="shared" si="29"/>
        <v>486905</v>
      </c>
      <c r="Z49" s="21">
        <f t="shared" si="29"/>
        <v>486905</v>
      </c>
      <c r="AA49" s="21">
        <f t="shared" si="29"/>
        <v>486905</v>
      </c>
      <c r="AB49" s="19"/>
      <c r="AC49" s="19"/>
      <c r="AD49" s="19"/>
      <c r="AE49" s="21">
        <f t="shared" si="30"/>
        <v>486905</v>
      </c>
      <c r="AF49" s="21">
        <f t="shared" si="30"/>
        <v>486905</v>
      </c>
      <c r="AG49" s="21">
        <f t="shared" si="30"/>
        <v>486910</v>
      </c>
      <c r="AH49" s="21">
        <f t="shared" si="30"/>
        <v>5842865</v>
      </c>
      <c r="AI49" s="21">
        <f t="shared" si="30"/>
        <v>5842865</v>
      </c>
      <c r="AJ49" s="21"/>
      <c r="AK49" s="21"/>
      <c r="AL49" s="21"/>
      <c r="AM49" s="21"/>
      <c r="AN49" s="1528"/>
      <c r="AO49" s="1539"/>
      <c r="AP49" s="1539"/>
      <c r="AQ49" s="1529"/>
    </row>
    <row r="50" spans="1:43" ht="120">
      <c r="A50" s="437" t="s">
        <v>3636</v>
      </c>
      <c r="B50" s="379" t="s">
        <v>3637</v>
      </c>
      <c r="C50" s="1530">
        <f>J50+K50+L50+P50+Q50+R50+V50+W50+X50+AB50+AC50+AD50</f>
        <v>12</v>
      </c>
      <c r="D50" s="22" t="s">
        <v>52</v>
      </c>
      <c r="E50" s="22" t="s">
        <v>3638</v>
      </c>
      <c r="F50" s="22" t="s">
        <v>3639</v>
      </c>
      <c r="G50" s="24">
        <f t="shared" si="0"/>
        <v>79.794234552398365</v>
      </c>
      <c r="H50" s="1531"/>
      <c r="I50" s="24">
        <v>100</v>
      </c>
      <c r="J50" s="23">
        <v>1</v>
      </c>
      <c r="K50" s="23">
        <v>1</v>
      </c>
      <c r="L50" s="23">
        <v>1</v>
      </c>
      <c r="M50" s="26">
        <v>486905</v>
      </c>
      <c r="N50" s="26">
        <v>486905</v>
      </c>
      <c r="O50" s="26">
        <v>486905</v>
      </c>
      <c r="P50" s="23">
        <v>1</v>
      </c>
      <c r="Q50" s="23">
        <v>1</v>
      </c>
      <c r="R50" s="23">
        <v>1</v>
      </c>
      <c r="S50" s="26">
        <v>486905</v>
      </c>
      <c r="T50" s="26">
        <v>486905</v>
      </c>
      <c r="U50" s="26">
        <v>486905</v>
      </c>
      <c r="V50" s="23">
        <v>1</v>
      </c>
      <c r="W50" s="23">
        <v>1</v>
      </c>
      <c r="X50" s="23">
        <v>1</v>
      </c>
      <c r="Y50" s="26">
        <v>486905</v>
      </c>
      <c r="Z50" s="26">
        <v>486905</v>
      </c>
      <c r="AA50" s="26">
        <v>486905</v>
      </c>
      <c r="AB50" s="23">
        <v>1</v>
      </c>
      <c r="AC50" s="23">
        <v>1</v>
      </c>
      <c r="AD50" s="23">
        <v>1</v>
      </c>
      <c r="AE50" s="26">
        <v>486905</v>
      </c>
      <c r="AF50" s="26">
        <v>486905</v>
      </c>
      <c r="AG50" s="26">
        <v>486910</v>
      </c>
      <c r="AH50" s="26">
        <f>SUM(AI50:AN50)</f>
        <v>5842865</v>
      </c>
      <c r="AI50" s="26">
        <v>5842865</v>
      </c>
      <c r="AJ50" s="1549"/>
      <c r="AK50" s="26"/>
      <c r="AL50" s="26"/>
      <c r="AM50" s="1549"/>
      <c r="AN50" s="1549"/>
      <c r="AO50" s="1532" t="s">
        <v>3525</v>
      </c>
      <c r="AP50" s="1532" t="s">
        <v>3633</v>
      </c>
      <c r="AQ50" s="1550"/>
    </row>
    <row r="51" spans="1:43" ht="15.6">
      <c r="A51" s="1019" t="s">
        <v>3640</v>
      </c>
      <c r="B51" s="363" t="s">
        <v>3641</v>
      </c>
      <c r="C51" s="639"/>
      <c r="D51" s="14"/>
      <c r="E51" s="14"/>
      <c r="F51" s="14"/>
      <c r="G51" s="16">
        <f t="shared" si="0"/>
        <v>7.7835659410180931</v>
      </c>
      <c r="H51" s="1491">
        <v>11</v>
      </c>
      <c r="I51" s="16"/>
      <c r="J51" s="15"/>
      <c r="K51" s="15"/>
      <c r="L51" s="15"/>
      <c r="M51" s="17">
        <f t="shared" ref="M51:O52" si="31">+M52</f>
        <v>47495</v>
      </c>
      <c r="N51" s="17">
        <f t="shared" si="31"/>
        <v>47495</v>
      </c>
      <c r="O51" s="17">
        <f t="shared" si="31"/>
        <v>47495</v>
      </c>
      <c r="P51" s="15"/>
      <c r="Q51" s="15"/>
      <c r="R51" s="15"/>
      <c r="S51" s="17">
        <f t="shared" ref="S51:U52" si="32">+S52</f>
        <v>47495</v>
      </c>
      <c r="T51" s="17">
        <f t="shared" si="32"/>
        <v>47495</v>
      </c>
      <c r="U51" s="17">
        <f t="shared" si="32"/>
        <v>47495</v>
      </c>
      <c r="V51" s="15"/>
      <c r="W51" s="15"/>
      <c r="X51" s="15"/>
      <c r="Y51" s="17">
        <f t="shared" ref="Y51:AA52" si="33">+Y52</f>
        <v>47495</v>
      </c>
      <c r="Z51" s="17">
        <f t="shared" si="33"/>
        <v>47495</v>
      </c>
      <c r="AA51" s="17">
        <f t="shared" si="33"/>
        <v>47495</v>
      </c>
      <c r="AB51" s="15"/>
      <c r="AC51" s="15"/>
      <c r="AD51" s="15"/>
      <c r="AE51" s="17">
        <f t="shared" ref="AE51:AJ52" si="34">+AE52</f>
        <v>47495</v>
      </c>
      <c r="AF51" s="17">
        <f t="shared" si="34"/>
        <v>47495</v>
      </c>
      <c r="AG51" s="17">
        <f t="shared" si="34"/>
        <v>47500</v>
      </c>
      <c r="AH51" s="17">
        <f t="shared" si="34"/>
        <v>569945</v>
      </c>
      <c r="AI51" s="17">
        <f t="shared" si="34"/>
        <v>415240</v>
      </c>
      <c r="AJ51" s="17">
        <f t="shared" si="34"/>
        <v>114705</v>
      </c>
      <c r="AK51" s="17"/>
      <c r="AL51" s="17">
        <f>+AL52</f>
        <v>40000</v>
      </c>
      <c r="AM51" s="17"/>
      <c r="AN51" s="1522"/>
      <c r="AO51" s="1299"/>
      <c r="AP51" s="1299"/>
      <c r="AQ51" s="1523"/>
    </row>
    <row r="52" spans="1:43" ht="75">
      <c r="A52" s="428" t="s">
        <v>3642</v>
      </c>
      <c r="B52" s="371" t="s">
        <v>3643</v>
      </c>
      <c r="C52" s="643"/>
      <c r="D52" s="18"/>
      <c r="E52" s="18"/>
      <c r="F52" s="18"/>
      <c r="G52" s="20">
        <f t="shared" si="0"/>
        <v>7.7835659410180931</v>
      </c>
      <c r="H52" s="1526"/>
      <c r="I52" s="20"/>
      <c r="J52" s="19"/>
      <c r="K52" s="19"/>
      <c r="L52" s="19"/>
      <c r="M52" s="21">
        <f t="shared" si="31"/>
        <v>47495</v>
      </c>
      <c r="N52" s="21">
        <f t="shared" si="31"/>
        <v>47495</v>
      </c>
      <c r="O52" s="21">
        <f t="shared" si="31"/>
        <v>47495</v>
      </c>
      <c r="P52" s="19"/>
      <c r="Q52" s="19"/>
      <c r="R52" s="19"/>
      <c r="S52" s="21">
        <f t="shared" si="32"/>
        <v>47495</v>
      </c>
      <c r="T52" s="21">
        <f t="shared" si="32"/>
        <v>47495</v>
      </c>
      <c r="U52" s="21">
        <f t="shared" si="32"/>
        <v>47495</v>
      </c>
      <c r="V52" s="19"/>
      <c r="W52" s="19"/>
      <c r="X52" s="19"/>
      <c r="Y52" s="21">
        <f t="shared" si="33"/>
        <v>47495</v>
      </c>
      <c r="Z52" s="21">
        <f t="shared" si="33"/>
        <v>47495</v>
      </c>
      <c r="AA52" s="21">
        <f t="shared" si="33"/>
        <v>47495</v>
      </c>
      <c r="AB52" s="19"/>
      <c r="AC52" s="19"/>
      <c r="AD52" s="19"/>
      <c r="AE52" s="21">
        <f t="shared" si="34"/>
        <v>47495</v>
      </c>
      <c r="AF52" s="21">
        <f t="shared" si="34"/>
        <v>47495</v>
      </c>
      <c r="AG52" s="21">
        <f t="shared" si="34"/>
        <v>47500</v>
      </c>
      <c r="AH52" s="21">
        <f t="shared" si="34"/>
        <v>569945</v>
      </c>
      <c r="AI52" s="21">
        <f t="shared" si="34"/>
        <v>415240</v>
      </c>
      <c r="AJ52" s="21">
        <f t="shared" si="34"/>
        <v>114705</v>
      </c>
      <c r="AK52" s="21"/>
      <c r="AL52" s="21">
        <f>+AL53</f>
        <v>40000</v>
      </c>
      <c r="AM52" s="21"/>
      <c r="AN52" s="1528"/>
      <c r="AO52" s="1539"/>
      <c r="AP52" s="1539"/>
      <c r="AQ52" s="1529"/>
    </row>
    <row r="53" spans="1:43" ht="90">
      <c r="A53" s="437" t="s">
        <v>3644</v>
      </c>
      <c r="B53" s="379" t="s">
        <v>3645</v>
      </c>
      <c r="C53" s="1530">
        <f>J53+K53+L53+P53+Q53+R53+V53+W53+X53+AB53+AC53+AD53</f>
        <v>12</v>
      </c>
      <c r="D53" s="22" t="s">
        <v>52</v>
      </c>
      <c r="E53" s="22" t="s">
        <v>3646</v>
      </c>
      <c r="F53" s="22" t="s">
        <v>3647</v>
      </c>
      <c r="G53" s="24">
        <f t="shared" si="0"/>
        <v>7.7835659410180931</v>
      </c>
      <c r="H53" s="1531"/>
      <c r="I53" s="24">
        <v>100</v>
      </c>
      <c r="J53" s="23">
        <v>1</v>
      </c>
      <c r="K53" s="23">
        <v>1</v>
      </c>
      <c r="L53" s="23">
        <v>1</v>
      </c>
      <c r="M53" s="26">
        <v>47495</v>
      </c>
      <c r="N53" s="26">
        <v>47495</v>
      </c>
      <c r="O53" s="26">
        <v>47495</v>
      </c>
      <c r="P53" s="23">
        <v>1</v>
      </c>
      <c r="Q53" s="23">
        <v>1</v>
      </c>
      <c r="R53" s="23">
        <v>1</v>
      </c>
      <c r="S53" s="26">
        <v>47495</v>
      </c>
      <c r="T53" s="26">
        <v>47495</v>
      </c>
      <c r="U53" s="26">
        <v>47495</v>
      </c>
      <c r="V53" s="23">
        <v>1</v>
      </c>
      <c r="W53" s="23">
        <v>1</v>
      </c>
      <c r="X53" s="23">
        <v>1</v>
      </c>
      <c r="Y53" s="26">
        <v>47495</v>
      </c>
      <c r="Z53" s="26">
        <v>47495</v>
      </c>
      <c r="AA53" s="26">
        <v>47495</v>
      </c>
      <c r="AB53" s="23">
        <v>1</v>
      </c>
      <c r="AC53" s="23">
        <v>1</v>
      </c>
      <c r="AD53" s="23">
        <v>1</v>
      </c>
      <c r="AE53" s="26">
        <v>47495</v>
      </c>
      <c r="AF53" s="26">
        <v>47495</v>
      </c>
      <c r="AG53" s="26">
        <v>47500</v>
      </c>
      <c r="AH53" s="26">
        <f>SUM(AI53:AN53)</f>
        <v>569945</v>
      </c>
      <c r="AI53" s="26">
        <v>415240</v>
      </c>
      <c r="AJ53" s="26">
        <v>114705</v>
      </c>
      <c r="AK53" s="26"/>
      <c r="AL53" s="26">
        <v>40000</v>
      </c>
      <c r="AM53" s="26"/>
      <c r="AN53" s="1549"/>
      <c r="AO53" s="1532" t="s">
        <v>3525</v>
      </c>
      <c r="AP53" s="1532" t="s">
        <v>3641</v>
      </c>
      <c r="AQ53" s="1550"/>
    </row>
    <row r="54" spans="1:43" ht="15.6">
      <c r="A54" s="1019" t="s">
        <v>3648</v>
      </c>
      <c r="B54" s="363" t="s">
        <v>3649</v>
      </c>
      <c r="C54" s="639"/>
      <c r="D54" s="14"/>
      <c r="E54" s="14"/>
      <c r="F54" s="14"/>
      <c r="G54" s="16">
        <f t="shared" si="0"/>
        <v>2.617647319907435</v>
      </c>
      <c r="H54" s="1491">
        <v>3</v>
      </c>
      <c r="I54" s="16"/>
      <c r="J54" s="15"/>
      <c r="K54" s="15"/>
      <c r="L54" s="15"/>
      <c r="M54" s="17">
        <f t="shared" ref="M54:O55" si="35">+M55</f>
        <v>15975</v>
      </c>
      <c r="N54" s="17">
        <f t="shared" si="35"/>
        <v>15975</v>
      </c>
      <c r="O54" s="17">
        <f t="shared" si="35"/>
        <v>15975</v>
      </c>
      <c r="P54" s="15"/>
      <c r="Q54" s="15"/>
      <c r="R54" s="15"/>
      <c r="S54" s="17">
        <f t="shared" ref="S54:U55" si="36">+S55</f>
        <v>15975</v>
      </c>
      <c r="T54" s="17">
        <f t="shared" si="36"/>
        <v>15975</v>
      </c>
      <c r="U54" s="17">
        <f t="shared" si="36"/>
        <v>15975</v>
      </c>
      <c r="V54" s="15"/>
      <c r="W54" s="15"/>
      <c r="X54" s="15"/>
      <c r="Y54" s="17">
        <f t="shared" ref="Y54:AA55" si="37">+Y55</f>
        <v>15975</v>
      </c>
      <c r="Z54" s="17">
        <f t="shared" si="37"/>
        <v>15975</v>
      </c>
      <c r="AA54" s="17">
        <f t="shared" si="37"/>
        <v>15975</v>
      </c>
      <c r="AB54" s="15"/>
      <c r="AC54" s="15"/>
      <c r="AD54" s="15"/>
      <c r="AE54" s="17">
        <f t="shared" ref="AE54:AI55" si="38">+AE55</f>
        <v>15975</v>
      </c>
      <c r="AF54" s="17">
        <f t="shared" si="38"/>
        <v>15975</v>
      </c>
      <c r="AG54" s="17">
        <f t="shared" si="38"/>
        <v>15950</v>
      </c>
      <c r="AH54" s="17">
        <f t="shared" si="38"/>
        <v>191675</v>
      </c>
      <c r="AI54" s="17">
        <f t="shared" si="38"/>
        <v>191675</v>
      </c>
      <c r="AJ54" s="1522"/>
      <c r="AK54" s="17"/>
      <c r="AL54" s="17"/>
      <c r="AM54" s="1522"/>
      <c r="AN54" s="1522"/>
      <c r="AO54" s="1299"/>
      <c r="AP54" s="1299"/>
      <c r="AQ54" s="1523"/>
    </row>
    <row r="55" spans="1:43" ht="255">
      <c r="A55" s="428" t="s">
        <v>3650</v>
      </c>
      <c r="B55" s="371" t="s">
        <v>3651</v>
      </c>
      <c r="C55" s="643"/>
      <c r="D55" s="18"/>
      <c r="E55" s="18"/>
      <c r="F55" s="18"/>
      <c r="G55" s="20">
        <f t="shared" si="0"/>
        <v>2.617647319907435</v>
      </c>
      <c r="H55" s="1526"/>
      <c r="I55" s="20"/>
      <c r="J55" s="19"/>
      <c r="K55" s="19"/>
      <c r="L55" s="19"/>
      <c r="M55" s="21">
        <f t="shared" si="35"/>
        <v>15975</v>
      </c>
      <c r="N55" s="21">
        <f t="shared" si="35"/>
        <v>15975</v>
      </c>
      <c r="O55" s="21">
        <f t="shared" si="35"/>
        <v>15975</v>
      </c>
      <c r="P55" s="19"/>
      <c r="Q55" s="19"/>
      <c r="R55" s="19"/>
      <c r="S55" s="21">
        <f t="shared" si="36"/>
        <v>15975</v>
      </c>
      <c r="T55" s="21">
        <f t="shared" si="36"/>
        <v>15975</v>
      </c>
      <c r="U55" s="21">
        <f t="shared" si="36"/>
        <v>15975</v>
      </c>
      <c r="V55" s="19"/>
      <c r="W55" s="19"/>
      <c r="X55" s="19"/>
      <c r="Y55" s="21">
        <f t="shared" si="37"/>
        <v>15975</v>
      </c>
      <c r="Z55" s="21">
        <f t="shared" si="37"/>
        <v>15975</v>
      </c>
      <c r="AA55" s="21">
        <f t="shared" si="37"/>
        <v>15975</v>
      </c>
      <c r="AB55" s="19"/>
      <c r="AC55" s="19"/>
      <c r="AD55" s="19"/>
      <c r="AE55" s="21">
        <f t="shared" si="38"/>
        <v>15975</v>
      </c>
      <c r="AF55" s="21">
        <f t="shared" si="38"/>
        <v>15975</v>
      </c>
      <c r="AG55" s="21">
        <f t="shared" si="38"/>
        <v>15950</v>
      </c>
      <c r="AH55" s="21">
        <f t="shared" si="38"/>
        <v>191675</v>
      </c>
      <c r="AI55" s="21">
        <f t="shared" si="38"/>
        <v>191675</v>
      </c>
      <c r="AJ55" s="1528"/>
      <c r="AK55" s="21"/>
      <c r="AL55" s="21"/>
      <c r="AM55" s="1528"/>
      <c r="AN55" s="1528"/>
      <c r="AO55" s="1539"/>
      <c r="AP55" s="1539"/>
      <c r="AQ55" s="1529"/>
    </row>
    <row r="56" spans="1:43" ht="75">
      <c r="A56" s="437" t="s">
        <v>3652</v>
      </c>
      <c r="B56" s="379" t="s">
        <v>3653</v>
      </c>
      <c r="C56" s="1530">
        <f>J56+K56+L56+P56+Q56+R56+V56+W56+X56+AB56+AC56+AD56</f>
        <v>12</v>
      </c>
      <c r="D56" s="22" t="s">
        <v>52</v>
      </c>
      <c r="E56" s="22" t="s">
        <v>3654</v>
      </c>
      <c r="F56" s="22" t="s">
        <v>3655</v>
      </c>
      <c r="G56" s="24">
        <f t="shared" si="0"/>
        <v>2.617647319907435</v>
      </c>
      <c r="H56" s="1531"/>
      <c r="I56" s="24">
        <v>100</v>
      </c>
      <c r="J56" s="23">
        <v>1</v>
      </c>
      <c r="K56" s="23">
        <v>1</v>
      </c>
      <c r="L56" s="23">
        <v>1</v>
      </c>
      <c r="M56" s="26">
        <v>15975</v>
      </c>
      <c r="N56" s="26">
        <v>15975</v>
      </c>
      <c r="O56" s="26">
        <v>15975</v>
      </c>
      <c r="P56" s="23">
        <v>1</v>
      </c>
      <c r="Q56" s="23">
        <v>1</v>
      </c>
      <c r="R56" s="23">
        <v>1</v>
      </c>
      <c r="S56" s="26">
        <v>15975</v>
      </c>
      <c r="T56" s="26">
        <v>15975</v>
      </c>
      <c r="U56" s="26">
        <v>15975</v>
      </c>
      <c r="V56" s="23">
        <v>1</v>
      </c>
      <c r="W56" s="23">
        <v>1</v>
      </c>
      <c r="X56" s="23">
        <v>1</v>
      </c>
      <c r="Y56" s="26">
        <v>15975</v>
      </c>
      <c r="Z56" s="26">
        <v>15975</v>
      </c>
      <c r="AA56" s="26">
        <v>15975</v>
      </c>
      <c r="AB56" s="23">
        <v>1</v>
      </c>
      <c r="AC56" s="23">
        <v>1</v>
      </c>
      <c r="AD56" s="23">
        <v>1</v>
      </c>
      <c r="AE56" s="26">
        <v>15975</v>
      </c>
      <c r="AF56" s="26">
        <v>15975</v>
      </c>
      <c r="AG56" s="26">
        <v>15950</v>
      </c>
      <c r="AH56" s="26">
        <f>SUM(AI56:AN56)</f>
        <v>191675</v>
      </c>
      <c r="AI56" s="26">
        <v>191675</v>
      </c>
      <c r="AJ56" s="1549"/>
      <c r="AK56" s="26"/>
      <c r="AL56" s="26"/>
      <c r="AM56" s="1549"/>
      <c r="AN56" s="1549"/>
      <c r="AO56" s="1532" t="s">
        <v>3537</v>
      </c>
      <c r="AP56" s="1532" t="s">
        <v>3649</v>
      </c>
      <c r="AQ56" s="1550"/>
    </row>
    <row r="57" spans="1:43" ht="15.6">
      <c r="A57" s="1019" t="s">
        <v>3656</v>
      </c>
      <c r="B57" s="363" t="s">
        <v>3657</v>
      </c>
      <c r="C57" s="639"/>
      <c r="D57" s="14"/>
      <c r="E57" s="14"/>
      <c r="F57" s="14"/>
      <c r="G57" s="16">
        <f t="shared" si="0"/>
        <v>0.13158227169588174</v>
      </c>
      <c r="H57" s="1491">
        <v>1</v>
      </c>
      <c r="I57" s="16"/>
      <c r="J57" s="15"/>
      <c r="K57" s="15"/>
      <c r="L57" s="15"/>
      <c r="M57" s="17">
        <f t="shared" ref="M57:O58" si="39">+M58</f>
        <v>805</v>
      </c>
      <c r="N57" s="17">
        <f t="shared" si="39"/>
        <v>805</v>
      </c>
      <c r="O57" s="17">
        <f t="shared" si="39"/>
        <v>805</v>
      </c>
      <c r="P57" s="15"/>
      <c r="Q57" s="15"/>
      <c r="R57" s="15"/>
      <c r="S57" s="17">
        <f t="shared" ref="S57:U58" si="40">+S58</f>
        <v>805</v>
      </c>
      <c r="T57" s="17">
        <f t="shared" si="40"/>
        <v>805</v>
      </c>
      <c r="U57" s="17">
        <f t="shared" si="40"/>
        <v>805</v>
      </c>
      <c r="V57" s="15"/>
      <c r="W57" s="15"/>
      <c r="X57" s="15"/>
      <c r="Y57" s="17">
        <f t="shared" ref="Y57:AA58" si="41">+Y58</f>
        <v>805</v>
      </c>
      <c r="Z57" s="17">
        <f t="shared" si="41"/>
        <v>805</v>
      </c>
      <c r="AA57" s="17">
        <f t="shared" si="41"/>
        <v>805</v>
      </c>
      <c r="AB57" s="15"/>
      <c r="AC57" s="15"/>
      <c r="AD57" s="15"/>
      <c r="AE57" s="17">
        <f t="shared" ref="AE57:AI58" si="42">+AE58</f>
        <v>805</v>
      </c>
      <c r="AF57" s="17">
        <f t="shared" si="42"/>
        <v>805</v>
      </c>
      <c r="AG57" s="17">
        <f t="shared" si="42"/>
        <v>805</v>
      </c>
      <c r="AH57" s="17">
        <f t="shared" si="42"/>
        <v>9635</v>
      </c>
      <c r="AI57" s="17">
        <f t="shared" si="42"/>
        <v>9635</v>
      </c>
      <c r="AJ57" s="1522"/>
      <c r="AK57" s="17"/>
      <c r="AL57" s="17"/>
      <c r="AM57" s="1522"/>
      <c r="AN57" s="1522"/>
      <c r="AO57" s="1299"/>
      <c r="AP57" s="1299"/>
      <c r="AQ57" s="1523"/>
    </row>
    <row r="58" spans="1:43" ht="105">
      <c r="A58" s="428" t="s">
        <v>3658</v>
      </c>
      <c r="B58" s="371" t="s">
        <v>3659</v>
      </c>
      <c r="C58" s="643"/>
      <c r="D58" s="18"/>
      <c r="E58" s="18"/>
      <c r="F58" s="18"/>
      <c r="G58" s="20">
        <f t="shared" si="0"/>
        <v>0.13158227169588174</v>
      </c>
      <c r="H58" s="1526"/>
      <c r="I58" s="20"/>
      <c r="J58" s="19"/>
      <c r="K58" s="19"/>
      <c r="L58" s="19"/>
      <c r="M58" s="21">
        <f t="shared" si="39"/>
        <v>805</v>
      </c>
      <c r="N58" s="21">
        <f t="shared" si="39"/>
        <v>805</v>
      </c>
      <c r="O58" s="21">
        <f t="shared" si="39"/>
        <v>805</v>
      </c>
      <c r="P58" s="19"/>
      <c r="Q58" s="19"/>
      <c r="R58" s="19"/>
      <c r="S58" s="21">
        <f t="shared" si="40"/>
        <v>805</v>
      </c>
      <c r="T58" s="21">
        <f t="shared" si="40"/>
        <v>805</v>
      </c>
      <c r="U58" s="21">
        <f t="shared" si="40"/>
        <v>805</v>
      </c>
      <c r="V58" s="19"/>
      <c r="W58" s="19"/>
      <c r="X58" s="19"/>
      <c r="Y58" s="21">
        <f t="shared" si="41"/>
        <v>805</v>
      </c>
      <c r="Z58" s="21">
        <f t="shared" si="41"/>
        <v>805</v>
      </c>
      <c r="AA58" s="21">
        <f t="shared" si="41"/>
        <v>805</v>
      </c>
      <c r="AB58" s="19"/>
      <c r="AC58" s="19"/>
      <c r="AD58" s="19"/>
      <c r="AE58" s="21">
        <f t="shared" si="42"/>
        <v>805</v>
      </c>
      <c r="AF58" s="21">
        <f t="shared" si="42"/>
        <v>805</v>
      </c>
      <c r="AG58" s="21">
        <f t="shared" si="42"/>
        <v>805</v>
      </c>
      <c r="AH58" s="21">
        <f t="shared" si="42"/>
        <v>9635</v>
      </c>
      <c r="AI58" s="21">
        <f t="shared" si="42"/>
        <v>9635</v>
      </c>
      <c r="AJ58" s="1528"/>
      <c r="AK58" s="21"/>
      <c r="AL58" s="21"/>
      <c r="AM58" s="1528"/>
      <c r="AN58" s="1528"/>
      <c r="AO58" s="1539"/>
      <c r="AP58" s="1539"/>
      <c r="AQ58" s="1529"/>
    </row>
    <row r="59" spans="1:43" ht="105">
      <c r="A59" s="437" t="s">
        <v>3660</v>
      </c>
      <c r="B59" s="379" t="s">
        <v>3661</v>
      </c>
      <c r="C59" s="1530">
        <f>J59+K59+L59+P59+Q59+R59+V59+W59+X59+AB59+AC59+AD59</f>
        <v>12</v>
      </c>
      <c r="D59" s="22" t="s">
        <v>2051</v>
      </c>
      <c r="E59" s="22" t="s">
        <v>3662</v>
      </c>
      <c r="F59" s="22" t="s">
        <v>3663</v>
      </c>
      <c r="G59" s="24">
        <f t="shared" si="0"/>
        <v>0.13158227169588174</v>
      </c>
      <c r="H59" s="1531"/>
      <c r="I59" s="24">
        <v>100</v>
      </c>
      <c r="J59" s="23">
        <v>1</v>
      </c>
      <c r="K59" s="23">
        <v>1</v>
      </c>
      <c r="L59" s="23">
        <v>1</v>
      </c>
      <c r="M59" s="26">
        <f>MROUND('[2]POA ISTA (REDONDEAR FUENTE)'!M58,5)</f>
        <v>805</v>
      </c>
      <c r="N59" s="26">
        <f>MROUND('[2]POA ISTA (REDONDEAR FUENTE)'!N58,5)</f>
        <v>805</v>
      </c>
      <c r="O59" s="26">
        <f>MROUND('[2]POA ISTA (REDONDEAR FUENTE)'!O58,5)</f>
        <v>805</v>
      </c>
      <c r="P59" s="23">
        <v>1</v>
      </c>
      <c r="Q59" s="23">
        <v>1</v>
      </c>
      <c r="R59" s="23">
        <v>1</v>
      </c>
      <c r="S59" s="26">
        <f>MROUND('[2]POA ISTA (REDONDEAR FUENTE)'!S58,5)</f>
        <v>805</v>
      </c>
      <c r="T59" s="26">
        <f>MROUND('[2]POA ISTA (REDONDEAR FUENTE)'!T58,5)</f>
        <v>805</v>
      </c>
      <c r="U59" s="26">
        <f>MROUND('[2]POA ISTA (REDONDEAR FUENTE)'!U58,5)</f>
        <v>805</v>
      </c>
      <c r="V59" s="23">
        <v>1</v>
      </c>
      <c r="W59" s="23">
        <v>1</v>
      </c>
      <c r="X59" s="23">
        <v>1</v>
      </c>
      <c r="Y59" s="26">
        <f>MROUND('[2]POA ISTA (REDONDEAR FUENTE)'!Y58,5)</f>
        <v>805</v>
      </c>
      <c r="Z59" s="26">
        <f>MROUND('[2]POA ISTA (REDONDEAR FUENTE)'!Z58,5)</f>
        <v>805</v>
      </c>
      <c r="AA59" s="26">
        <f>MROUND('[2]POA ISTA (REDONDEAR FUENTE)'!AA58,5)</f>
        <v>805</v>
      </c>
      <c r="AB59" s="23">
        <v>1</v>
      </c>
      <c r="AC59" s="23">
        <v>1</v>
      </c>
      <c r="AD59" s="23">
        <v>1</v>
      </c>
      <c r="AE59" s="26">
        <f>MROUND('[2]POA ISTA (REDONDEAR FUENTE)'!AE58,5)</f>
        <v>805</v>
      </c>
      <c r="AF59" s="26">
        <f>MROUND('[2]POA ISTA (REDONDEAR FUENTE)'!AF58,5)</f>
        <v>805</v>
      </c>
      <c r="AG59" s="26">
        <f>MROUND('[2]POA ISTA (REDONDEAR FUENTE)'!AG58,5)-$BB59</f>
        <v>805</v>
      </c>
      <c r="AH59" s="26">
        <f>SUM(AI59:AN59)</f>
        <v>9635</v>
      </c>
      <c r="AI59" s="26">
        <f>MROUND('[2]POA 2021 ISTA (1)'!AI58,5)</f>
        <v>9635</v>
      </c>
      <c r="AJ59" s="1549"/>
      <c r="AK59" s="26"/>
      <c r="AL59" s="26"/>
      <c r="AM59" s="1549"/>
      <c r="AN59" s="1549"/>
      <c r="AO59" s="1532" t="s">
        <v>3525</v>
      </c>
      <c r="AP59" s="1532" t="s">
        <v>3664</v>
      </c>
      <c r="AQ59" s="1550"/>
    </row>
    <row r="60" spans="1:43" ht="15.6">
      <c r="A60" s="1019" t="s">
        <v>3665</v>
      </c>
      <c r="B60" s="363" t="s">
        <v>3666</v>
      </c>
      <c r="C60" s="639"/>
      <c r="D60" s="14"/>
      <c r="E60" s="14"/>
      <c r="F60" s="14"/>
      <c r="G60" s="16">
        <f t="shared" si="0"/>
        <v>6.8283482976586277E-2</v>
      </c>
      <c r="H60" s="1491">
        <v>1</v>
      </c>
      <c r="I60" s="16"/>
      <c r="J60" s="15"/>
      <c r="K60" s="15"/>
      <c r="L60" s="15"/>
      <c r="M60" s="17">
        <f t="shared" ref="M60:O61" si="43">+M61</f>
        <v>415</v>
      </c>
      <c r="N60" s="17">
        <f t="shared" si="43"/>
        <v>415</v>
      </c>
      <c r="O60" s="17">
        <f t="shared" si="43"/>
        <v>415</v>
      </c>
      <c r="P60" s="15"/>
      <c r="Q60" s="15"/>
      <c r="R60" s="15"/>
      <c r="S60" s="17">
        <f t="shared" ref="S60:U61" si="44">+S61</f>
        <v>415</v>
      </c>
      <c r="T60" s="17">
        <f t="shared" si="44"/>
        <v>415</v>
      </c>
      <c r="U60" s="17">
        <f t="shared" si="44"/>
        <v>415</v>
      </c>
      <c r="V60" s="15"/>
      <c r="W60" s="15"/>
      <c r="X60" s="15"/>
      <c r="Y60" s="17">
        <f t="shared" ref="Y60:AA61" si="45">+Y61</f>
        <v>415</v>
      </c>
      <c r="Z60" s="17">
        <f t="shared" si="45"/>
        <v>415</v>
      </c>
      <c r="AA60" s="17">
        <f t="shared" si="45"/>
        <v>415</v>
      </c>
      <c r="AB60" s="15"/>
      <c r="AC60" s="15"/>
      <c r="AD60" s="15"/>
      <c r="AE60" s="17">
        <f t="shared" ref="AE60:AI61" si="46">+AE61</f>
        <v>415</v>
      </c>
      <c r="AF60" s="17">
        <f t="shared" si="46"/>
        <v>415</v>
      </c>
      <c r="AG60" s="17">
        <f t="shared" si="46"/>
        <v>435</v>
      </c>
      <c r="AH60" s="17">
        <f t="shared" si="46"/>
        <v>5000</v>
      </c>
      <c r="AI60" s="17">
        <f t="shared" si="46"/>
        <v>5000</v>
      </c>
      <c r="AJ60" s="1522"/>
      <c r="AK60" s="17"/>
      <c r="AL60" s="17"/>
      <c r="AM60" s="1522"/>
      <c r="AN60" s="1522"/>
      <c r="AO60" s="1299"/>
      <c r="AP60" s="1299"/>
      <c r="AQ60" s="1523"/>
    </row>
    <row r="61" spans="1:43" ht="120">
      <c r="A61" s="428" t="s">
        <v>3667</v>
      </c>
      <c r="B61" s="371" t="s">
        <v>3668</v>
      </c>
      <c r="C61" s="643"/>
      <c r="D61" s="18"/>
      <c r="E61" s="18"/>
      <c r="F61" s="18"/>
      <c r="G61" s="20">
        <f t="shared" si="0"/>
        <v>6.8283482976586277E-2</v>
      </c>
      <c r="H61" s="1526"/>
      <c r="I61" s="20"/>
      <c r="J61" s="19"/>
      <c r="K61" s="19"/>
      <c r="L61" s="19"/>
      <c r="M61" s="21">
        <f t="shared" si="43"/>
        <v>415</v>
      </c>
      <c r="N61" s="21">
        <f t="shared" si="43"/>
        <v>415</v>
      </c>
      <c r="O61" s="21">
        <f t="shared" si="43"/>
        <v>415</v>
      </c>
      <c r="P61" s="19"/>
      <c r="Q61" s="19"/>
      <c r="R61" s="19"/>
      <c r="S61" s="21">
        <f t="shared" si="44"/>
        <v>415</v>
      </c>
      <c r="T61" s="21">
        <f t="shared" si="44"/>
        <v>415</v>
      </c>
      <c r="U61" s="21">
        <f t="shared" si="44"/>
        <v>415</v>
      </c>
      <c r="V61" s="19"/>
      <c r="W61" s="19"/>
      <c r="X61" s="19"/>
      <c r="Y61" s="21">
        <f t="shared" si="45"/>
        <v>415</v>
      </c>
      <c r="Z61" s="21">
        <f t="shared" si="45"/>
        <v>415</v>
      </c>
      <c r="AA61" s="21">
        <f t="shared" si="45"/>
        <v>415</v>
      </c>
      <c r="AB61" s="19"/>
      <c r="AC61" s="19"/>
      <c r="AD61" s="19"/>
      <c r="AE61" s="21">
        <f t="shared" si="46"/>
        <v>415</v>
      </c>
      <c r="AF61" s="21">
        <f t="shared" si="46"/>
        <v>415</v>
      </c>
      <c r="AG61" s="21">
        <f t="shared" si="46"/>
        <v>435</v>
      </c>
      <c r="AH61" s="21">
        <f t="shared" si="46"/>
        <v>5000</v>
      </c>
      <c r="AI61" s="21">
        <f t="shared" si="46"/>
        <v>5000</v>
      </c>
      <c r="AJ61" s="1528"/>
      <c r="AK61" s="21"/>
      <c r="AL61" s="21"/>
      <c r="AM61" s="1528"/>
      <c r="AN61" s="1528"/>
      <c r="AO61" s="1539"/>
      <c r="AP61" s="1539"/>
      <c r="AQ61" s="1529"/>
    </row>
    <row r="62" spans="1:43" ht="300">
      <c r="A62" s="437" t="s">
        <v>3669</v>
      </c>
      <c r="B62" s="379" t="s">
        <v>3670</v>
      </c>
      <c r="C62" s="1530">
        <f>J62+K62+L62+P62+Q62+R62+V62+W62+X62+AB62+AC62+AD62</f>
        <v>12</v>
      </c>
      <c r="D62" s="22" t="s">
        <v>52</v>
      </c>
      <c r="E62" s="22" t="s">
        <v>3671</v>
      </c>
      <c r="F62" s="22" t="s">
        <v>3672</v>
      </c>
      <c r="G62" s="24">
        <f t="shared" si="0"/>
        <v>6.8283482976586277E-2</v>
      </c>
      <c r="H62" s="1531"/>
      <c r="I62" s="24">
        <v>100</v>
      </c>
      <c r="J62" s="23">
        <v>1</v>
      </c>
      <c r="K62" s="23">
        <v>1</v>
      </c>
      <c r="L62" s="23">
        <v>1</v>
      </c>
      <c r="M62" s="26">
        <v>415</v>
      </c>
      <c r="N62" s="26">
        <v>415</v>
      </c>
      <c r="O62" s="26">
        <v>415</v>
      </c>
      <c r="P62" s="23">
        <v>1</v>
      </c>
      <c r="Q62" s="23">
        <v>1</v>
      </c>
      <c r="R62" s="23">
        <v>1</v>
      </c>
      <c r="S62" s="26">
        <v>415</v>
      </c>
      <c r="T62" s="26">
        <v>415</v>
      </c>
      <c r="U62" s="26">
        <v>415</v>
      </c>
      <c r="V62" s="23">
        <v>1</v>
      </c>
      <c r="W62" s="23">
        <v>1</v>
      </c>
      <c r="X62" s="23">
        <v>1</v>
      </c>
      <c r="Y62" s="26">
        <v>415</v>
      </c>
      <c r="Z62" s="26">
        <v>415</v>
      </c>
      <c r="AA62" s="26">
        <v>415</v>
      </c>
      <c r="AB62" s="23">
        <v>1</v>
      </c>
      <c r="AC62" s="23">
        <v>1</v>
      </c>
      <c r="AD62" s="23">
        <v>1</v>
      </c>
      <c r="AE62" s="26">
        <v>415</v>
      </c>
      <c r="AF62" s="26">
        <v>415</v>
      </c>
      <c r="AG62" s="26">
        <v>435</v>
      </c>
      <c r="AH62" s="26">
        <f>SUM(AI62:AN62)</f>
        <v>5000</v>
      </c>
      <c r="AI62" s="26">
        <f>MROUND('[2]POA 2021 ISTA (1)'!AI61,5)</f>
        <v>5000</v>
      </c>
      <c r="AJ62" s="1549"/>
      <c r="AK62" s="26"/>
      <c r="AL62" s="26"/>
      <c r="AM62" s="1549"/>
      <c r="AN62" s="1549"/>
      <c r="AO62" s="1532" t="s">
        <v>3525</v>
      </c>
      <c r="AP62" s="1532" t="s">
        <v>3666</v>
      </c>
      <c r="AQ62" s="1550"/>
    </row>
    <row r="63" spans="1:43" ht="30">
      <c r="A63" s="1019" t="s">
        <v>3673</v>
      </c>
      <c r="B63" s="363" t="s">
        <v>3674</v>
      </c>
      <c r="C63" s="639"/>
      <c r="D63" s="14"/>
      <c r="E63" s="14"/>
      <c r="F63" s="14"/>
      <c r="G63" s="16">
        <f t="shared" si="0"/>
        <v>1.7207437710099742E-2</v>
      </c>
      <c r="H63" s="1491">
        <v>1</v>
      </c>
      <c r="I63" s="16"/>
      <c r="J63" s="15"/>
      <c r="K63" s="15"/>
      <c r="L63" s="15"/>
      <c r="M63" s="17">
        <f t="shared" ref="M63:O64" si="47">+M64</f>
        <v>60</v>
      </c>
      <c r="N63" s="17">
        <f t="shared" si="47"/>
        <v>90</v>
      </c>
      <c r="O63" s="17">
        <f t="shared" si="47"/>
        <v>110</v>
      </c>
      <c r="P63" s="15"/>
      <c r="Q63" s="15"/>
      <c r="R63" s="15"/>
      <c r="S63" s="17">
        <f t="shared" ref="S63:U64" si="48">+S64</f>
        <v>75</v>
      </c>
      <c r="T63" s="17">
        <f t="shared" si="48"/>
        <v>120</v>
      </c>
      <c r="U63" s="17">
        <f t="shared" si="48"/>
        <v>100</v>
      </c>
      <c r="V63" s="15"/>
      <c r="W63" s="15"/>
      <c r="X63" s="15"/>
      <c r="Y63" s="17">
        <f t="shared" ref="Y63:AA64" si="49">+Y64</f>
        <v>120</v>
      </c>
      <c r="Z63" s="17">
        <f t="shared" si="49"/>
        <v>75</v>
      </c>
      <c r="AA63" s="17">
        <f t="shared" si="49"/>
        <v>110</v>
      </c>
      <c r="AB63" s="15"/>
      <c r="AC63" s="15"/>
      <c r="AD63" s="15"/>
      <c r="AE63" s="17">
        <f t="shared" ref="AE63:AI64" si="50">+AE64</f>
        <v>125</v>
      </c>
      <c r="AF63" s="17">
        <f t="shared" si="50"/>
        <v>200</v>
      </c>
      <c r="AG63" s="17">
        <f t="shared" si="50"/>
        <v>75</v>
      </c>
      <c r="AH63" s="17">
        <f t="shared" si="50"/>
        <v>1260</v>
      </c>
      <c r="AI63" s="17">
        <f t="shared" si="50"/>
        <v>1260</v>
      </c>
      <c r="AJ63" s="1522"/>
      <c r="AK63" s="17"/>
      <c r="AL63" s="17"/>
      <c r="AM63" s="1522"/>
      <c r="AN63" s="1522"/>
      <c r="AO63" s="1299"/>
      <c r="AP63" s="1299"/>
      <c r="AQ63" s="1523"/>
    </row>
    <row r="64" spans="1:43" ht="75">
      <c r="A64" s="428" t="s">
        <v>3675</v>
      </c>
      <c r="B64" s="371" t="s">
        <v>3676</v>
      </c>
      <c r="C64" s="643"/>
      <c r="D64" s="18"/>
      <c r="E64" s="18"/>
      <c r="F64" s="18"/>
      <c r="G64" s="20">
        <f t="shared" si="0"/>
        <v>1.7207437710099742E-2</v>
      </c>
      <c r="H64" s="1526"/>
      <c r="I64" s="20"/>
      <c r="J64" s="19"/>
      <c r="K64" s="19"/>
      <c r="L64" s="19"/>
      <c r="M64" s="21">
        <f t="shared" si="47"/>
        <v>60</v>
      </c>
      <c r="N64" s="21">
        <f t="shared" si="47"/>
        <v>90</v>
      </c>
      <c r="O64" s="21">
        <f t="shared" si="47"/>
        <v>110</v>
      </c>
      <c r="P64" s="19"/>
      <c r="Q64" s="19"/>
      <c r="R64" s="19"/>
      <c r="S64" s="21">
        <f t="shared" si="48"/>
        <v>75</v>
      </c>
      <c r="T64" s="21">
        <f t="shared" si="48"/>
        <v>120</v>
      </c>
      <c r="U64" s="21">
        <f t="shared" si="48"/>
        <v>100</v>
      </c>
      <c r="V64" s="19"/>
      <c r="W64" s="19"/>
      <c r="X64" s="19"/>
      <c r="Y64" s="21">
        <f t="shared" si="49"/>
        <v>120</v>
      </c>
      <c r="Z64" s="21">
        <f t="shared" si="49"/>
        <v>75</v>
      </c>
      <c r="AA64" s="21">
        <f t="shared" si="49"/>
        <v>110</v>
      </c>
      <c r="AB64" s="19"/>
      <c r="AC64" s="19"/>
      <c r="AD64" s="19"/>
      <c r="AE64" s="21">
        <f t="shared" si="50"/>
        <v>125</v>
      </c>
      <c r="AF64" s="21">
        <f t="shared" si="50"/>
        <v>200</v>
      </c>
      <c r="AG64" s="21">
        <f t="shared" si="50"/>
        <v>75</v>
      </c>
      <c r="AH64" s="21">
        <f t="shared" si="50"/>
        <v>1260</v>
      </c>
      <c r="AI64" s="21">
        <f t="shared" si="50"/>
        <v>1260</v>
      </c>
      <c r="AJ64" s="1528"/>
      <c r="AK64" s="21"/>
      <c r="AL64" s="21"/>
      <c r="AM64" s="1528"/>
      <c r="AN64" s="1528"/>
      <c r="AO64" s="1539"/>
      <c r="AP64" s="1539"/>
      <c r="AQ64" s="1529"/>
    </row>
    <row r="65" spans="1:43" ht="90">
      <c r="A65" s="437" t="s">
        <v>3677</v>
      </c>
      <c r="B65" s="379" t="s">
        <v>3678</v>
      </c>
      <c r="C65" s="1530">
        <f>J65+K65+L65+P65+Q65+R65+V65+W65+X65+AB65+AC65+AD65</f>
        <v>252</v>
      </c>
      <c r="D65" s="22" t="s">
        <v>2908</v>
      </c>
      <c r="E65" s="22" t="s">
        <v>3679</v>
      </c>
      <c r="F65" s="22" t="s">
        <v>3680</v>
      </c>
      <c r="G65" s="24">
        <f t="shared" si="0"/>
        <v>1.7207437710099742E-2</v>
      </c>
      <c r="H65" s="1531"/>
      <c r="I65" s="24">
        <v>100</v>
      </c>
      <c r="J65" s="23">
        <v>12</v>
      </c>
      <c r="K65" s="23">
        <v>18</v>
      </c>
      <c r="L65" s="23">
        <v>22</v>
      </c>
      <c r="M65" s="26">
        <f>MROUND('[2]POA ISTA (REDONDEAR FUENTE)'!M64,5)</f>
        <v>60</v>
      </c>
      <c r="N65" s="26">
        <f>MROUND('[2]POA ISTA (REDONDEAR FUENTE)'!N64,5)</f>
        <v>90</v>
      </c>
      <c r="O65" s="26">
        <f>MROUND('[2]POA ISTA (REDONDEAR FUENTE)'!O64,5)</f>
        <v>110</v>
      </c>
      <c r="P65" s="23">
        <v>15</v>
      </c>
      <c r="Q65" s="23">
        <v>24</v>
      </c>
      <c r="R65" s="23">
        <v>20</v>
      </c>
      <c r="S65" s="26">
        <f>MROUND('[2]POA ISTA (REDONDEAR FUENTE)'!S64,5)</f>
        <v>75</v>
      </c>
      <c r="T65" s="26">
        <f>MROUND('[2]POA ISTA (REDONDEAR FUENTE)'!T64,5)</f>
        <v>120</v>
      </c>
      <c r="U65" s="26">
        <f>MROUND('[2]POA ISTA (REDONDEAR FUENTE)'!U64,5)</f>
        <v>100</v>
      </c>
      <c r="V65" s="23">
        <v>24</v>
      </c>
      <c r="W65" s="23">
        <v>15</v>
      </c>
      <c r="X65" s="23">
        <v>22</v>
      </c>
      <c r="Y65" s="26">
        <f>MROUND('[2]POA ISTA (REDONDEAR FUENTE)'!Y64,5)</f>
        <v>120</v>
      </c>
      <c r="Z65" s="26">
        <f>MROUND('[2]POA ISTA (REDONDEAR FUENTE)'!Z64,5)</f>
        <v>75</v>
      </c>
      <c r="AA65" s="26">
        <f>MROUND('[2]POA ISTA (REDONDEAR FUENTE)'!AA64,5)</f>
        <v>110</v>
      </c>
      <c r="AB65" s="23">
        <v>25</v>
      </c>
      <c r="AC65" s="23">
        <v>40</v>
      </c>
      <c r="AD65" s="23">
        <v>15</v>
      </c>
      <c r="AE65" s="26">
        <f>MROUND('[2]POA ISTA (REDONDEAR FUENTE)'!AE64,5)</f>
        <v>125</v>
      </c>
      <c r="AF65" s="26">
        <f>MROUND('[2]POA ISTA (REDONDEAR FUENTE)'!AF64,5)</f>
        <v>200</v>
      </c>
      <c r="AG65" s="26">
        <f>MROUND('[2]POA ISTA (REDONDEAR FUENTE)'!AG64,5)</f>
        <v>75</v>
      </c>
      <c r="AH65" s="26">
        <f>SUM(AI65:AN65)</f>
        <v>1260</v>
      </c>
      <c r="AI65" s="26">
        <v>1260</v>
      </c>
      <c r="AJ65" s="1549"/>
      <c r="AK65" s="26"/>
      <c r="AL65" s="26"/>
      <c r="AM65" s="1549"/>
      <c r="AN65" s="1549"/>
      <c r="AO65" s="1532" t="s">
        <v>3525</v>
      </c>
      <c r="AP65" s="1532" t="s">
        <v>3681</v>
      </c>
      <c r="AQ65" s="1550"/>
    </row>
    <row r="66" spans="1:43" ht="30">
      <c r="A66" s="1019" t="s">
        <v>3682</v>
      </c>
      <c r="B66" s="363" t="s">
        <v>3593</v>
      </c>
      <c r="C66" s="639"/>
      <c r="D66" s="14"/>
      <c r="E66" s="14"/>
      <c r="F66" s="14"/>
      <c r="G66" s="16">
        <f t="shared" si="0"/>
        <v>1.9529076131303676E-2</v>
      </c>
      <c r="H66" s="1491">
        <v>1</v>
      </c>
      <c r="I66" s="16"/>
      <c r="J66" s="15"/>
      <c r="K66" s="15"/>
      <c r="L66" s="15"/>
      <c r="M66" s="17">
        <f t="shared" ref="M66:O67" si="51">+M67</f>
        <v>120</v>
      </c>
      <c r="N66" s="17">
        <f t="shared" si="51"/>
        <v>120</v>
      </c>
      <c r="O66" s="17">
        <f t="shared" si="51"/>
        <v>120</v>
      </c>
      <c r="P66" s="15"/>
      <c r="Q66" s="15"/>
      <c r="R66" s="15"/>
      <c r="S66" s="17">
        <f t="shared" ref="S66:U67" si="52">+S67</f>
        <v>120</v>
      </c>
      <c r="T66" s="17">
        <f t="shared" si="52"/>
        <v>120</v>
      </c>
      <c r="U66" s="17">
        <f t="shared" si="52"/>
        <v>120</v>
      </c>
      <c r="V66" s="15"/>
      <c r="W66" s="15"/>
      <c r="X66" s="15"/>
      <c r="Y66" s="17">
        <f t="shared" ref="Y66:AA67" si="53">+Y67</f>
        <v>120</v>
      </c>
      <c r="Z66" s="17">
        <f t="shared" si="53"/>
        <v>120</v>
      </c>
      <c r="AA66" s="17">
        <f t="shared" si="53"/>
        <v>120</v>
      </c>
      <c r="AB66" s="15"/>
      <c r="AC66" s="15"/>
      <c r="AD66" s="15"/>
      <c r="AE66" s="17">
        <f t="shared" ref="AE66:AI67" si="54">+AE67</f>
        <v>120</v>
      </c>
      <c r="AF66" s="17">
        <f t="shared" si="54"/>
        <v>120</v>
      </c>
      <c r="AG66" s="17">
        <f t="shared" si="54"/>
        <v>110</v>
      </c>
      <c r="AH66" s="17">
        <f t="shared" si="54"/>
        <v>1430</v>
      </c>
      <c r="AI66" s="17">
        <f t="shared" si="54"/>
        <v>1430</v>
      </c>
      <c r="AJ66" s="1522"/>
      <c r="AK66" s="17"/>
      <c r="AL66" s="17"/>
      <c r="AM66" s="1522"/>
      <c r="AN66" s="1522"/>
      <c r="AO66" s="1299"/>
      <c r="AP66" s="1299"/>
      <c r="AQ66" s="1523"/>
    </row>
    <row r="67" spans="1:43" ht="90">
      <c r="A67" s="428" t="s">
        <v>3683</v>
      </c>
      <c r="B67" s="371" t="s">
        <v>3684</v>
      </c>
      <c r="C67" s="643"/>
      <c r="D67" s="18"/>
      <c r="E67" s="18"/>
      <c r="F67" s="18"/>
      <c r="G67" s="20">
        <f t="shared" si="0"/>
        <v>1.9529076131303676E-2</v>
      </c>
      <c r="H67" s="1526"/>
      <c r="I67" s="20"/>
      <c r="J67" s="19"/>
      <c r="K67" s="19"/>
      <c r="L67" s="19"/>
      <c r="M67" s="21">
        <f t="shared" si="51"/>
        <v>120</v>
      </c>
      <c r="N67" s="21">
        <f t="shared" si="51"/>
        <v>120</v>
      </c>
      <c r="O67" s="21">
        <f t="shared" si="51"/>
        <v>120</v>
      </c>
      <c r="P67" s="19"/>
      <c r="Q67" s="19"/>
      <c r="R67" s="19"/>
      <c r="S67" s="21">
        <f t="shared" si="52"/>
        <v>120</v>
      </c>
      <c r="T67" s="21">
        <f t="shared" si="52"/>
        <v>120</v>
      </c>
      <c r="U67" s="21">
        <f t="shared" si="52"/>
        <v>120</v>
      </c>
      <c r="V67" s="19"/>
      <c r="W67" s="19"/>
      <c r="X67" s="19"/>
      <c r="Y67" s="21">
        <f t="shared" si="53"/>
        <v>120</v>
      </c>
      <c r="Z67" s="21">
        <f t="shared" si="53"/>
        <v>120</v>
      </c>
      <c r="AA67" s="21">
        <f t="shared" si="53"/>
        <v>120</v>
      </c>
      <c r="AB67" s="19"/>
      <c r="AC67" s="19"/>
      <c r="AD67" s="19"/>
      <c r="AE67" s="21">
        <f t="shared" si="54"/>
        <v>120</v>
      </c>
      <c r="AF67" s="21">
        <f t="shared" si="54"/>
        <v>120</v>
      </c>
      <c r="AG67" s="21">
        <f t="shared" si="54"/>
        <v>110</v>
      </c>
      <c r="AH67" s="21">
        <f t="shared" si="54"/>
        <v>1430</v>
      </c>
      <c r="AI67" s="21">
        <f t="shared" si="54"/>
        <v>1430</v>
      </c>
      <c r="AJ67" s="1528"/>
      <c r="AK67" s="21"/>
      <c r="AL67" s="21"/>
      <c r="AM67" s="1528"/>
      <c r="AN67" s="1528"/>
      <c r="AO67" s="1539"/>
      <c r="AP67" s="1539"/>
      <c r="AQ67" s="1529"/>
    </row>
    <row r="68" spans="1:43" ht="90">
      <c r="A68" s="437" t="s">
        <v>3685</v>
      </c>
      <c r="B68" s="379" t="s">
        <v>3686</v>
      </c>
      <c r="C68" s="1530">
        <f>J68+K68+L68+P68+Q68+R68+V68+W68+X68+AB68+AC68+AD68</f>
        <v>12</v>
      </c>
      <c r="D68" s="22" t="s">
        <v>52</v>
      </c>
      <c r="E68" s="22" t="s">
        <v>3687</v>
      </c>
      <c r="F68" s="22" t="s">
        <v>3688</v>
      </c>
      <c r="G68" s="24">
        <f t="shared" si="0"/>
        <v>1.9529076131303676E-2</v>
      </c>
      <c r="H68" s="1531"/>
      <c r="I68" s="24">
        <v>100</v>
      </c>
      <c r="J68" s="23">
        <v>1</v>
      </c>
      <c r="K68" s="23">
        <v>1</v>
      </c>
      <c r="L68" s="23">
        <v>1</v>
      </c>
      <c r="M68" s="26">
        <v>120</v>
      </c>
      <c r="N68" s="26">
        <v>120</v>
      </c>
      <c r="O68" s="26">
        <v>120</v>
      </c>
      <c r="P68" s="23">
        <v>1</v>
      </c>
      <c r="Q68" s="23">
        <v>1</v>
      </c>
      <c r="R68" s="23">
        <v>1</v>
      </c>
      <c r="S68" s="26">
        <v>120</v>
      </c>
      <c r="T68" s="26">
        <v>120</v>
      </c>
      <c r="U68" s="26">
        <v>120</v>
      </c>
      <c r="V68" s="23">
        <v>1</v>
      </c>
      <c r="W68" s="23">
        <v>1</v>
      </c>
      <c r="X68" s="23">
        <v>1</v>
      </c>
      <c r="Y68" s="26">
        <v>120</v>
      </c>
      <c r="Z68" s="26">
        <v>120</v>
      </c>
      <c r="AA68" s="26">
        <v>120</v>
      </c>
      <c r="AB68" s="23">
        <v>1</v>
      </c>
      <c r="AC68" s="23">
        <v>1</v>
      </c>
      <c r="AD68" s="23">
        <v>1</v>
      </c>
      <c r="AE68" s="26">
        <v>120</v>
      </c>
      <c r="AF68" s="26">
        <v>120</v>
      </c>
      <c r="AG68" s="26">
        <v>110</v>
      </c>
      <c r="AH68" s="26">
        <f>SUM(AI68:AN68)</f>
        <v>1430</v>
      </c>
      <c r="AI68" s="26">
        <v>1430</v>
      </c>
      <c r="AJ68" s="1549"/>
      <c r="AK68" s="26"/>
      <c r="AL68" s="26"/>
      <c r="AM68" s="1549"/>
      <c r="AN68" s="1549"/>
      <c r="AO68" s="1532" t="s">
        <v>3525</v>
      </c>
      <c r="AP68" s="1532" t="s">
        <v>3593</v>
      </c>
      <c r="AQ68" s="1550"/>
    </row>
    <row r="69" spans="1:43" ht="90">
      <c r="A69" s="1019" t="s">
        <v>3689</v>
      </c>
      <c r="B69" s="363" t="s">
        <v>3690</v>
      </c>
      <c r="C69" s="639"/>
      <c r="D69" s="14"/>
      <c r="E69" s="14"/>
      <c r="F69" s="14"/>
      <c r="G69" s="16">
        <f t="shared" si="0"/>
        <v>5.7358125700332475E-2</v>
      </c>
      <c r="H69" s="1491">
        <v>1</v>
      </c>
      <c r="I69" s="16"/>
      <c r="J69" s="15"/>
      <c r="K69" s="15"/>
      <c r="L69" s="15"/>
      <c r="M69" s="17">
        <f t="shared" ref="M69:O70" si="55">+M70</f>
        <v>350</v>
      </c>
      <c r="N69" s="17">
        <f t="shared" si="55"/>
        <v>350</v>
      </c>
      <c r="O69" s="17">
        <f t="shared" si="55"/>
        <v>350</v>
      </c>
      <c r="P69" s="15"/>
      <c r="Q69" s="15"/>
      <c r="R69" s="15"/>
      <c r="S69" s="17">
        <f t="shared" ref="S69:U70" si="56">+S70</f>
        <v>350</v>
      </c>
      <c r="T69" s="17">
        <f t="shared" si="56"/>
        <v>350</v>
      </c>
      <c r="U69" s="17">
        <f t="shared" si="56"/>
        <v>350</v>
      </c>
      <c r="V69" s="15"/>
      <c r="W69" s="15"/>
      <c r="X69" s="15"/>
      <c r="Y69" s="17">
        <f t="shared" ref="Y69:AA70" si="57">+Y70</f>
        <v>350</v>
      </c>
      <c r="Z69" s="17">
        <f t="shared" si="57"/>
        <v>350</v>
      </c>
      <c r="AA69" s="17">
        <f t="shared" si="57"/>
        <v>350</v>
      </c>
      <c r="AB69" s="15"/>
      <c r="AC69" s="15"/>
      <c r="AD69" s="15"/>
      <c r="AE69" s="17">
        <f t="shared" ref="AE69:AI70" si="58">+AE70</f>
        <v>350</v>
      </c>
      <c r="AF69" s="17">
        <f t="shared" si="58"/>
        <v>350</v>
      </c>
      <c r="AG69" s="17">
        <f t="shared" si="58"/>
        <v>350</v>
      </c>
      <c r="AH69" s="17">
        <f t="shared" si="58"/>
        <v>4200</v>
      </c>
      <c r="AI69" s="17">
        <f t="shared" si="58"/>
        <v>4200</v>
      </c>
      <c r="AJ69" s="1522"/>
      <c r="AK69" s="17"/>
      <c r="AL69" s="17"/>
      <c r="AM69" s="1522"/>
      <c r="AN69" s="1522"/>
      <c r="AO69" s="1299"/>
      <c r="AP69" s="1299"/>
      <c r="AQ69" s="1523"/>
    </row>
    <row r="70" spans="1:43" ht="105">
      <c r="A70" s="428" t="s">
        <v>3691</v>
      </c>
      <c r="B70" s="371" t="s">
        <v>3692</v>
      </c>
      <c r="C70" s="643"/>
      <c r="D70" s="18"/>
      <c r="E70" s="18"/>
      <c r="F70" s="18"/>
      <c r="G70" s="20">
        <f t="shared" si="0"/>
        <v>5.7358125700332475E-2</v>
      </c>
      <c r="H70" s="1526"/>
      <c r="I70" s="20"/>
      <c r="J70" s="19"/>
      <c r="K70" s="19"/>
      <c r="L70" s="19"/>
      <c r="M70" s="21">
        <f t="shared" si="55"/>
        <v>350</v>
      </c>
      <c r="N70" s="21">
        <f t="shared" si="55"/>
        <v>350</v>
      </c>
      <c r="O70" s="21">
        <f t="shared" si="55"/>
        <v>350</v>
      </c>
      <c r="P70" s="19"/>
      <c r="Q70" s="19"/>
      <c r="R70" s="19"/>
      <c r="S70" s="21">
        <f t="shared" si="56"/>
        <v>350</v>
      </c>
      <c r="T70" s="21">
        <f t="shared" si="56"/>
        <v>350</v>
      </c>
      <c r="U70" s="21">
        <f t="shared" si="56"/>
        <v>350</v>
      </c>
      <c r="V70" s="19"/>
      <c r="W70" s="19"/>
      <c r="X70" s="19"/>
      <c r="Y70" s="21">
        <f t="shared" si="57"/>
        <v>350</v>
      </c>
      <c r="Z70" s="21">
        <f t="shared" si="57"/>
        <v>350</v>
      </c>
      <c r="AA70" s="21">
        <f t="shared" si="57"/>
        <v>350</v>
      </c>
      <c r="AB70" s="19"/>
      <c r="AC70" s="19"/>
      <c r="AD70" s="19"/>
      <c r="AE70" s="21">
        <f t="shared" si="58"/>
        <v>350</v>
      </c>
      <c r="AF70" s="21">
        <f t="shared" si="58"/>
        <v>350</v>
      </c>
      <c r="AG70" s="21">
        <f t="shared" si="58"/>
        <v>350</v>
      </c>
      <c r="AH70" s="21">
        <f t="shared" si="58"/>
        <v>4200</v>
      </c>
      <c r="AI70" s="21">
        <f t="shared" si="58"/>
        <v>4200</v>
      </c>
      <c r="AJ70" s="1528"/>
      <c r="AK70" s="21"/>
      <c r="AL70" s="21"/>
      <c r="AM70" s="1528"/>
      <c r="AN70" s="1528"/>
      <c r="AO70" s="1539"/>
      <c r="AP70" s="1539"/>
      <c r="AQ70" s="1529"/>
    </row>
    <row r="71" spans="1:43" ht="180">
      <c r="A71" s="437" t="s">
        <v>3693</v>
      </c>
      <c r="B71" s="379" t="s">
        <v>3694</v>
      </c>
      <c r="C71" s="1530">
        <f>J71+K71+L71+P71+Q71+R71+V71+W71+X71+AB71+AC71+AD71</f>
        <v>12</v>
      </c>
      <c r="D71" s="22" t="s">
        <v>52</v>
      </c>
      <c r="E71" s="22" t="s">
        <v>3695</v>
      </c>
      <c r="F71" s="22" t="s">
        <v>3696</v>
      </c>
      <c r="G71" s="24">
        <f t="shared" si="0"/>
        <v>5.7358125700332475E-2</v>
      </c>
      <c r="H71" s="1531"/>
      <c r="I71" s="24">
        <v>100</v>
      </c>
      <c r="J71" s="23">
        <v>1</v>
      </c>
      <c r="K71" s="23">
        <v>1</v>
      </c>
      <c r="L71" s="23">
        <v>1</v>
      </c>
      <c r="M71" s="26">
        <v>350</v>
      </c>
      <c r="N71" s="26">
        <v>350</v>
      </c>
      <c r="O71" s="26">
        <v>350</v>
      </c>
      <c r="P71" s="23">
        <v>1</v>
      </c>
      <c r="Q71" s="23">
        <v>1</v>
      </c>
      <c r="R71" s="23">
        <v>1</v>
      </c>
      <c r="S71" s="26">
        <v>350</v>
      </c>
      <c r="T71" s="26">
        <v>350</v>
      </c>
      <c r="U71" s="26">
        <v>350</v>
      </c>
      <c r="V71" s="23">
        <v>1</v>
      </c>
      <c r="W71" s="23">
        <v>1</v>
      </c>
      <c r="X71" s="23">
        <v>1</v>
      </c>
      <c r="Y71" s="26">
        <v>350</v>
      </c>
      <c r="Z71" s="26">
        <v>350</v>
      </c>
      <c r="AA71" s="26">
        <v>350</v>
      </c>
      <c r="AB71" s="23">
        <v>1</v>
      </c>
      <c r="AC71" s="23">
        <v>1</v>
      </c>
      <c r="AD71" s="23">
        <v>1</v>
      </c>
      <c r="AE71" s="26">
        <v>350</v>
      </c>
      <c r="AF71" s="26">
        <v>350</v>
      </c>
      <c r="AG71" s="26">
        <v>350</v>
      </c>
      <c r="AH71" s="26">
        <f>SUM(AI71:AN71)</f>
        <v>4200</v>
      </c>
      <c r="AI71" s="26">
        <v>4200</v>
      </c>
      <c r="AJ71" s="1549"/>
      <c r="AK71" s="26"/>
      <c r="AL71" s="26"/>
      <c r="AM71" s="1549"/>
      <c r="AN71" s="1549"/>
      <c r="AO71" s="1532" t="s">
        <v>3525</v>
      </c>
      <c r="AP71" s="379" t="s">
        <v>3690</v>
      </c>
      <c r="AQ71" s="1550"/>
    </row>
    <row r="72" spans="1:43" ht="30">
      <c r="A72" s="1019" t="s">
        <v>3697</v>
      </c>
      <c r="B72" s="14" t="s">
        <v>3698</v>
      </c>
      <c r="C72" s="639"/>
      <c r="D72" s="14"/>
      <c r="E72" s="14"/>
      <c r="F72" s="14"/>
      <c r="G72" s="16">
        <f t="shared" si="0"/>
        <v>2.0621611858929054E-2</v>
      </c>
      <c r="H72" s="1491">
        <v>1</v>
      </c>
      <c r="I72" s="16"/>
      <c r="J72" s="15"/>
      <c r="K72" s="15"/>
      <c r="L72" s="15"/>
      <c r="M72" s="17">
        <f>+M73</f>
        <v>130</v>
      </c>
      <c r="N72" s="17">
        <f>+N73</f>
        <v>130</v>
      </c>
      <c r="O72" s="17">
        <f>+O73</f>
        <v>130</v>
      </c>
      <c r="P72" s="15"/>
      <c r="Q72" s="15"/>
      <c r="R72" s="15"/>
      <c r="S72" s="17">
        <f>+S73</f>
        <v>130</v>
      </c>
      <c r="T72" s="17">
        <f>+T73</f>
        <v>130</v>
      </c>
      <c r="U72" s="17">
        <f>+U73</f>
        <v>130</v>
      </c>
      <c r="V72" s="15"/>
      <c r="W72" s="15"/>
      <c r="X72" s="15"/>
      <c r="Y72" s="17">
        <f>+Y73</f>
        <v>130</v>
      </c>
      <c r="Z72" s="17">
        <f>+Z73</f>
        <v>130</v>
      </c>
      <c r="AA72" s="17">
        <f>+AA73</f>
        <v>130</v>
      </c>
      <c r="AB72" s="15"/>
      <c r="AC72" s="15"/>
      <c r="AD72" s="15"/>
      <c r="AE72" s="17">
        <f t="shared" ref="AE72:AI72" si="59">+AE73</f>
        <v>130</v>
      </c>
      <c r="AF72" s="17">
        <f t="shared" si="59"/>
        <v>130</v>
      </c>
      <c r="AG72" s="17">
        <f t="shared" si="59"/>
        <v>80</v>
      </c>
      <c r="AH72" s="17">
        <f t="shared" si="59"/>
        <v>1510</v>
      </c>
      <c r="AI72" s="17">
        <f t="shared" si="59"/>
        <v>1510</v>
      </c>
      <c r="AJ72" s="1522"/>
      <c r="AK72" s="17"/>
      <c r="AL72" s="17"/>
      <c r="AM72" s="1522"/>
      <c r="AN72" s="1522"/>
      <c r="AO72" s="1299"/>
      <c r="AP72" s="1299"/>
      <c r="AQ72" s="1523"/>
    </row>
    <row r="73" spans="1:43" ht="90">
      <c r="A73" s="428" t="s">
        <v>3699</v>
      </c>
      <c r="B73" s="18" t="s">
        <v>3700</v>
      </c>
      <c r="C73" s="643"/>
      <c r="D73" s="18"/>
      <c r="E73" s="18"/>
      <c r="F73" s="18"/>
      <c r="G73" s="20">
        <f t="shared" si="0"/>
        <v>2.0621611858929054E-2</v>
      </c>
      <c r="H73" s="1526"/>
      <c r="I73" s="20"/>
      <c r="J73" s="19"/>
      <c r="K73" s="19"/>
      <c r="L73" s="19"/>
      <c r="M73" s="21">
        <f>M74+M75</f>
        <v>130</v>
      </c>
      <c r="N73" s="21">
        <f>N74+N75</f>
        <v>130</v>
      </c>
      <c r="O73" s="21">
        <f>O74+O75</f>
        <v>130</v>
      </c>
      <c r="P73" s="19"/>
      <c r="Q73" s="19"/>
      <c r="R73" s="19"/>
      <c r="S73" s="21">
        <f>S74+S75</f>
        <v>130</v>
      </c>
      <c r="T73" s="21">
        <f>T74+T75</f>
        <v>130</v>
      </c>
      <c r="U73" s="21">
        <f>U74+U75</f>
        <v>130</v>
      </c>
      <c r="V73" s="19"/>
      <c r="W73" s="19"/>
      <c r="X73" s="19"/>
      <c r="Y73" s="21">
        <f>Y74+Y75</f>
        <v>130</v>
      </c>
      <c r="Z73" s="21">
        <f>Z74+Z75</f>
        <v>130</v>
      </c>
      <c r="AA73" s="21">
        <f>AA74+AA75</f>
        <v>130</v>
      </c>
      <c r="AB73" s="19"/>
      <c r="AC73" s="19"/>
      <c r="AD73" s="19"/>
      <c r="AE73" s="21">
        <f>AE74+AE75</f>
        <v>130</v>
      </c>
      <c r="AF73" s="21">
        <f>AF74+AF75</f>
        <v>130</v>
      </c>
      <c r="AG73" s="21">
        <f>+AG74+AG75</f>
        <v>80</v>
      </c>
      <c r="AH73" s="21">
        <f>+AH74+AH75</f>
        <v>1510</v>
      </c>
      <c r="AI73" s="21">
        <f>+AI74+AI75</f>
        <v>1510</v>
      </c>
      <c r="AJ73" s="1528"/>
      <c r="AK73" s="21"/>
      <c r="AL73" s="21"/>
      <c r="AM73" s="1528"/>
      <c r="AN73" s="1528"/>
      <c r="AO73" s="1539"/>
      <c r="AP73" s="1539"/>
      <c r="AQ73" s="1529"/>
    </row>
    <row r="74" spans="1:43" ht="45">
      <c r="A74" s="2168" t="s">
        <v>3701</v>
      </c>
      <c r="B74" s="2135" t="s">
        <v>3702</v>
      </c>
      <c r="C74" s="1530">
        <f>J74+K74+L74+P74+Q74+R74+V74+W74+X74+AB74+AC74+AD74</f>
        <v>3998</v>
      </c>
      <c r="D74" s="22" t="s">
        <v>2820</v>
      </c>
      <c r="E74" s="2171" t="s">
        <v>3703</v>
      </c>
      <c r="F74" s="2171" t="s">
        <v>3704</v>
      </c>
      <c r="G74" s="2164">
        <f t="shared" si="0"/>
        <v>1.0310805929464527E-2</v>
      </c>
      <c r="H74" s="2166"/>
      <c r="I74" s="2164">
        <v>100</v>
      </c>
      <c r="J74" s="23">
        <v>335</v>
      </c>
      <c r="K74" s="23">
        <v>333</v>
      </c>
      <c r="L74" s="23">
        <v>333</v>
      </c>
      <c r="M74" s="26">
        <v>65</v>
      </c>
      <c r="N74" s="26">
        <v>65</v>
      </c>
      <c r="O74" s="26">
        <v>65</v>
      </c>
      <c r="P74" s="23">
        <v>333</v>
      </c>
      <c r="Q74" s="23">
        <v>333</v>
      </c>
      <c r="R74" s="23">
        <v>333</v>
      </c>
      <c r="S74" s="26">
        <v>65</v>
      </c>
      <c r="T74" s="26">
        <v>65</v>
      </c>
      <c r="U74" s="26">
        <v>65</v>
      </c>
      <c r="V74" s="23">
        <v>333</v>
      </c>
      <c r="W74" s="23">
        <v>333</v>
      </c>
      <c r="X74" s="23">
        <v>333</v>
      </c>
      <c r="Y74" s="26">
        <v>65</v>
      </c>
      <c r="Z74" s="26">
        <v>65</v>
      </c>
      <c r="AA74" s="26">
        <v>65</v>
      </c>
      <c r="AB74" s="23">
        <v>333</v>
      </c>
      <c r="AC74" s="23">
        <v>333</v>
      </c>
      <c r="AD74" s="23">
        <v>333</v>
      </c>
      <c r="AE74" s="26">
        <v>65</v>
      </c>
      <c r="AF74" s="26">
        <v>65</v>
      </c>
      <c r="AG74" s="26">
        <v>40</v>
      </c>
      <c r="AH74" s="26">
        <f t="shared" ref="AH74:AH75" si="60">SUM(AI74:AN74)</f>
        <v>755</v>
      </c>
      <c r="AI74" s="26">
        <v>755</v>
      </c>
      <c r="AJ74" s="1549"/>
      <c r="AK74" s="26"/>
      <c r="AL74" s="26"/>
      <c r="AM74" s="1549"/>
      <c r="AN74" s="1549"/>
      <c r="AO74" s="1532" t="s">
        <v>3525</v>
      </c>
      <c r="AP74" s="1532" t="s">
        <v>3698</v>
      </c>
      <c r="AQ74" s="1551"/>
    </row>
    <row r="75" spans="1:43" ht="45">
      <c r="A75" s="2169"/>
      <c r="B75" s="2170"/>
      <c r="C75" s="1530">
        <f>J75+K75+L75+P75+Q75+R75+V75+W75+X75+AB75+AC75+AD75</f>
        <v>6002</v>
      </c>
      <c r="D75" s="22" t="s">
        <v>419</v>
      </c>
      <c r="E75" s="2172"/>
      <c r="F75" s="2172"/>
      <c r="G75" s="2165"/>
      <c r="H75" s="2167"/>
      <c r="I75" s="2165"/>
      <c r="J75" s="23">
        <v>502</v>
      </c>
      <c r="K75" s="23">
        <v>500</v>
      </c>
      <c r="L75" s="23">
        <v>500</v>
      </c>
      <c r="M75" s="26">
        <v>65</v>
      </c>
      <c r="N75" s="26">
        <v>65</v>
      </c>
      <c r="O75" s="26">
        <v>65</v>
      </c>
      <c r="P75" s="23">
        <v>500</v>
      </c>
      <c r="Q75" s="23">
        <v>500</v>
      </c>
      <c r="R75" s="23">
        <v>500</v>
      </c>
      <c r="S75" s="26">
        <v>65</v>
      </c>
      <c r="T75" s="26">
        <v>65</v>
      </c>
      <c r="U75" s="26">
        <v>65</v>
      </c>
      <c r="V75" s="23">
        <v>500</v>
      </c>
      <c r="W75" s="23">
        <v>500</v>
      </c>
      <c r="X75" s="23">
        <v>500</v>
      </c>
      <c r="Y75" s="26">
        <v>65</v>
      </c>
      <c r="Z75" s="26">
        <v>65</v>
      </c>
      <c r="AA75" s="26">
        <v>65</v>
      </c>
      <c r="AB75" s="23">
        <v>500</v>
      </c>
      <c r="AC75" s="23">
        <v>500</v>
      </c>
      <c r="AD75" s="23">
        <v>500</v>
      </c>
      <c r="AE75" s="26">
        <v>65</v>
      </c>
      <c r="AF75" s="26">
        <v>65</v>
      </c>
      <c r="AG75" s="26">
        <v>40</v>
      </c>
      <c r="AH75" s="26">
        <f t="shared" si="60"/>
        <v>755</v>
      </c>
      <c r="AI75" s="26">
        <v>755</v>
      </c>
      <c r="AJ75" s="1549"/>
      <c r="AK75" s="26"/>
      <c r="AL75" s="26"/>
      <c r="AM75" s="1549"/>
      <c r="AN75" s="1549"/>
      <c r="AO75" s="1532" t="s">
        <v>3525</v>
      </c>
      <c r="AP75" s="1532" t="s">
        <v>3698</v>
      </c>
      <c r="AQ75" s="1552"/>
    </row>
    <row r="76" spans="1:43" ht="15.6">
      <c r="A76" s="1520"/>
      <c r="B76" s="1520" t="s">
        <v>1728</v>
      </c>
      <c r="C76" s="1523"/>
      <c r="D76" s="1546"/>
      <c r="E76" s="1553"/>
      <c r="F76" s="1553"/>
      <c r="G76" s="16"/>
      <c r="H76" s="16">
        <f>SUM(H11:H71)</f>
        <v>100</v>
      </c>
      <c r="I76" s="16"/>
      <c r="J76" s="1521"/>
      <c r="K76" s="1521"/>
      <c r="L76" s="1521"/>
      <c r="M76" s="17">
        <f>M11+M16+M41+M46</f>
        <v>585415</v>
      </c>
      <c r="N76" s="17">
        <f>N11+N16+N41+N46</f>
        <v>590405</v>
      </c>
      <c r="O76" s="17">
        <f>O11+O16+O41+O46</f>
        <v>609240</v>
      </c>
      <c r="P76" s="15"/>
      <c r="Q76" s="15"/>
      <c r="R76" s="15"/>
      <c r="S76" s="17">
        <f>S11+S16+S41+S46</f>
        <v>624985</v>
      </c>
      <c r="T76" s="17">
        <f>T11+T16+T41+T46</f>
        <v>638630</v>
      </c>
      <c r="U76" s="17">
        <f>U11+U16+U41+U46</f>
        <v>640920</v>
      </c>
      <c r="V76" s="15"/>
      <c r="W76" s="15"/>
      <c r="X76" s="15"/>
      <c r="Y76" s="17">
        <f>Y11+Y16+Y41+Y46</f>
        <v>630335</v>
      </c>
      <c r="Z76" s="17">
        <f>Z11+Z16+Z41+Z46</f>
        <v>598835</v>
      </c>
      <c r="AA76" s="17">
        <f>AA11+AA16+AA41+AA46</f>
        <v>602535</v>
      </c>
      <c r="AB76" s="15"/>
      <c r="AC76" s="15"/>
      <c r="AD76" s="15"/>
      <c r="AE76" s="17">
        <f t="shared" ref="AE76:AJ76" si="61">AE11+AE16+AE41+AE46</f>
        <v>601700</v>
      </c>
      <c r="AF76" s="17">
        <f t="shared" si="61"/>
        <v>599615</v>
      </c>
      <c r="AG76" s="17">
        <f t="shared" si="61"/>
        <v>599825</v>
      </c>
      <c r="AH76" s="17">
        <f t="shared" si="61"/>
        <v>7322415</v>
      </c>
      <c r="AI76" s="17">
        <f>AI11+AI16+AI41+AI46</f>
        <v>6918940</v>
      </c>
      <c r="AJ76" s="17">
        <f t="shared" si="61"/>
        <v>363475</v>
      </c>
      <c r="AK76" s="17"/>
      <c r="AL76" s="17">
        <f>AL11+AL16+AL41+AL46</f>
        <v>40000</v>
      </c>
      <c r="AM76" s="17"/>
      <c r="AN76" s="1522"/>
      <c r="AO76" s="1523"/>
      <c r="AP76" s="1523"/>
      <c r="AQ76" s="1523"/>
    </row>
  </sheetData>
  <sheetProtection algorithmName="SHA-512" hashValue="CX9G8w0KySDTLkQfDYW5xbF8OuoCFVTaTvz2ldcwDKSlvHlbQLVrhxOrH4yw6bS3Mv0vh7zKsSpxKhXYB6pOvw==" saltValue="xa8Yr3k14OilMFxFCISupw==" spinCount="100000" sheet="1" objects="1" scenarios="1"/>
  <mergeCells count="43">
    <mergeCell ref="H74:H75"/>
    <mergeCell ref="A74:A75"/>
    <mergeCell ref="B74:B75"/>
    <mergeCell ref="E74:E75"/>
    <mergeCell ref="F74:F75"/>
    <mergeCell ref="G74:G75"/>
    <mergeCell ref="S9:U9"/>
    <mergeCell ref="V9:X9"/>
    <mergeCell ref="Y9:AA9"/>
    <mergeCell ref="AB9:AD9"/>
    <mergeCell ref="I74:I75"/>
    <mergeCell ref="AN8:AN10"/>
    <mergeCell ref="J9:L9"/>
    <mergeCell ref="M9:O9"/>
    <mergeCell ref="AE9:AG9"/>
    <mergeCell ref="AQ7:AQ10"/>
    <mergeCell ref="J8:O8"/>
    <mergeCell ref="P8:U8"/>
    <mergeCell ref="V8:AA8"/>
    <mergeCell ref="AB8:AG8"/>
    <mergeCell ref="AH8:AH10"/>
    <mergeCell ref="AI8:AI10"/>
    <mergeCell ref="AJ8:AJ10"/>
    <mergeCell ref="AK8:AK10"/>
    <mergeCell ref="AL8:AL10"/>
    <mergeCell ref="AP7:AP10"/>
    <mergeCell ref="P9:R9"/>
    <mergeCell ref="A1:AQ1"/>
    <mergeCell ref="A2:AQ2"/>
    <mergeCell ref="A3:AQ3"/>
    <mergeCell ref="A7:A10"/>
    <mergeCell ref="B7:B10"/>
    <mergeCell ref="C7:C10"/>
    <mergeCell ref="D7:D10"/>
    <mergeCell ref="E7:E10"/>
    <mergeCell ref="F7:F10"/>
    <mergeCell ref="G7:G10"/>
    <mergeCell ref="H7:H10"/>
    <mergeCell ref="I7:I10"/>
    <mergeCell ref="J7:AH7"/>
    <mergeCell ref="AI7:AN7"/>
    <mergeCell ref="AO7:AO10"/>
    <mergeCell ref="AM8:AM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7"/>
  <sheetViews>
    <sheetView workbookViewId="0">
      <selection activeCell="M17" sqref="M17"/>
    </sheetView>
  </sheetViews>
  <sheetFormatPr baseColWidth="10" defaultRowHeight="14.4"/>
  <cols>
    <col min="1" max="1" width="19.109375" customWidth="1"/>
    <col min="2" max="2" width="36.109375" customWidth="1"/>
    <col min="3" max="3" width="7" customWidth="1"/>
    <col min="4" max="4" width="14" customWidth="1"/>
    <col min="5" max="5" width="19.88671875" customWidth="1"/>
    <col min="6" max="6" width="18.109375" customWidth="1"/>
    <col min="7" max="7" width="7.88671875" customWidth="1"/>
    <col min="8" max="9" width="8" customWidth="1"/>
    <col min="10" max="12" width="3.88671875" bestFit="1" customWidth="1"/>
    <col min="13" max="15" width="12.109375" bestFit="1" customWidth="1"/>
    <col min="16" max="18" width="3.88671875" bestFit="1" customWidth="1"/>
    <col min="19" max="21" width="12.109375" bestFit="1" customWidth="1"/>
    <col min="22" max="24" width="3.88671875" bestFit="1" customWidth="1"/>
    <col min="25" max="27" width="12.109375" bestFit="1" customWidth="1"/>
    <col min="28" max="30" width="3.88671875" bestFit="1" customWidth="1"/>
    <col min="31" max="33" width="12.109375" bestFit="1" customWidth="1"/>
    <col min="34" max="35" width="13.44140625" bestFit="1" customWidth="1"/>
    <col min="36" max="36" width="6.88671875" customWidth="1"/>
    <col min="37" max="37" width="5.109375" customWidth="1"/>
    <col min="38" max="38" width="6.5546875" customWidth="1"/>
    <col min="39" max="39" width="9.44140625" customWidth="1"/>
    <col min="40" max="40" width="10.33203125" customWidth="1"/>
    <col min="41" max="41" width="14.5546875" customWidth="1"/>
    <col min="42" max="42" width="16" customWidth="1"/>
    <col min="43" max="43" width="5.6640625" customWidth="1"/>
  </cols>
  <sheetData>
    <row r="1" spans="1:43" ht="17.399999999999999">
      <c r="A1" s="1937" t="s">
        <v>393</v>
      </c>
      <c r="B1" s="1937"/>
      <c r="C1" s="1937"/>
      <c r="D1" s="1937"/>
      <c r="E1" s="1937"/>
      <c r="F1" s="1937"/>
      <c r="G1" s="1937"/>
      <c r="H1" s="1937"/>
      <c r="I1" s="1937"/>
      <c r="J1" s="1937"/>
      <c r="K1" s="1937"/>
      <c r="L1" s="1937"/>
      <c r="M1" s="1937"/>
      <c r="N1" s="1937"/>
      <c r="O1" s="1937"/>
      <c r="P1" s="1937"/>
      <c r="Q1" s="1937"/>
      <c r="R1" s="1937"/>
      <c r="S1" s="1937"/>
      <c r="T1" s="1937"/>
      <c r="U1" s="1937"/>
      <c r="V1" s="1937"/>
      <c r="W1" s="1937"/>
      <c r="X1" s="1937"/>
      <c r="Y1" s="1937"/>
      <c r="Z1" s="1937"/>
      <c r="AA1" s="1937"/>
      <c r="AB1" s="1937"/>
      <c r="AC1" s="1937"/>
      <c r="AD1" s="1937"/>
      <c r="AE1" s="1937"/>
      <c r="AF1" s="1937"/>
      <c r="AG1" s="1937"/>
      <c r="AH1" s="1937"/>
      <c r="AI1" s="1937"/>
      <c r="AJ1" s="1937"/>
      <c r="AK1" s="1937"/>
      <c r="AL1" s="1937"/>
      <c r="AM1" s="1937"/>
      <c r="AN1" s="1937"/>
      <c r="AO1" s="1937"/>
      <c r="AP1" s="1937"/>
      <c r="AQ1" s="1937"/>
    </row>
    <row r="2" spans="1:43" ht="17.399999999999999">
      <c r="A2" s="2173" t="s">
        <v>1</v>
      </c>
      <c r="B2" s="2173"/>
      <c r="C2" s="2173"/>
      <c r="D2" s="2173"/>
      <c r="E2" s="2173"/>
      <c r="F2" s="2173"/>
      <c r="G2" s="2173"/>
      <c r="H2" s="2173"/>
      <c r="I2" s="2173"/>
      <c r="J2" s="2173"/>
      <c r="K2" s="2173"/>
      <c r="L2" s="2173"/>
      <c r="M2" s="2173"/>
      <c r="N2" s="2173"/>
      <c r="O2" s="2173"/>
      <c r="P2" s="2173"/>
      <c r="Q2" s="2173"/>
      <c r="R2" s="2173"/>
      <c r="S2" s="2173"/>
      <c r="T2" s="2173"/>
      <c r="U2" s="2173"/>
      <c r="V2" s="2173"/>
      <c r="W2" s="2173"/>
      <c r="X2" s="2173"/>
      <c r="Y2" s="2173"/>
      <c r="Z2" s="2173"/>
      <c r="AA2" s="2173"/>
      <c r="AB2" s="2173"/>
      <c r="AC2" s="2173"/>
      <c r="AD2" s="2173"/>
      <c r="AE2" s="2173"/>
      <c r="AF2" s="2173"/>
      <c r="AG2" s="2173"/>
      <c r="AH2" s="2173"/>
      <c r="AI2" s="2173"/>
      <c r="AJ2" s="2173"/>
      <c r="AK2" s="2173"/>
      <c r="AL2" s="2173"/>
      <c r="AM2" s="2173"/>
      <c r="AN2" s="2173"/>
      <c r="AO2" s="2173"/>
      <c r="AP2" s="2173"/>
      <c r="AQ2" s="2173"/>
    </row>
    <row r="3" spans="1:43" ht="17.399999999999999">
      <c r="A3" s="1554"/>
      <c r="B3" s="2174" t="s">
        <v>2</v>
      </c>
      <c r="C3" s="2174"/>
      <c r="D3" s="2174"/>
      <c r="E3" s="2174"/>
      <c r="F3" s="2174"/>
      <c r="G3" s="2174"/>
      <c r="H3" s="2174"/>
      <c r="I3" s="2174"/>
      <c r="J3" s="2174"/>
      <c r="K3" s="1555"/>
      <c r="L3" s="1555"/>
      <c r="M3" s="1556"/>
      <c r="N3" s="1556"/>
      <c r="O3" s="1556"/>
      <c r="P3" s="2173"/>
      <c r="Q3" s="2173"/>
      <c r="R3" s="2173"/>
      <c r="S3" s="2173"/>
      <c r="T3" s="2173"/>
      <c r="U3" s="2173"/>
      <c r="V3" s="2173"/>
      <c r="W3" s="2173"/>
      <c r="X3" s="2173"/>
      <c r="Y3" s="2173"/>
      <c r="Z3" s="2173"/>
      <c r="AA3" s="1556"/>
      <c r="AB3" s="1555"/>
      <c r="AC3" s="1555"/>
      <c r="AD3" s="1555"/>
      <c r="AE3" s="1556"/>
      <c r="AF3" s="1556"/>
      <c r="AG3" s="1556"/>
      <c r="AH3" s="1556"/>
      <c r="AI3" s="1556"/>
      <c r="AJ3" s="1555"/>
      <c r="AK3" s="1555"/>
      <c r="AL3" s="1555"/>
      <c r="AM3" s="1555"/>
      <c r="AN3" s="1555"/>
      <c r="AO3" s="1555"/>
      <c r="AP3" s="1555"/>
      <c r="AQ3" s="1555"/>
    </row>
    <row r="4" spans="1:43" ht="17.399999999999999">
      <c r="A4" s="1554"/>
      <c r="B4" s="2" t="s">
        <v>3705</v>
      </c>
      <c r="C4" s="2"/>
      <c r="D4" s="2"/>
      <c r="E4" s="2"/>
      <c r="F4" s="2"/>
      <c r="G4" s="2"/>
      <c r="H4" s="2"/>
      <c r="I4" s="2"/>
      <c r="J4" s="2"/>
      <c r="K4" s="1555"/>
      <c r="L4" s="1555"/>
      <c r="M4" s="1556"/>
      <c r="N4" s="1556"/>
      <c r="O4" s="1556"/>
      <c r="P4" s="1555"/>
      <c r="Q4" s="1555"/>
      <c r="R4" s="1555"/>
      <c r="S4" s="1556"/>
      <c r="T4" s="1556"/>
      <c r="U4" s="1556"/>
      <c r="V4" s="1555"/>
      <c r="W4" s="1555"/>
      <c r="X4" s="1555"/>
      <c r="Y4" s="1556"/>
      <c r="Z4" s="1556"/>
      <c r="AA4" s="1556"/>
      <c r="AB4" s="1555"/>
      <c r="AC4" s="1555"/>
      <c r="AD4" s="1555"/>
      <c r="AE4" s="1556"/>
      <c r="AF4" s="1556"/>
      <c r="AG4" s="1556"/>
      <c r="AH4" s="1556"/>
      <c r="AI4" s="1556"/>
      <c r="AJ4" s="1555"/>
      <c r="AK4" s="1555"/>
      <c r="AL4" s="1555"/>
      <c r="AM4" s="1555"/>
      <c r="AN4" s="1555"/>
      <c r="AO4" s="1555"/>
      <c r="AP4" s="1555"/>
      <c r="AQ4" s="1555"/>
    </row>
    <row r="5" spans="1:43" ht="17.399999999999999">
      <c r="A5" s="1554"/>
      <c r="B5" s="3" t="s">
        <v>4</v>
      </c>
      <c r="C5" s="3"/>
      <c r="D5" s="3"/>
      <c r="E5" s="1"/>
      <c r="F5" s="1"/>
      <c r="G5" s="1"/>
      <c r="H5" s="1"/>
      <c r="I5" s="4"/>
      <c r="J5" s="4"/>
      <c r="K5" s="1557"/>
      <c r="L5" s="1557"/>
      <c r="M5" s="1558"/>
      <c r="N5" s="1558"/>
      <c r="O5" s="1558"/>
      <c r="P5" s="1557"/>
      <c r="Q5" s="1557"/>
      <c r="R5" s="1557"/>
      <c r="S5" s="1558"/>
      <c r="T5" s="1558"/>
      <c r="U5" s="1558"/>
      <c r="V5" s="1557"/>
      <c r="W5" s="1557"/>
      <c r="X5" s="1557"/>
      <c r="Y5" s="1558"/>
      <c r="Z5" s="1558"/>
      <c r="AA5" s="1558"/>
      <c r="AB5" s="1557"/>
      <c r="AC5" s="1557"/>
      <c r="AD5" s="1557"/>
      <c r="AE5" s="1558"/>
      <c r="AF5" s="1558"/>
      <c r="AG5" s="1558"/>
      <c r="AH5" s="1558"/>
      <c r="AI5" s="1558"/>
      <c r="AJ5" s="1557"/>
      <c r="AK5" s="1557"/>
      <c r="AL5" s="1557"/>
      <c r="AM5" s="1557"/>
      <c r="AN5" s="1557"/>
      <c r="AO5" s="1557"/>
      <c r="AP5" s="1557"/>
      <c r="AQ5" s="1557"/>
    </row>
    <row r="6" spans="1:43" ht="15.6">
      <c r="A6" s="1939" t="s">
        <v>5</v>
      </c>
      <c r="B6" s="2175" t="s">
        <v>6</v>
      </c>
      <c r="C6" s="2175" t="s">
        <v>7</v>
      </c>
      <c r="D6" s="2176" t="s">
        <v>8</v>
      </c>
      <c r="E6" s="2176" t="s">
        <v>9</v>
      </c>
      <c r="F6" s="1939" t="s">
        <v>10</v>
      </c>
      <c r="G6" s="2177" t="s">
        <v>11</v>
      </c>
      <c r="H6" s="2178" t="s">
        <v>12</v>
      </c>
      <c r="I6" s="2178" t="s">
        <v>13</v>
      </c>
      <c r="J6" s="2181" t="s">
        <v>14</v>
      </c>
      <c r="K6" s="2182"/>
      <c r="L6" s="2182"/>
      <c r="M6" s="2182"/>
      <c r="N6" s="2182"/>
      <c r="O6" s="2182"/>
      <c r="P6" s="2182"/>
      <c r="Q6" s="2182"/>
      <c r="R6" s="2182"/>
      <c r="S6" s="2182"/>
      <c r="T6" s="2182"/>
      <c r="U6" s="2182"/>
      <c r="V6" s="2182"/>
      <c r="W6" s="2182"/>
      <c r="X6" s="2182"/>
      <c r="Y6" s="2182"/>
      <c r="Z6" s="2182"/>
      <c r="AA6" s="2182"/>
      <c r="AB6" s="2182"/>
      <c r="AC6" s="2182"/>
      <c r="AD6" s="2182"/>
      <c r="AE6" s="2182"/>
      <c r="AF6" s="2182"/>
      <c r="AG6" s="2182"/>
      <c r="AH6" s="2183"/>
      <c r="AI6" s="2176" t="s">
        <v>15</v>
      </c>
      <c r="AJ6" s="2176"/>
      <c r="AK6" s="2176"/>
      <c r="AL6" s="2176"/>
      <c r="AM6" s="2176"/>
      <c r="AN6" s="2176"/>
      <c r="AO6" s="2176" t="s">
        <v>16</v>
      </c>
      <c r="AP6" s="2176" t="s">
        <v>17</v>
      </c>
      <c r="AQ6" s="2178" t="s">
        <v>3706</v>
      </c>
    </row>
    <row r="7" spans="1:43" ht="15.6">
      <c r="A7" s="1940"/>
      <c r="B7" s="2175"/>
      <c r="C7" s="2175"/>
      <c r="D7" s="2176"/>
      <c r="E7" s="2176"/>
      <c r="F7" s="1940"/>
      <c r="G7" s="2177"/>
      <c r="H7" s="2179"/>
      <c r="I7" s="2179"/>
      <c r="J7" s="2175" t="s">
        <v>19</v>
      </c>
      <c r="K7" s="2175"/>
      <c r="L7" s="2175"/>
      <c r="M7" s="2175"/>
      <c r="N7" s="2175"/>
      <c r="O7" s="2175"/>
      <c r="P7" s="2175" t="s">
        <v>20</v>
      </c>
      <c r="Q7" s="2175"/>
      <c r="R7" s="2175"/>
      <c r="S7" s="2175"/>
      <c r="T7" s="2175"/>
      <c r="U7" s="2175"/>
      <c r="V7" s="2175" t="s">
        <v>21</v>
      </c>
      <c r="W7" s="2175"/>
      <c r="X7" s="2175"/>
      <c r="Y7" s="2175"/>
      <c r="Z7" s="2175"/>
      <c r="AA7" s="2175"/>
      <c r="AB7" s="2175" t="s">
        <v>22</v>
      </c>
      <c r="AC7" s="2175"/>
      <c r="AD7" s="2175"/>
      <c r="AE7" s="2175"/>
      <c r="AF7" s="2175"/>
      <c r="AG7" s="2175"/>
      <c r="AH7" s="2188" t="s">
        <v>403</v>
      </c>
      <c r="AI7" s="2188" t="s">
        <v>24</v>
      </c>
      <c r="AJ7" s="2185" t="s">
        <v>2383</v>
      </c>
      <c r="AK7" s="2189" t="s">
        <v>916</v>
      </c>
      <c r="AL7" s="2184" t="s">
        <v>27</v>
      </c>
      <c r="AM7" s="2185" t="s">
        <v>28</v>
      </c>
      <c r="AN7" s="2185" t="s">
        <v>29</v>
      </c>
      <c r="AO7" s="2176"/>
      <c r="AP7" s="2176"/>
      <c r="AQ7" s="2179"/>
    </row>
    <row r="8" spans="1:43" ht="15.6">
      <c r="A8" s="1940"/>
      <c r="B8" s="2175"/>
      <c r="C8" s="2175"/>
      <c r="D8" s="2176"/>
      <c r="E8" s="2176"/>
      <c r="F8" s="1940"/>
      <c r="G8" s="2177"/>
      <c r="H8" s="2179"/>
      <c r="I8" s="2179"/>
      <c r="J8" s="2175" t="s">
        <v>30</v>
      </c>
      <c r="K8" s="2175"/>
      <c r="L8" s="2175"/>
      <c r="M8" s="2188" t="s">
        <v>31</v>
      </c>
      <c r="N8" s="2188"/>
      <c r="O8" s="2188"/>
      <c r="P8" s="2175" t="s">
        <v>30</v>
      </c>
      <c r="Q8" s="2175"/>
      <c r="R8" s="2175"/>
      <c r="S8" s="2188" t="s">
        <v>31</v>
      </c>
      <c r="T8" s="2188"/>
      <c r="U8" s="2188"/>
      <c r="V8" s="2175" t="s">
        <v>30</v>
      </c>
      <c r="W8" s="2175"/>
      <c r="X8" s="2175"/>
      <c r="Y8" s="2188" t="s">
        <v>31</v>
      </c>
      <c r="Z8" s="2188"/>
      <c r="AA8" s="2188"/>
      <c r="AB8" s="2175" t="s">
        <v>30</v>
      </c>
      <c r="AC8" s="2175"/>
      <c r="AD8" s="2175"/>
      <c r="AE8" s="2188" t="s">
        <v>31</v>
      </c>
      <c r="AF8" s="2188"/>
      <c r="AG8" s="2188"/>
      <c r="AH8" s="2188"/>
      <c r="AI8" s="2188"/>
      <c r="AJ8" s="2186"/>
      <c r="AK8" s="2189"/>
      <c r="AL8" s="2184"/>
      <c r="AM8" s="2186"/>
      <c r="AN8" s="2186"/>
      <c r="AO8" s="2176"/>
      <c r="AP8" s="2176"/>
      <c r="AQ8" s="2179"/>
    </row>
    <row r="9" spans="1:43" ht="15.6">
      <c r="A9" s="1941"/>
      <c r="B9" s="2175"/>
      <c r="C9" s="2175"/>
      <c r="D9" s="2176"/>
      <c r="E9" s="2176"/>
      <c r="F9" s="1941"/>
      <c r="G9" s="2177"/>
      <c r="H9" s="2180"/>
      <c r="I9" s="2180"/>
      <c r="J9" s="1559" t="s">
        <v>32</v>
      </c>
      <c r="K9" s="1559" t="s">
        <v>33</v>
      </c>
      <c r="L9" s="1559" t="s">
        <v>34</v>
      </c>
      <c r="M9" s="1560" t="s">
        <v>32</v>
      </c>
      <c r="N9" s="1560" t="s">
        <v>33</v>
      </c>
      <c r="O9" s="1560" t="s">
        <v>34</v>
      </c>
      <c r="P9" s="1559" t="s">
        <v>35</v>
      </c>
      <c r="Q9" s="1559" t="s">
        <v>34</v>
      </c>
      <c r="R9" s="1559" t="s">
        <v>36</v>
      </c>
      <c r="S9" s="1560" t="s">
        <v>35</v>
      </c>
      <c r="T9" s="1560" t="s">
        <v>34</v>
      </c>
      <c r="U9" s="1560" t="s">
        <v>36</v>
      </c>
      <c r="V9" s="1559" t="s">
        <v>36</v>
      </c>
      <c r="W9" s="1559" t="s">
        <v>35</v>
      </c>
      <c r="X9" s="1559" t="s">
        <v>37</v>
      </c>
      <c r="Y9" s="1560" t="s">
        <v>36</v>
      </c>
      <c r="Z9" s="1560" t="s">
        <v>35</v>
      </c>
      <c r="AA9" s="1560" t="s">
        <v>37</v>
      </c>
      <c r="AB9" s="1559" t="s">
        <v>38</v>
      </c>
      <c r="AC9" s="1559" t="s">
        <v>39</v>
      </c>
      <c r="AD9" s="1559" t="s">
        <v>40</v>
      </c>
      <c r="AE9" s="1560" t="s">
        <v>38</v>
      </c>
      <c r="AF9" s="1560" t="s">
        <v>39</v>
      </c>
      <c r="AG9" s="1560" t="s">
        <v>40</v>
      </c>
      <c r="AH9" s="2188"/>
      <c r="AI9" s="2188"/>
      <c r="AJ9" s="2187"/>
      <c r="AK9" s="2189"/>
      <c r="AL9" s="2184"/>
      <c r="AM9" s="2187"/>
      <c r="AN9" s="2187"/>
      <c r="AO9" s="2176"/>
      <c r="AP9" s="2176"/>
      <c r="AQ9" s="2180"/>
    </row>
    <row r="10" spans="1:43" ht="15">
      <c r="A10" s="47" t="s">
        <v>349</v>
      </c>
      <c r="B10" s="47" t="s">
        <v>350</v>
      </c>
      <c r="C10" s="349"/>
      <c r="D10" s="47"/>
      <c r="E10" s="47"/>
      <c r="F10" s="47"/>
      <c r="G10" s="52">
        <f t="shared" ref="G10:G26" si="0">AH10/AH$27*100</f>
        <v>23.243725513014468</v>
      </c>
      <c r="H10" s="52"/>
      <c r="I10" s="52"/>
      <c r="J10" s="1561"/>
      <c r="K10" s="1561"/>
      <c r="L10" s="1561"/>
      <c r="M10" s="1562">
        <f>M11+M15</f>
        <v>3730</v>
      </c>
      <c r="N10" s="1562">
        <f t="shared" ref="N10:O10" si="1">N11+N15</f>
        <v>3165</v>
      </c>
      <c r="O10" s="1562">
        <f t="shared" si="1"/>
        <v>9895</v>
      </c>
      <c r="P10" s="1563"/>
      <c r="Q10" s="1563"/>
      <c r="R10" s="1563"/>
      <c r="S10" s="1562">
        <f t="shared" ref="S10:U10" si="2">S11+S15</f>
        <v>3560</v>
      </c>
      <c r="T10" s="1562">
        <f t="shared" si="2"/>
        <v>3560</v>
      </c>
      <c r="U10" s="1562">
        <f t="shared" si="2"/>
        <v>3560</v>
      </c>
      <c r="V10" s="1563"/>
      <c r="W10" s="1563"/>
      <c r="X10" s="1563"/>
      <c r="Y10" s="1562">
        <f t="shared" ref="Y10:AA10" si="3">Y11+Y15</f>
        <v>3165</v>
      </c>
      <c r="Z10" s="1562">
        <f t="shared" si="3"/>
        <v>9895</v>
      </c>
      <c r="AA10" s="1562">
        <f t="shared" si="3"/>
        <v>2770</v>
      </c>
      <c r="AB10" s="1563"/>
      <c r="AC10" s="1563"/>
      <c r="AD10" s="1563"/>
      <c r="AE10" s="1562">
        <f t="shared" ref="AE10:AI10" si="4">AE11+AE15</f>
        <v>3165</v>
      </c>
      <c r="AF10" s="1562">
        <f t="shared" si="4"/>
        <v>3560</v>
      </c>
      <c r="AG10" s="1562">
        <f t="shared" si="4"/>
        <v>9895</v>
      </c>
      <c r="AH10" s="1562">
        <f t="shared" si="4"/>
        <v>59920</v>
      </c>
      <c r="AI10" s="1562">
        <f t="shared" si="4"/>
        <v>59920</v>
      </c>
      <c r="AJ10" s="54"/>
      <c r="AK10" s="54"/>
      <c r="AL10" s="54"/>
      <c r="AM10" s="54"/>
      <c r="AN10" s="54"/>
      <c r="AO10" s="1564"/>
      <c r="AP10" s="1564" t="s">
        <v>3707</v>
      </c>
      <c r="AQ10" s="1564"/>
    </row>
    <row r="11" spans="1:43" ht="15">
      <c r="A11" s="355" t="s">
        <v>351</v>
      </c>
      <c r="B11" s="355" t="s">
        <v>352</v>
      </c>
      <c r="C11" s="356"/>
      <c r="D11" s="355"/>
      <c r="E11" s="355"/>
      <c r="F11" s="355"/>
      <c r="G11" s="58">
        <f t="shared" si="0"/>
        <v>23.024554870243222</v>
      </c>
      <c r="H11" s="58"/>
      <c r="I11" s="58"/>
      <c r="J11" s="1565"/>
      <c r="K11" s="1565"/>
      <c r="L11" s="1565"/>
      <c r="M11" s="1566">
        <f>+M12</f>
        <v>3165</v>
      </c>
      <c r="N11" s="1566">
        <f t="shared" ref="N11:O11" si="5">+N12</f>
        <v>3165</v>
      </c>
      <c r="O11" s="1566">
        <f t="shared" si="5"/>
        <v>9895</v>
      </c>
      <c r="P11" s="1565"/>
      <c r="Q11" s="1565"/>
      <c r="R11" s="1565"/>
      <c r="S11" s="1566">
        <f t="shared" ref="S11:U13" si="6">+S12</f>
        <v>3560</v>
      </c>
      <c r="T11" s="1566">
        <f t="shared" si="6"/>
        <v>3560</v>
      </c>
      <c r="U11" s="1566">
        <f t="shared" si="6"/>
        <v>3560</v>
      </c>
      <c r="V11" s="1565"/>
      <c r="W11" s="1565"/>
      <c r="X11" s="1565"/>
      <c r="Y11" s="1566">
        <f t="shared" ref="Y11:AA13" si="7">+Y12</f>
        <v>3165</v>
      </c>
      <c r="Z11" s="1566">
        <f t="shared" si="7"/>
        <v>9895</v>
      </c>
      <c r="AA11" s="1566">
        <f t="shared" si="7"/>
        <v>2770</v>
      </c>
      <c r="AB11" s="1565"/>
      <c r="AC11" s="1565"/>
      <c r="AD11" s="1565"/>
      <c r="AE11" s="1566">
        <f t="shared" ref="AE11:AI13" si="8">+AE12</f>
        <v>3165</v>
      </c>
      <c r="AF11" s="1566">
        <f t="shared" si="8"/>
        <v>3560</v>
      </c>
      <c r="AG11" s="1566">
        <f t="shared" si="8"/>
        <v>9895</v>
      </c>
      <c r="AH11" s="1566">
        <f t="shared" si="8"/>
        <v>59355</v>
      </c>
      <c r="AI11" s="1566">
        <f t="shared" si="8"/>
        <v>59355</v>
      </c>
      <c r="AJ11" s="60"/>
      <c r="AK11" s="60"/>
      <c r="AL11" s="60"/>
      <c r="AM11" s="60"/>
      <c r="AN11" s="60"/>
      <c r="AO11" s="1567"/>
      <c r="AP11" s="1567" t="s">
        <v>3707</v>
      </c>
      <c r="AQ11" s="1567"/>
    </row>
    <row r="12" spans="1:43" ht="30">
      <c r="A12" s="363" t="s">
        <v>353</v>
      </c>
      <c r="B12" s="363" t="s">
        <v>354</v>
      </c>
      <c r="C12" s="364"/>
      <c r="D12" s="363"/>
      <c r="E12" s="363"/>
      <c r="F12" s="363"/>
      <c r="G12" s="64">
        <f t="shared" si="0"/>
        <v>23.024554870243222</v>
      </c>
      <c r="H12" s="64">
        <f>G12</f>
        <v>23.024554870243222</v>
      </c>
      <c r="I12" s="64"/>
      <c r="J12" s="1568"/>
      <c r="K12" s="1568"/>
      <c r="L12" s="1568"/>
      <c r="M12" s="1569">
        <f t="shared" ref="M12:O13" si="9">+M13</f>
        <v>3165</v>
      </c>
      <c r="N12" s="1569">
        <f t="shared" si="9"/>
        <v>3165</v>
      </c>
      <c r="O12" s="1569">
        <f t="shared" si="9"/>
        <v>9895</v>
      </c>
      <c r="P12" s="1568"/>
      <c r="Q12" s="1568"/>
      <c r="R12" s="1568"/>
      <c r="S12" s="1569">
        <f t="shared" si="6"/>
        <v>3560</v>
      </c>
      <c r="T12" s="1569">
        <f t="shared" si="6"/>
        <v>3560</v>
      </c>
      <c r="U12" s="1569">
        <f t="shared" si="6"/>
        <v>3560</v>
      </c>
      <c r="V12" s="1568"/>
      <c r="W12" s="1568"/>
      <c r="X12" s="1568"/>
      <c r="Y12" s="1569">
        <f t="shared" si="7"/>
        <v>3165</v>
      </c>
      <c r="Z12" s="1569">
        <f t="shared" si="7"/>
        <v>9895</v>
      </c>
      <c r="AA12" s="1569">
        <f t="shared" si="7"/>
        <v>2770</v>
      </c>
      <c r="AB12" s="1568"/>
      <c r="AC12" s="1568"/>
      <c r="AD12" s="1568"/>
      <c r="AE12" s="1569">
        <f t="shared" si="8"/>
        <v>3165</v>
      </c>
      <c r="AF12" s="1569">
        <f t="shared" si="8"/>
        <v>3560</v>
      </c>
      <c r="AG12" s="1569">
        <f t="shared" si="8"/>
        <v>9895</v>
      </c>
      <c r="AH12" s="1569">
        <f t="shared" si="8"/>
        <v>59355</v>
      </c>
      <c r="AI12" s="1569">
        <f t="shared" si="8"/>
        <v>59355</v>
      </c>
      <c r="AJ12" s="66"/>
      <c r="AK12" s="66"/>
      <c r="AL12" s="66"/>
      <c r="AM12" s="66"/>
      <c r="AN12" s="66"/>
      <c r="AO12" s="1570"/>
      <c r="AP12" s="1570" t="s">
        <v>3707</v>
      </c>
      <c r="AQ12" s="1570"/>
    </row>
    <row r="13" spans="1:43" ht="30">
      <c r="A13" s="371" t="s">
        <v>2281</v>
      </c>
      <c r="B13" s="371" t="s">
        <v>2282</v>
      </c>
      <c r="C13" s="372"/>
      <c r="D13" s="371" t="s">
        <v>523</v>
      </c>
      <c r="E13" s="371" t="s">
        <v>2283</v>
      </c>
      <c r="F13" s="371"/>
      <c r="G13" s="70">
        <f t="shared" si="0"/>
        <v>23.024554870243222</v>
      </c>
      <c r="H13" s="70"/>
      <c r="I13" s="70"/>
      <c r="J13" s="71"/>
      <c r="K13" s="71"/>
      <c r="L13" s="71"/>
      <c r="M13" s="1571">
        <f t="shared" si="9"/>
        <v>3165</v>
      </c>
      <c r="N13" s="1571">
        <f t="shared" si="9"/>
        <v>3165</v>
      </c>
      <c r="O13" s="1571">
        <f t="shared" si="9"/>
        <v>9895</v>
      </c>
      <c r="P13" s="1572"/>
      <c r="Q13" s="1572"/>
      <c r="R13" s="1572"/>
      <c r="S13" s="1571">
        <f t="shared" si="6"/>
        <v>3560</v>
      </c>
      <c r="T13" s="1571">
        <f t="shared" si="6"/>
        <v>3560</v>
      </c>
      <c r="U13" s="1571">
        <f t="shared" si="6"/>
        <v>3560</v>
      </c>
      <c r="V13" s="1572"/>
      <c r="W13" s="1572"/>
      <c r="X13" s="1572"/>
      <c r="Y13" s="1571">
        <f t="shared" si="7"/>
        <v>3165</v>
      </c>
      <c r="Z13" s="1571">
        <f t="shared" si="7"/>
        <v>9895</v>
      </c>
      <c r="AA13" s="1571">
        <f t="shared" si="7"/>
        <v>2770</v>
      </c>
      <c r="AB13" s="1572"/>
      <c r="AC13" s="1572"/>
      <c r="AD13" s="1572"/>
      <c r="AE13" s="1571">
        <f t="shared" si="8"/>
        <v>3165</v>
      </c>
      <c r="AF13" s="1571">
        <f t="shared" si="8"/>
        <v>3560</v>
      </c>
      <c r="AG13" s="1571">
        <f t="shared" si="8"/>
        <v>9895</v>
      </c>
      <c r="AH13" s="1571">
        <f t="shared" si="8"/>
        <v>59355</v>
      </c>
      <c r="AI13" s="1571">
        <f t="shared" si="8"/>
        <v>59355</v>
      </c>
      <c r="AJ13" s="72"/>
      <c r="AK13" s="72"/>
      <c r="AL13" s="72"/>
      <c r="AM13" s="72"/>
      <c r="AN13" s="72"/>
      <c r="AO13" s="1573"/>
      <c r="AP13" s="1573" t="s">
        <v>3707</v>
      </c>
      <c r="AQ13" s="1573"/>
    </row>
    <row r="14" spans="1:43" ht="75">
      <c r="A14" s="379" t="s">
        <v>3708</v>
      </c>
      <c r="B14" s="22" t="s">
        <v>3709</v>
      </c>
      <c r="C14" s="75">
        <f>SUM(J14,K14,L14,P14,Q14,R14,V14,W14,X14,AB14,AC14,AD14)</f>
        <v>150</v>
      </c>
      <c r="D14" s="22" t="s">
        <v>309</v>
      </c>
      <c r="E14" s="22" t="s">
        <v>3710</v>
      </c>
      <c r="F14" s="22" t="s">
        <v>3711</v>
      </c>
      <c r="G14" s="76">
        <f t="shared" si="0"/>
        <v>23.024554870243222</v>
      </c>
      <c r="H14" s="76"/>
      <c r="I14" s="76">
        <f>AH14/AH13*100</f>
        <v>100</v>
      </c>
      <c r="J14" s="77">
        <v>8</v>
      </c>
      <c r="K14" s="77">
        <v>8</v>
      </c>
      <c r="L14" s="77">
        <v>25</v>
      </c>
      <c r="M14" s="1574">
        <v>3165</v>
      </c>
      <c r="N14" s="1574">
        <v>3165</v>
      </c>
      <c r="O14" s="1574">
        <v>9895</v>
      </c>
      <c r="P14" s="1575">
        <v>9</v>
      </c>
      <c r="Q14" s="1575">
        <v>9</v>
      </c>
      <c r="R14" s="1575">
        <v>9</v>
      </c>
      <c r="S14" s="1574">
        <v>3560</v>
      </c>
      <c r="T14" s="1574">
        <v>3560</v>
      </c>
      <c r="U14" s="1574">
        <v>3560</v>
      </c>
      <c r="V14" s="1575">
        <v>8</v>
      </c>
      <c r="W14" s="1575">
        <v>25</v>
      </c>
      <c r="X14" s="1575">
        <v>7</v>
      </c>
      <c r="Y14" s="1574">
        <v>3165</v>
      </c>
      <c r="Z14" s="1574">
        <v>9895</v>
      </c>
      <c r="AA14" s="1574">
        <v>2770</v>
      </c>
      <c r="AB14" s="1575">
        <v>8</v>
      </c>
      <c r="AC14" s="1575">
        <v>9</v>
      </c>
      <c r="AD14" s="1575">
        <v>25</v>
      </c>
      <c r="AE14" s="1574">
        <v>3165</v>
      </c>
      <c r="AF14" s="1574">
        <v>3560</v>
      </c>
      <c r="AG14" s="1574">
        <v>9895</v>
      </c>
      <c r="AH14" s="1574">
        <f>M14+N14+O14+S14+T14+U14+Y14+Z14+AA14+AE14+AF14+AG14</f>
        <v>59355</v>
      </c>
      <c r="AI14" s="1574">
        <f>AH14</f>
        <v>59355</v>
      </c>
      <c r="AJ14" s="78"/>
      <c r="AK14" s="25"/>
      <c r="AL14" s="25"/>
      <c r="AM14" s="25"/>
      <c r="AN14" s="25"/>
      <c r="AO14" s="1576" t="s">
        <v>3712</v>
      </c>
      <c r="AP14" s="1576" t="s">
        <v>3707</v>
      </c>
      <c r="AQ14" s="1577"/>
    </row>
    <row r="15" spans="1:43" ht="15">
      <c r="A15" s="355" t="s">
        <v>1558</v>
      </c>
      <c r="B15" s="355" t="s">
        <v>776</v>
      </c>
      <c r="C15" s="356"/>
      <c r="D15" s="355"/>
      <c r="E15" s="355"/>
      <c r="F15" s="355"/>
      <c r="G15" s="58">
        <f t="shared" si="0"/>
        <v>0.2191706427712479</v>
      </c>
      <c r="H15" s="58"/>
      <c r="I15" s="58"/>
      <c r="J15" s="1565"/>
      <c r="K15" s="1565"/>
      <c r="L15" s="1565"/>
      <c r="M15" s="1566">
        <f>+M16</f>
        <v>565</v>
      </c>
      <c r="N15" s="1566"/>
      <c r="O15" s="1566"/>
      <c r="P15" s="1565"/>
      <c r="Q15" s="1565"/>
      <c r="R15" s="1565"/>
      <c r="S15" s="1566"/>
      <c r="T15" s="1566"/>
      <c r="U15" s="1566"/>
      <c r="V15" s="1565"/>
      <c r="W15" s="1565"/>
      <c r="X15" s="1565"/>
      <c r="Y15" s="1566"/>
      <c r="Z15" s="1566"/>
      <c r="AA15" s="1566"/>
      <c r="AB15" s="1565"/>
      <c r="AC15" s="1565"/>
      <c r="AD15" s="1565"/>
      <c r="AE15" s="1566"/>
      <c r="AF15" s="1566"/>
      <c r="AG15" s="1566"/>
      <c r="AH15" s="1566">
        <f t="shared" ref="AH15:AI17" si="10">+AH16</f>
        <v>565</v>
      </c>
      <c r="AI15" s="1566">
        <f t="shared" si="10"/>
        <v>565</v>
      </c>
      <c r="AJ15" s="60"/>
      <c r="AK15" s="60"/>
      <c r="AL15" s="60"/>
      <c r="AM15" s="60"/>
      <c r="AN15" s="60"/>
      <c r="AO15" s="1567"/>
      <c r="AP15" s="1567" t="s">
        <v>3707</v>
      </c>
      <c r="AQ15" s="1567"/>
    </row>
    <row r="16" spans="1:43" ht="30">
      <c r="A16" s="363" t="s">
        <v>1560</v>
      </c>
      <c r="B16" s="363" t="s">
        <v>1561</v>
      </c>
      <c r="C16" s="364"/>
      <c r="D16" s="363"/>
      <c r="E16" s="363"/>
      <c r="F16" s="363"/>
      <c r="G16" s="64">
        <f t="shared" si="0"/>
        <v>0.2191706427712479</v>
      </c>
      <c r="H16" s="64">
        <f>G16</f>
        <v>0.2191706427712479</v>
      </c>
      <c r="I16" s="64"/>
      <c r="J16" s="1568"/>
      <c r="K16" s="1568"/>
      <c r="L16" s="1568"/>
      <c r="M16" s="1569">
        <f>+M17</f>
        <v>565</v>
      </c>
      <c r="N16" s="1569"/>
      <c r="O16" s="1569"/>
      <c r="P16" s="1568"/>
      <c r="Q16" s="1568"/>
      <c r="R16" s="1568"/>
      <c r="S16" s="1569"/>
      <c r="T16" s="1569"/>
      <c r="U16" s="1569"/>
      <c r="V16" s="1568"/>
      <c r="W16" s="1568"/>
      <c r="X16" s="1568"/>
      <c r="Y16" s="1569"/>
      <c r="Z16" s="1569"/>
      <c r="AA16" s="1569"/>
      <c r="AB16" s="1568"/>
      <c r="AC16" s="1568"/>
      <c r="AD16" s="1568"/>
      <c r="AE16" s="1569"/>
      <c r="AF16" s="1569"/>
      <c r="AG16" s="1569"/>
      <c r="AH16" s="1569">
        <f t="shared" si="10"/>
        <v>565</v>
      </c>
      <c r="AI16" s="1569">
        <f t="shared" si="10"/>
        <v>565</v>
      </c>
      <c r="AJ16" s="66"/>
      <c r="AK16" s="66"/>
      <c r="AL16" s="66"/>
      <c r="AM16" s="66"/>
      <c r="AN16" s="66"/>
      <c r="AO16" s="1570"/>
      <c r="AP16" s="1570" t="s">
        <v>3707</v>
      </c>
      <c r="AQ16" s="1570"/>
    </row>
    <row r="17" spans="1:43" ht="60">
      <c r="A17" s="371" t="s">
        <v>3713</v>
      </c>
      <c r="B17" s="371" t="s">
        <v>780</v>
      </c>
      <c r="C17" s="372"/>
      <c r="D17" s="371" t="s">
        <v>55</v>
      </c>
      <c r="E17" s="371" t="s">
        <v>3714</v>
      </c>
      <c r="F17" s="371"/>
      <c r="G17" s="70">
        <f t="shared" si="0"/>
        <v>0.2191706427712479</v>
      </c>
      <c r="H17" s="70"/>
      <c r="I17" s="70"/>
      <c r="J17" s="71"/>
      <c r="K17" s="71"/>
      <c r="L17" s="71"/>
      <c r="M17" s="1571">
        <f>+M18</f>
        <v>565</v>
      </c>
      <c r="N17" s="1571"/>
      <c r="O17" s="1571"/>
      <c r="P17" s="1572"/>
      <c r="Q17" s="1572"/>
      <c r="R17" s="1572"/>
      <c r="S17" s="1571"/>
      <c r="T17" s="1571"/>
      <c r="U17" s="1571"/>
      <c r="V17" s="1572"/>
      <c r="W17" s="1572"/>
      <c r="X17" s="1572"/>
      <c r="Y17" s="1571"/>
      <c r="Z17" s="1571"/>
      <c r="AA17" s="1571"/>
      <c r="AB17" s="1572"/>
      <c r="AC17" s="1572"/>
      <c r="AD17" s="1572"/>
      <c r="AE17" s="1571"/>
      <c r="AF17" s="1571"/>
      <c r="AG17" s="1571"/>
      <c r="AH17" s="1571">
        <f t="shared" si="10"/>
        <v>565</v>
      </c>
      <c r="AI17" s="1571">
        <f t="shared" si="10"/>
        <v>565</v>
      </c>
      <c r="AJ17" s="72"/>
      <c r="AK17" s="72"/>
      <c r="AL17" s="72"/>
      <c r="AM17" s="72"/>
      <c r="AN17" s="72"/>
      <c r="AO17" s="1573"/>
      <c r="AP17" s="1573" t="s">
        <v>3707</v>
      </c>
      <c r="AQ17" s="1573"/>
    </row>
    <row r="18" spans="1:43" ht="90">
      <c r="A18" s="379" t="s">
        <v>3715</v>
      </c>
      <c r="B18" s="22" t="s">
        <v>3716</v>
      </c>
      <c r="C18" s="75">
        <f>SUM(J18,K18,L18,P18,Q18,R18,V18,W18,X18,AB18,AC18,AD18)</f>
        <v>1</v>
      </c>
      <c r="D18" s="22" t="s">
        <v>55</v>
      </c>
      <c r="E18" s="22" t="s">
        <v>3717</v>
      </c>
      <c r="F18" s="22" t="s">
        <v>3718</v>
      </c>
      <c r="G18" s="76">
        <f t="shared" si="0"/>
        <v>0.2191706427712479</v>
      </c>
      <c r="H18" s="76"/>
      <c r="I18" s="76">
        <f>AH18/AH17*100</f>
        <v>100</v>
      </c>
      <c r="J18" s="77">
        <v>1</v>
      </c>
      <c r="K18" s="77"/>
      <c r="L18" s="77"/>
      <c r="M18" s="1574">
        <v>565</v>
      </c>
      <c r="N18" s="1574"/>
      <c r="O18" s="1574"/>
      <c r="P18" s="1575"/>
      <c r="Q18" s="1575"/>
      <c r="R18" s="1575"/>
      <c r="S18" s="1574"/>
      <c r="T18" s="1574"/>
      <c r="U18" s="1574"/>
      <c r="V18" s="1575"/>
      <c r="W18" s="1575"/>
      <c r="X18" s="1575"/>
      <c r="Y18" s="1574"/>
      <c r="Z18" s="1574"/>
      <c r="AA18" s="1574"/>
      <c r="AB18" s="1575"/>
      <c r="AC18" s="1575"/>
      <c r="AD18" s="1575"/>
      <c r="AE18" s="1574"/>
      <c r="AF18" s="1574"/>
      <c r="AG18" s="1574"/>
      <c r="AH18" s="1574">
        <f>SUM(M18,N18,O18,S18,T18,U18,Y18,Z18,AA18,AE18,AF18,AG18)</f>
        <v>565</v>
      </c>
      <c r="AI18" s="1574">
        <f t="shared" ref="AI18" si="11">AH18</f>
        <v>565</v>
      </c>
      <c r="AJ18" s="25"/>
      <c r="AK18" s="78"/>
      <c r="AL18" s="25"/>
      <c r="AM18" s="25"/>
      <c r="AN18" s="25"/>
      <c r="AO18" s="1576" t="s">
        <v>3712</v>
      </c>
      <c r="AP18" s="1576" t="s">
        <v>3707</v>
      </c>
      <c r="AQ18" s="1577"/>
    </row>
    <row r="19" spans="1:43" ht="15">
      <c r="A19" s="1163" t="s">
        <v>379</v>
      </c>
      <c r="B19" s="1578" t="s">
        <v>380</v>
      </c>
      <c r="C19" s="1579"/>
      <c r="D19" s="1564"/>
      <c r="E19" s="1564"/>
      <c r="F19" s="1564"/>
      <c r="G19" s="52">
        <f t="shared" si="0"/>
        <v>76.756274486985532</v>
      </c>
      <c r="H19" s="52"/>
      <c r="I19" s="52"/>
      <c r="J19" s="1561"/>
      <c r="K19" s="1561"/>
      <c r="L19" s="1561"/>
      <c r="M19" s="1562">
        <f>M20</f>
        <v>10240</v>
      </c>
      <c r="N19" s="1562">
        <f t="shared" ref="N19:O19" si="12">N20</f>
        <v>10240</v>
      </c>
      <c r="O19" s="1562">
        <f t="shared" si="12"/>
        <v>38505</v>
      </c>
      <c r="P19" s="1563"/>
      <c r="Q19" s="1563"/>
      <c r="R19" s="1563"/>
      <c r="S19" s="1562">
        <f t="shared" ref="S19:U19" si="13">S20</f>
        <v>17115</v>
      </c>
      <c r="T19" s="1562">
        <f t="shared" si="13"/>
        <v>10240</v>
      </c>
      <c r="U19" s="1562">
        <f t="shared" si="13"/>
        <v>10240</v>
      </c>
      <c r="V19" s="1563"/>
      <c r="W19" s="1563"/>
      <c r="X19" s="1563"/>
      <c r="Y19" s="1562">
        <f t="shared" ref="Y19:AA19" si="14">Y20</f>
        <v>21010</v>
      </c>
      <c r="Z19" s="1562">
        <f t="shared" si="14"/>
        <v>21010</v>
      </c>
      <c r="AA19" s="1562">
        <f t="shared" si="14"/>
        <v>12530</v>
      </c>
      <c r="AB19" s="1563"/>
      <c r="AC19" s="1563"/>
      <c r="AD19" s="1563"/>
      <c r="AE19" s="1562">
        <f t="shared" ref="AE19:AI19" si="15">AE20</f>
        <v>12530</v>
      </c>
      <c r="AF19" s="1562">
        <f t="shared" si="15"/>
        <v>17115</v>
      </c>
      <c r="AG19" s="1562">
        <f t="shared" si="15"/>
        <v>17095</v>
      </c>
      <c r="AH19" s="1562">
        <f t="shared" si="15"/>
        <v>197870</v>
      </c>
      <c r="AI19" s="1562">
        <f t="shared" si="15"/>
        <v>197870</v>
      </c>
      <c r="AJ19" s="54"/>
      <c r="AK19" s="54"/>
      <c r="AL19" s="54"/>
      <c r="AM19" s="54"/>
      <c r="AN19" s="54"/>
      <c r="AO19" s="1564"/>
      <c r="AP19" s="1564" t="s">
        <v>3707</v>
      </c>
      <c r="AQ19" s="1564"/>
    </row>
    <row r="20" spans="1:43" ht="30">
      <c r="A20" s="1167" t="s">
        <v>3719</v>
      </c>
      <c r="B20" s="1567" t="s">
        <v>3720</v>
      </c>
      <c r="C20" s="57"/>
      <c r="D20" s="1567"/>
      <c r="E20" s="1567"/>
      <c r="F20" s="1567"/>
      <c r="G20" s="58">
        <f t="shared" si="0"/>
        <v>76.756274486985532</v>
      </c>
      <c r="H20" s="58"/>
      <c r="I20" s="58"/>
      <c r="J20" s="1565"/>
      <c r="K20" s="1565"/>
      <c r="L20" s="1565"/>
      <c r="M20" s="1566">
        <f>M21+M24</f>
        <v>10240</v>
      </c>
      <c r="N20" s="1566">
        <f t="shared" ref="N20:O20" si="16">N21+N24</f>
        <v>10240</v>
      </c>
      <c r="O20" s="1566">
        <f t="shared" si="16"/>
        <v>38505</v>
      </c>
      <c r="P20" s="1565"/>
      <c r="Q20" s="1565"/>
      <c r="R20" s="1565"/>
      <c r="S20" s="1566">
        <f t="shared" ref="S20:U20" si="17">S21+S24</f>
        <v>17115</v>
      </c>
      <c r="T20" s="1566">
        <f t="shared" si="17"/>
        <v>10240</v>
      </c>
      <c r="U20" s="1566">
        <f t="shared" si="17"/>
        <v>10240</v>
      </c>
      <c r="V20" s="1565"/>
      <c r="W20" s="1565"/>
      <c r="X20" s="1565"/>
      <c r="Y20" s="1566">
        <f t="shared" ref="Y20:AA20" si="18">Y21+Y24</f>
        <v>21010</v>
      </c>
      <c r="Z20" s="1566">
        <f t="shared" si="18"/>
        <v>21010</v>
      </c>
      <c r="AA20" s="1566">
        <f t="shared" si="18"/>
        <v>12530</v>
      </c>
      <c r="AB20" s="1565"/>
      <c r="AC20" s="1565"/>
      <c r="AD20" s="1565"/>
      <c r="AE20" s="1566">
        <f t="shared" ref="AE20:AI20" si="19">AE21+AE24</f>
        <v>12530</v>
      </c>
      <c r="AF20" s="1566">
        <f t="shared" si="19"/>
        <v>17115</v>
      </c>
      <c r="AG20" s="1566">
        <f t="shared" si="19"/>
        <v>17095</v>
      </c>
      <c r="AH20" s="1566">
        <f t="shared" si="19"/>
        <v>197870</v>
      </c>
      <c r="AI20" s="1566">
        <f t="shared" si="19"/>
        <v>197870</v>
      </c>
      <c r="AJ20" s="60"/>
      <c r="AK20" s="60"/>
      <c r="AL20" s="60"/>
      <c r="AM20" s="60"/>
      <c r="AN20" s="60"/>
      <c r="AO20" s="1567"/>
      <c r="AP20" s="1567" t="s">
        <v>3707</v>
      </c>
      <c r="AQ20" s="1567"/>
    </row>
    <row r="21" spans="1:43" ht="15">
      <c r="A21" s="1580" t="s">
        <v>3721</v>
      </c>
      <c r="B21" s="1581" t="s">
        <v>3722</v>
      </c>
      <c r="C21" s="63"/>
      <c r="D21" s="1570"/>
      <c r="E21" s="1570"/>
      <c r="F21" s="1570"/>
      <c r="G21" s="64">
        <f t="shared" si="0"/>
        <v>32.8969316110012</v>
      </c>
      <c r="H21" s="64">
        <f>G21</f>
        <v>32.8969316110012</v>
      </c>
      <c r="I21" s="64"/>
      <c r="J21" s="1568"/>
      <c r="K21" s="1568"/>
      <c r="L21" s="1568"/>
      <c r="M21" s="1569">
        <f>M22</f>
        <v>4585</v>
      </c>
      <c r="N21" s="1569">
        <f t="shared" ref="N21:O22" si="20">N22</f>
        <v>4585</v>
      </c>
      <c r="O21" s="1569">
        <f t="shared" si="20"/>
        <v>4585</v>
      </c>
      <c r="P21" s="1568"/>
      <c r="Q21" s="1568"/>
      <c r="R21" s="1568"/>
      <c r="S21" s="1569">
        <f t="shared" ref="S21:U22" si="21">S22</f>
        <v>11460</v>
      </c>
      <c r="T21" s="1569">
        <f t="shared" si="21"/>
        <v>4585</v>
      </c>
      <c r="U21" s="1569">
        <f t="shared" si="21"/>
        <v>4585</v>
      </c>
      <c r="V21" s="1568"/>
      <c r="W21" s="1568"/>
      <c r="X21" s="1568"/>
      <c r="Y21" s="1569">
        <f t="shared" ref="Y21:AA22" si="22">Y22</f>
        <v>6875</v>
      </c>
      <c r="Z21" s="1569">
        <f t="shared" si="22"/>
        <v>6875</v>
      </c>
      <c r="AA21" s="1569">
        <f t="shared" si="22"/>
        <v>6875</v>
      </c>
      <c r="AB21" s="1568"/>
      <c r="AC21" s="1568"/>
      <c r="AD21" s="1568"/>
      <c r="AE21" s="1569">
        <f t="shared" ref="AE21:AI22" si="23">AE22</f>
        <v>6875</v>
      </c>
      <c r="AF21" s="1569">
        <f t="shared" si="23"/>
        <v>11460</v>
      </c>
      <c r="AG21" s="1569">
        <f t="shared" si="23"/>
        <v>11460</v>
      </c>
      <c r="AH21" s="1569">
        <f t="shared" si="23"/>
        <v>84805</v>
      </c>
      <c r="AI21" s="1569">
        <f t="shared" si="23"/>
        <v>84805</v>
      </c>
      <c r="AJ21" s="66"/>
      <c r="AK21" s="66"/>
      <c r="AL21" s="66"/>
      <c r="AM21" s="66"/>
      <c r="AN21" s="66"/>
      <c r="AO21" s="1570"/>
      <c r="AP21" s="1570" t="s">
        <v>3707</v>
      </c>
      <c r="AQ21" s="1570"/>
    </row>
    <row r="22" spans="1:43" ht="150">
      <c r="A22" s="1582" t="s">
        <v>3723</v>
      </c>
      <c r="B22" s="1573" t="s">
        <v>3724</v>
      </c>
      <c r="C22" s="1583"/>
      <c r="D22" s="1573"/>
      <c r="E22" s="1573"/>
      <c r="F22" s="1573"/>
      <c r="G22" s="70">
        <f t="shared" si="0"/>
        <v>32.8969316110012</v>
      </c>
      <c r="H22" s="70"/>
      <c r="I22" s="70"/>
      <c r="J22" s="71"/>
      <c r="K22" s="71"/>
      <c r="L22" s="71"/>
      <c r="M22" s="1571">
        <f>M23</f>
        <v>4585</v>
      </c>
      <c r="N22" s="1571">
        <f t="shared" si="20"/>
        <v>4585</v>
      </c>
      <c r="O22" s="1571">
        <f t="shared" si="20"/>
        <v>4585</v>
      </c>
      <c r="P22" s="1572"/>
      <c r="Q22" s="1572"/>
      <c r="R22" s="1572"/>
      <c r="S22" s="1571">
        <f t="shared" si="21"/>
        <v>11460</v>
      </c>
      <c r="T22" s="1571">
        <f t="shared" si="21"/>
        <v>4585</v>
      </c>
      <c r="U22" s="1571">
        <f t="shared" si="21"/>
        <v>4585</v>
      </c>
      <c r="V22" s="1572"/>
      <c r="W22" s="1572"/>
      <c r="X22" s="1572"/>
      <c r="Y22" s="1571">
        <f t="shared" si="22"/>
        <v>6875</v>
      </c>
      <c r="Z22" s="1571">
        <f t="shared" si="22"/>
        <v>6875</v>
      </c>
      <c r="AA22" s="1571">
        <f t="shared" si="22"/>
        <v>6875</v>
      </c>
      <c r="AB22" s="1572"/>
      <c r="AC22" s="1572"/>
      <c r="AD22" s="1572"/>
      <c r="AE22" s="1571">
        <f t="shared" si="23"/>
        <v>6875</v>
      </c>
      <c r="AF22" s="1571">
        <f t="shared" si="23"/>
        <v>11460</v>
      </c>
      <c r="AG22" s="1571">
        <f t="shared" si="23"/>
        <v>11460</v>
      </c>
      <c r="AH22" s="1571">
        <f t="shared" si="23"/>
        <v>84805</v>
      </c>
      <c r="AI22" s="1571">
        <f t="shared" si="23"/>
        <v>84805</v>
      </c>
      <c r="AJ22" s="72"/>
      <c r="AK22" s="72"/>
      <c r="AL22" s="72"/>
      <c r="AM22" s="72"/>
      <c r="AN22" s="72"/>
      <c r="AO22" s="1573"/>
      <c r="AP22" s="1573" t="s">
        <v>3707</v>
      </c>
      <c r="AQ22" s="1573"/>
    </row>
    <row r="23" spans="1:43" ht="75">
      <c r="A23" s="1584" t="s">
        <v>3725</v>
      </c>
      <c r="B23" s="1577" t="s">
        <v>3726</v>
      </c>
      <c r="C23" s="75">
        <f>SUM(J23,K23,L23,P23,Q23,R23,V23,W23,X23,AB23,AC23,AD23)</f>
        <v>185</v>
      </c>
      <c r="D23" s="1576" t="s">
        <v>57</v>
      </c>
      <c r="E23" s="1576" t="s">
        <v>3727</v>
      </c>
      <c r="F23" s="1585" t="s">
        <v>3728</v>
      </c>
      <c r="G23" s="76">
        <f t="shared" si="0"/>
        <v>32.8969316110012</v>
      </c>
      <c r="H23" s="76"/>
      <c r="I23" s="76">
        <f>AH23/AH22*100</f>
        <v>100</v>
      </c>
      <c r="J23" s="77">
        <v>10</v>
      </c>
      <c r="K23" s="77">
        <v>10</v>
      </c>
      <c r="L23" s="77">
        <v>10</v>
      </c>
      <c r="M23" s="1574">
        <v>4585</v>
      </c>
      <c r="N23" s="1574">
        <v>4585</v>
      </c>
      <c r="O23" s="1574">
        <v>4585</v>
      </c>
      <c r="P23" s="77">
        <v>25</v>
      </c>
      <c r="Q23" s="77">
        <v>10</v>
      </c>
      <c r="R23" s="77">
        <v>10</v>
      </c>
      <c r="S23" s="1574">
        <v>11460</v>
      </c>
      <c r="T23" s="1574">
        <v>4585</v>
      </c>
      <c r="U23" s="1574">
        <v>4585</v>
      </c>
      <c r="V23" s="77">
        <v>15</v>
      </c>
      <c r="W23" s="77">
        <v>15</v>
      </c>
      <c r="X23" s="77">
        <v>15</v>
      </c>
      <c r="Y23" s="1574">
        <v>6875</v>
      </c>
      <c r="Z23" s="1574">
        <v>6875</v>
      </c>
      <c r="AA23" s="1574">
        <v>6875</v>
      </c>
      <c r="AB23" s="77">
        <v>15</v>
      </c>
      <c r="AC23" s="1575">
        <v>25</v>
      </c>
      <c r="AD23" s="1575">
        <v>25</v>
      </c>
      <c r="AE23" s="1574">
        <v>6875</v>
      </c>
      <c r="AF23" s="1574">
        <v>11460</v>
      </c>
      <c r="AG23" s="1574">
        <v>11460</v>
      </c>
      <c r="AH23" s="1574">
        <f>SUM(M23,N23,O23,S23,T23,U23,Y23,Z23,AA23,AE23,AF23,AG23)</f>
        <v>84805</v>
      </c>
      <c r="AI23" s="1574">
        <f>AH23</f>
        <v>84805</v>
      </c>
      <c r="AJ23" s="25"/>
      <c r="AK23" s="78"/>
      <c r="AL23" s="25"/>
      <c r="AM23" s="25"/>
      <c r="AN23" s="25"/>
      <c r="AO23" s="1576" t="s">
        <v>3712</v>
      </c>
      <c r="AP23" s="1576" t="s">
        <v>3707</v>
      </c>
      <c r="AQ23" s="1577"/>
    </row>
    <row r="24" spans="1:43" ht="15">
      <c r="A24" s="1580" t="s">
        <v>3729</v>
      </c>
      <c r="B24" s="1581" t="s">
        <v>3730</v>
      </c>
      <c r="C24" s="63"/>
      <c r="D24" s="1570"/>
      <c r="E24" s="1570"/>
      <c r="F24" s="1570"/>
      <c r="G24" s="64">
        <f t="shared" si="0"/>
        <v>43.859342875984332</v>
      </c>
      <c r="H24" s="64">
        <f>G24</f>
        <v>43.859342875984332</v>
      </c>
      <c r="I24" s="64"/>
      <c r="J24" s="1568"/>
      <c r="K24" s="1568"/>
      <c r="L24" s="1568"/>
      <c r="M24" s="1569">
        <f>M25</f>
        <v>5655</v>
      </c>
      <c r="N24" s="1569">
        <f t="shared" ref="N24:O25" si="24">N25</f>
        <v>5655</v>
      </c>
      <c r="O24" s="1569">
        <f t="shared" si="24"/>
        <v>33920</v>
      </c>
      <c r="P24" s="1568"/>
      <c r="Q24" s="1568"/>
      <c r="R24" s="1568"/>
      <c r="S24" s="1569">
        <f t="shared" ref="S24:U25" si="25">S25</f>
        <v>5655</v>
      </c>
      <c r="T24" s="1569">
        <f t="shared" si="25"/>
        <v>5655</v>
      </c>
      <c r="U24" s="1569">
        <f t="shared" si="25"/>
        <v>5655</v>
      </c>
      <c r="V24" s="1568"/>
      <c r="W24" s="1568"/>
      <c r="X24" s="1568"/>
      <c r="Y24" s="1569">
        <f t="shared" ref="Y24:AA25" si="26">Y25</f>
        <v>14135</v>
      </c>
      <c r="Z24" s="1569">
        <f t="shared" si="26"/>
        <v>14135</v>
      </c>
      <c r="AA24" s="1569">
        <f t="shared" si="26"/>
        <v>5655</v>
      </c>
      <c r="AB24" s="1568"/>
      <c r="AC24" s="1568"/>
      <c r="AD24" s="1568"/>
      <c r="AE24" s="1569">
        <f t="shared" ref="AE24:AI25" si="27">AE25</f>
        <v>5655</v>
      </c>
      <c r="AF24" s="1569">
        <f t="shared" si="27"/>
        <v>5655</v>
      </c>
      <c r="AG24" s="1569">
        <f t="shared" si="27"/>
        <v>5635</v>
      </c>
      <c r="AH24" s="1569">
        <f t="shared" si="27"/>
        <v>113065</v>
      </c>
      <c r="AI24" s="1569">
        <f t="shared" si="27"/>
        <v>113065</v>
      </c>
      <c r="AJ24" s="66"/>
      <c r="AK24" s="66"/>
      <c r="AL24" s="66"/>
      <c r="AM24" s="66"/>
      <c r="AN24" s="66"/>
      <c r="AO24" s="1570"/>
      <c r="AP24" s="1570" t="s">
        <v>3707</v>
      </c>
      <c r="AQ24" s="1570"/>
    </row>
    <row r="25" spans="1:43" ht="195">
      <c r="A25" s="1582" t="s">
        <v>3731</v>
      </c>
      <c r="B25" s="1573" t="s">
        <v>3732</v>
      </c>
      <c r="C25" s="1583"/>
      <c r="D25" s="1573"/>
      <c r="E25" s="1573"/>
      <c r="F25" s="1573"/>
      <c r="G25" s="70">
        <f t="shared" si="0"/>
        <v>43.859342875984332</v>
      </c>
      <c r="H25" s="70"/>
      <c r="I25" s="70"/>
      <c r="J25" s="71"/>
      <c r="K25" s="71"/>
      <c r="L25" s="71"/>
      <c r="M25" s="1571">
        <f>M26</f>
        <v>5655</v>
      </c>
      <c r="N25" s="1571">
        <f t="shared" si="24"/>
        <v>5655</v>
      </c>
      <c r="O25" s="1571">
        <f t="shared" si="24"/>
        <v>33920</v>
      </c>
      <c r="P25" s="1572"/>
      <c r="Q25" s="1572"/>
      <c r="R25" s="1572"/>
      <c r="S25" s="1571">
        <f t="shared" si="25"/>
        <v>5655</v>
      </c>
      <c r="T25" s="1571">
        <f t="shared" si="25"/>
        <v>5655</v>
      </c>
      <c r="U25" s="1571">
        <f t="shared" si="25"/>
        <v>5655</v>
      </c>
      <c r="V25" s="1572"/>
      <c r="W25" s="1572"/>
      <c r="X25" s="1572"/>
      <c r="Y25" s="1571">
        <f t="shared" si="26"/>
        <v>14135</v>
      </c>
      <c r="Z25" s="1571">
        <f t="shared" si="26"/>
        <v>14135</v>
      </c>
      <c r="AA25" s="1571">
        <f t="shared" si="26"/>
        <v>5655</v>
      </c>
      <c r="AB25" s="1572"/>
      <c r="AC25" s="1572"/>
      <c r="AD25" s="1572"/>
      <c r="AE25" s="1571">
        <f t="shared" si="27"/>
        <v>5655</v>
      </c>
      <c r="AF25" s="1571">
        <f t="shared" si="27"/>
        <v>5655</v>
      </c>
      <c r="AG25" s="1571">
        <f t="shared" si="27"/>
        <v>5635</v>
      </c>
      <c r="AH25" s="1571">
        <f t="shared" si="27"/>
        <v>113065</v>
      </c>
      <c r="AI25" s="1571">
        <f t="shared" si="27"/>
        <v>113065</v>
      </c>
      <c r="AJ25" s="72"/>
      <c r="AK25" s="72"/>
      <c r="AL25" s="72"/>
      <c r="AM25" s="72"/>
      <c r="AN25" s="72"/>
      <c r="AO25" s="1573"/>
      <c r="AP25" s="1573" t="s">
        <v>3707</v>
      </c>
      <c r="AQ25" s="1573"/>
    </row>
    <row r="26" spans="1:43" ht="105">
      <c r="A26" s="1584" t="s">
        <v>3733</v>
      </c>
      <c r="B26" s="1577" t="s">
        <v>3734</v>
      </c>
      <c r="C26" s="75">
        <f>SUM(J26,K26,L26,P26,Q26,R26,V26,W26,X26,AB26,AC26,AD26)</f>
        <v>200</v>
      </c>
      <c r="D26" s="1576" t="s">
        <v>57</v>
      </c>
      <c r="E26" s="1576" t="s">
        <v>3735</v>
      </c>
      <c r="F26" s="1585" t="s">
        <v>3736</v>
      </c>
      <c r="G26" s="76">
        <f t="shared" si="0"/>
        <v>43.859342875984332</v>
      </c>
      <c r="H26" s="76"/>
      <c r="I26" s="76">
        <f>AH26/AH25*100</f>
        <v>100</v>
      </c>
      <c r="J26" s="77">
        <v>10</v>
      </c>
      <c r="K26" s="77">
        <v>10</v>
      </c>
      <c r="L26" s="77">
        <v>60</v>
      </c>
      <c r="M26" s="1574">
        <v>5655</v>
      </c>
      <c r="N26" s="1574">
        <v>5655</v>
      </c>
      <c r="O26" s="1574">
        <v>33920</v>
      </c>
      <c r="P26" s="77">
        <v>10</v>
      </c>
      <c r="Q26" s="77">
        <v>10</v>
      </c>
      <c r="R26" s="77">
        <v>10</v>
      </c>
      <c r="S26" s="1574">
        <v>5655</v>
      </c>
      <c r="T26" s="1574">
        <v>5655</v>
      </c>
      <c r="U26" s="1574">
        <v>5655</v>
      </c>
      <c r="V26" s="1575">
        <v>25</v>
      </c>
      <c r="W26" s="1575">
        <v>25</v>
      </c>
      <c r="X26" s="77">
        <v>10</v>
      </c>
      <c r="Y26" s="1574">
        <v>14135</v>
      </c>
      <c r="Z26" s="1574">
        <v>14135</v>
      </c>
      <c r="AA26" s="1574">
        <v>5655</v>
      </c>
      <c r="AB26" s="77">
        <v>10</v>
      </c>
      <c r="AC26" s="77">
        <v>10</v>
      </c>
      <c r="AD26" s="77">
        <v>10</v>
      </c>
      <c r="AE26" s="1574">
        <v>5655</v>
      </c>
      <c r="AF26" s="1574">
        <v>5655</v>
      </c>
      <c r="AG26" s="1574">
        <v>5635</v>
      </c>
      <c r="AH26" s="1574">
        <f>SUM(M26,N26,O26,S26,T26,U26,Y26,Z26,AA26,AE26,AF26,AG26)</f>
        <v>113065</v>
      </c>
      <c r="AI26" s="1574">
        <f>AH26</f>
        <v>113065</v>
      </c>
      <c r="AJ26" s="25"/>
      <c r="AK26" s="78"/>
      <c r="AL26" s="25"/>
      <c r="AM26" s="25"/>
      <c r="AN26" s="25"/>
      <c r="AO26" s="1576" t="s">
        <v>3712</v>
      </c>
      <c r="AP26" s="1576" t="s">
        <v>3707</v>
      </c>
      <c r="AQ26" s="1577"/>
    </row>
    <row r="27" spans="1:43" ht="15.6">
      <c r="A27" s="1586"/>
      <c r="B27" s="1586"/>
      <c r="C27" s="1587"/>
      <c r="D27" s="1570"/>
      <c r="E27" s="1570"/>
      <c r="F27" s="62"/>
      <c r="G27" s="64"/>
      <c r="H27" s="64">
        <f>SUM(H10:H26)</f>
        <v>100</v>
      </c>
      <c r="I27" s="64"/>
      <c r="J27" s="65"/>
      <c r="K27" s="65"/>
      <c r="L27" s="65"/>
      <c r="M27" s="1569">
        <f>M19+M10</f>
        <v>13970</v>
      </c>
      <c r="N27" s="1569">
        <f t="shared" ref="N27:O27" si="28">N19+N10</f>
        <v>13405</v>
      </c>
      <c r="O27" s="1569">
        <f t="shared" si="28"/>
        <v>48400</v>
      </c>
      <c r="P27" s="1568"/>
      <c r="Q27" s="1568"/>
      <c r="R27" s="1568"/>
      <c r="S27" s="1569">
        <f t="shared" ref="S27:U27" si="29">S19+S10</f>
        <v>20675</v>
      </c>
      <c r="T27" s="1569">
        <f t="shared" si="29"/>
        <v>13800</v>
      </c>
      <c r="U27" s="1569">
        <f t="shared" si="29"/>
        <v>13800</v>
      </c>
      <c r="V27" s="1568"/>
      <c r="W27" s="1568"/>
      <c r="X27" s="1568"/>
      <c r="Y27" s="1569">
        <f t="shared" ref="Y27:AA27" si="30">Y19+Y10</f>
        <v>24175</v>
      </c>
      <c r="Z27" s="1569">
        <f t="shared" si="30"/>
        <v>30905</v>
      </c>
      <c r="AA27" s="1569">
        <f t="shared" si="30"/>
        <v>15300</v>
      </c>
      <c r="AB27" s="1568"/>
      <c r="AC27" s="1568"/>
      <c r="AD27" s="1568"/>
      <c r="AE27" s="1569">
        <f t="shared" ref="AE27:AI27" si="31">AE19+AE10</f>
        <v>15695</v>
      </c>
      <c r="AF27" s="1569">
        <f t="shared" si="31"/>
        <v>20675</v>
      </c>
      <c r="AG27" s="1569">
        <f t="shared" si="31"/>
        <v>26990</v>
      </c>
      <c r="AH27" s="1569">
        <f t="shared" si="31"/>
        <v>257790</v>
      </c>
      <c r="AI27" s="1569">
        <f t="shared" si="31"/>
        <v>257790</v>
      </c>
      <c r="AJ27" s="66"/>
      <c r="AK27" s="770"/>
      <c r="AL27" s="66"/>
      <c r="AM27" s="66"/>
      <c r="AN27" s="66"/>
      <c r="AO27" s="1588"/>
      <c r="AP27" s="1588"/>
      <c r="AQ27" s="1586"/>
    </row>
  </sheetData>
  <sheetProtection algorithmName="SHA-512" hashValue="pWGEtmx2JEh00uhTPnCsO+k2A79LeF9Uv5YK8Ir6BJKVGi6oujpN6HDSfo4ckCZs4OKJ7CsrfGMQykCAMjWw6Q==" saltValue="G+9kdyyaJ1ZmxDz60qh0Ng==" spinCount="100000" sheet="1" objects="1" scenarios="1"/>
  <mergeCells count="37">
    <mergeCell ref="P8:R8"/>
    <mergeCell ref="S8:U8"/>
    <mergeCell ref="V8:X8"/>
    <mergeCell ref="Y8:AA8"/>
    <mergeCell ref="AB8:AD8"/>
    <mergeCell ref="AM7:AM9"/>
    <mergeCell ref="AN7:AN9"/>
    <mergeCell ref="J8:L8"/>
    <mergeCell ref="AP6:AP9"/>
    <mergeCell ref="AQ6:AQ9"/>
    <mergeCell ref="J7:O7"/>
    <mergeCell ref="P7:U7"/>
    <mergeCell ref="V7:AA7"/>
    <mergeCell ref="AB7:AG7"/>
    <mergeCell ref="AH7:AH9"/>
    <mergeCell ref="AI7:AI9"/>
    <mergeCell ref="AJ7:AJ9"/>
    <mergeCell ref="AK7:AK9"/>
    <mergeCell ref="AO6:AO9"/>
    <mergeCell ref="AE8:AG8"/>
    <mergeCell ref="M8:O8"/>
    <mergeCell ref="A1:AQ1"/>
    <mergeCell ref="A2:AQ2"/>
    <mergeCell ref="B3:J3"/>
    <mergeCell ref="P3:Z3"/>
    <mergeCell ref="A6:A9"/>
    <mergeCell ref="B6:B9"/>
    <mergeCell ref="C6:C9"/>
    <mergeCell ref="D6:D9"/>
    <mergeCell ref="E6:E9"/>
    <mergeCell ref="F6:F9"/>
    <mergeCell ref="G6:G9"/>
    <mergeCell ref="H6:H9"/>
    <mergeCell ref="I6:I9"/>
    <mergeCell ref="J6:AH6"/>
    <mergeCell ref="AI6:AN6"/>
    <mergeCell ref="AL7:AL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7"/>
  <sheetViews>
    <sheetView topLeftCell="D1" workbookViewId="0">
      <selection activeCell="E7" sqref="E7:E10"/>
    </sheetView>
  </sheetViews>
  <sheetFormatPr baseColWidth="10" defaultRowHeight="14.4"/>
  <cols>
    <col min="1" max="1" width="16.5546875" bestFit="1" customWidth="1"/>
    <col min="2" max="2" width="32.5546875" customWidth="1"/>
    <col min="3" max="3" width="6.44140625" bestFit="1" customWidth="1"/>
    <col min="5" max="5" width="19.88671875" customWidth="1"/>
    <col min="6" max="6" width="14.6640625" customWidth="1"/>
    <col min="7" max="7" width="9.88671875" customWidth="1"/>
    <col min="8" max="9" width="6.5546875" customWidth="1"/>
    <col min="10" max="12" width="4.109375" customWidth="1"/>
    <col min="13" max="15" width="11.44140625" bestFit="1" customWidth="1"/>
    <col min="16" max="16" width="2.88671875" bestFit="1" customWidth="1"/>
    <col min="17" max="17" width="3.109375" bestFit="1" customWidth="1"/>
    <col min="18" max="18" width="2.5546875" bestFit="1" customWidth="1"/>
    <col min="19" max="21" width="11.44140625" bestFit="1" customWidth="1"/>
    <col min="22" max="22" width="2.5546875" bestFit="1" customWidth="1"/>
    <col min="23" max="24" width="2.88671875" bestFit="1" customWidth="1"/>
    <col min="25" max="25" width="5.6640625" bestFit="1" customWidth="1"/>
    <col min="26" max="26" width="11.44140625" bestFit="1" customWidth="1"/>
    <col min="27" max="27" width="5.6640625" bestFit="1" customWidth="1"/>
    <col min="28" max="30" width="3" bestFit="1" customWidth="1"/>
    <col min="31" max="33" width="11.44140625" bestFit="1" customWidth="1"/>
    <col min="34" max="35" width="12.6640625" bestFit="1" customWidth="1"/>
    <col min="36" max="36" width="8.33203125" customWidth="1"/>
    <col min="37" max="37" width="4.33203125" customWidth="1"/>
    <col min="38" max="38" width="4" customWidth="1"/>
    <col min="39" max="39" width="9.44140625" customWidth="1"/>
    <col min="40" max="40" width="6" customWidth="1"/>
    <col min="41" max="41" width="14.88671875" customWidth="1"/>
    <col min="42" max="42" width="15.44140625" customWidth="1"/>
    <col min="43" max="43" width="16.109375" customWidth="1"/>
  </cols>
  <sheetData>
    <row r="1" spans="1:43" ht="17.399999999999999">
      <c r="A1" s="2190" t="s">
        <v>0</v>
      </c>
      <c r="B1" s="2190"/>
      <c r="C1" s="2190"/>
      <c r="D1" s="2190"/>
      <c r="E1" s="2190"/>
      <c r="F1" s="2190"/>
      <c r="G1" s="2190"/>
      <c r="H1" s="2190"/>
      <c r="I1" s="2190"/>
      <c r="J1" s="2190"/>
      <c r="K1" s="2190"/>
      <c r="L1" s="2190"/>
      <c r="M1" s="2190"/>
      <c r="N1" s="2190"/>
      <c r="O1" s="2190"/>
      <c r="P1" s="2190"/>
      <c r="Q1" s="2190"/>
      <c r="R1" s="2190"/>
      <c r="S1" s="2190"/>
      <c r="T1" s="2190"/>
      <c r="U1" s="2190"/>
      <c r="V1" s="2190"/>
      <c r="W1" s="2190"/>
      <c r="X1" s="2190"/>
      <c r="Y1" s="2190"/>
      <c r="Z1" s="2190"/>
      <c r="AA1" s="2190"/>
      <c r="AB1" s="2190"/>
      <c r="AC1" s="2190"/>
      <c r="AD1" s="2190"/>
      <c r="AE1" s="2190"/>
      <c r="AF1" s="2190"/>
      <c r="AG1" s="2190"/>
      <c r="AH1" s="2190"/>
      <c r="AI1" s="2190"/>
      <c r="AJ1" s="2190"/>
      <c r="AK1" s="2190"/>
      <c r="AL1" s="2190"/>
      <c r="AM1" s="2190"/>
      <c r="AN1" s="2190"/>
      <c r="AO1" s="2190"/>
      <c r="AP1" s="2190"/>
      <c r="AQ1" s="2190"/>
    </row>
    <row r="2" spans="1:43" ht="17.399999999999999">
      <c r="A2" s="2190" t="s">
        <v>1</v>
      </c>
      <c r="B2" s="2190"/>
      <c r="C2" s="2190"/>
      <c r="D2" s="2190"/>
      <c r="E2" s="2190"/>
      <c r="F2" s="2190"/>
      <c r="G2" s="2190"/>
      <c r="H2" s="2190"/>
      <c r="I2" s="2190"/>
      <c r="J2" s="2190"/>
      <c r="K2" s="2190"/>
      <c r="L2" s="2190"/>
      <c r="M2" s="2190"/>
      <c r="N2" s="2190"/>
      <c r="O2" s="2190"/>
      <c r="P2" s="2190"/>
      <c r="Q2" s="2190"/>
      <c r="R2" s="2190"/>
      <c r="S2" s="2190"/>
      <c r="T2" s="2190"/>
      <c r="U2" s="2190"/>
      <c r="V2" s="2190"/>
      <c r="W2" s="2190"/>
      <c r="X2" s="2190"/>
      <c r="Y2" s="2190"/>
      <c r="Z2" s="2190"/>
      <c r="AA2" s="2190"/>
      <c r="AB2" s="2190"/>
      <c r="AC2" s="2190"/>
      <c r="AD2" s="2190"/>
      <c r="AE2" s="2190"/>
      <c r="AF2" s="2190"/>
      <c r="AG2" s="2190"/>
      <c r="AH2" s="2190"/>
      <c r="AI2" s="2190"/>
      <c r="AJ2" s="2190"/>
      <c r="AK2" s="2190"/>
      <c r="AL2" s="2190"/>
      <c r="AM2" s="2190"/>
      <c r="AN2" s="2190"/>
      <c r="AO2" s="2190"/>
      <c r="AP2" s="2190"/>
      <c r="AQ2" s="2190"/>
    </row>
    <row r="3" spans="1:43" ht="17.399999999999999">
      <c r="A3" s="1589"/>
      <c r="B3" s="1421" t="s">
        <v>1390</v>
      </c>
      <c r="C3" s="1590"/>
      <c r="D3" s="1590"/>
      <c r="E3" s="1590"/>
      <c r="F3" s="1591"/>
      <c r="G3" s="1589"/>
      <c r="H3" s="1589"/>
      <c r="I3" s="1589"/>
      <c r="J3" s="1589"/>
      <c r="K3" s="1589"/>
      <c r="L3" s="1589"/>
      <c r="M3" s="1589"/>
      <c r="N3" s="1589"/>
      <c r="O3" s="1589"/>
      <c r="P3" s="1589"/>
      <c r="Q3" s="1589"/>
      <c r="R3" s="1589"/>
      <c r="S3" s="1589"/>
      <c r="T3" s="1589"/>
      <c r="U3" s="1589"/>
      <c r="V3" s="1589"/>
      <c r="W3" s="1589"/>
      <c r="X3" s="1589"/>
      <c r="Y3" s="1589"/>
      <c r="Z3" s="1589"/>
      <c r="AA3" s="1589"/>
      <c r="AB3" s="1589"/>
      <c r="AC3" s="1589"/>
      <c r="AD3" s="1589"/>
      <c r="AE3" s="1589"/>
      <c r="AF3" s="1589"/>
      <c r="AG3" s="1589"/>
      <c r="AH3" s="1589"/>
      <c r="AI3" s="1589"/>
      <c r="AJ3" s="1589"/>
      <c r="AK3" s="1589"/>
      <c r="AL3" s="1589"/>
      <c r="AM3" s="1589"/>
      <c r="AN3" s="1589"/>
      <c r="AO3" s="1589"/>
      <c r="AP3" s="1589"/>
      <c r="AQ3" s="1589"/>
    </row>
    <row r="4" spans="1:43" ht="17.399999999999999">
      <c r="A4" s="1589"/>
      <c r="B4" s="1590" t="s">
        <v>3737</v>
      </c>
      <c r="C4" s="1590"/>
      <c r="D4" s="1590"/>
      <c r="E4" s="1590"/>
      <c r="F4" s="1591"/>
      <c r="G4" s="1589"/>
      <c r="H4" s="1589"/>
      <c r="I4" s="1589"/>
      <c r="J4" s="1589"/>
      <c r="K4" s="1589"/>
      <c r="L4" s="1589"/>
      <c r="M4" s="1589"/>
      <c r="N4" s="1589"/>
      <c r="O4" s="1589"/>
      <c r="P4" s="1589"/>
      <c r="Q4" s="1589"/>
      <c r="R4" s="1589"/>
      <c r="S4" s="1589"/>
      <c r="T4" s="1589"/>
      <c r="U4" s="1589"/>
      <c r="V4" s="1589"/>
      <c r="W4" s="1589"/>
      <c r="X4" s="1589"/>
      <c r="Y4" s="1589"/>
      <c r="Z4" s="1589"/>
      <c r="AA4" s="1589"/>
      <c r="AB4" s="1589"/>
      <c r="AC4" s="1589"/>
      <c r="AD4" s="1589"/>
      <c r="AE4" s="1589"/>
      <c r="AF4" s="1589"/>
      <c r="AG4" s="1589"/>
      <c r="AH4" s="1589"/>
      <c r="AI4" s="1589"/>
      <c r="AJ4" s="1589"/>
      <c r="AK4" s="1589"/>
      <c r="AL4" s="1589"/>
      <c r="AM4" s="1589"/>
      <c r="AN4" s="1589"/>
      <c r="AO4" s="1589"/>
      <c r="AP4" s="1589"/>
      <c r="AQ4" s="1589"/>
    </row>
    <row r="5" spans="1:43" ht="17.399999999999999">
      <c r="A5" s="1589"/>
      <c r="B5" s="1590" t="s">
        <v>3738</v>
      </c>
      <c r="C5" s="1590"/>
      <c r="D5" s="1590"/>
      <c r="E5" s="1590"/>
      <c r="F5" s="1592"/>
      <c r="G5" s="1589"/>
      <c r="H5" s="1589"/>
      <c r="I5" s="1589"/>
      <c r="J5" s="1589"/>
      <c r="K5" s="1589"/>
      <c r="L5" s="1589"/>
      <c r="M5" s="1589"/>
      <c r="N5" s="1589"/>
      <c r="O5" s="1589"/>
      <c r="P5" s="1589"/>
      <c r="Q5" s="1589"/>
      <c r="R5" s="1589"/>
      <c r="S5" s="1589"/>
      <c r="T5" s="1589"/>
      <c r="U5" s="1589"/>
      <c r="V5" s="1589"/>
      <c r="W5" s="1589"/>
      <c r="X5" s="1589"/>
      <c r="Y5" s="1589"/>
      <c r="Z5" s="1589"/>
      <c r="AA5" s="1589"/>
      <c r="AB5" s="1589"/>
      <c r="AC5" s="1589"/>
      <c r="AD5" s="1589"/>
      <c r="AE5" s="1589"/>
      <c r="AF5" s="1589"/>
      <c r="AG5" s="1589"/>
      <c r="AH5" s="1589"/>
      <c r="AI5" s="1589"/>
      <c r="AJ5" s="1589"/>
      <c r="AK5" s="1589"/>
      <c r="AL5" s="1589"/>
      <c r="AM5" s="1589"/>
      <c r="AN5" s="1589"/>
      <c r="AO5" s="1589"/>
      <c r="AP5" s="1589"/>
      <c r="AQ5" s="1589"/>
    </row>
    <row r="6" spans="1:43">
      <c r="A6" s="1589"/>
      <c r="B6" s="1589"/>
      <c r="C6" s="1589"/>
      <c r="D6" s="1589"/>
      <c r="E6" s="1589"/>
      <c r="F6" s="1589"/>
      <c r="G6" s="1589"/>
      <c r="H6" s="1589"/>
      <c r="I6" s="1589"/>
      <c r="J6" s="1589"/>
      <c r="K6" s="1589"/>
      <c r="L6" s="1589"/>
      <c r="M6" s="1589"/>
      <c r="N6" s="1589"/>
      <c r="O6" s="1589"/>
      <c r="P6" s="1589"/>
      <c r="Q6" s="1589"/>
      <c r="R6" s="1589"/>
      <c r="S6" s="1589"/>
      <c r="T6" s="1589"/>
      <c r="U6" s="1589"/>
      <c r="V6" s="1589"/>
      <c r="W6" s="1589"/>
      <c r="X6" s="1589"/>
      <c r="Y6" s="1589"/>
      <c r="Z6" s="1589"/>
      <c r="AA6" s="1589"/>
      <c r="AB6" s="1589"/>
      <c r="AC6" s="1589"/>
      <c r="AD6" s="1589"/>
      <c r="AE6" s="1589"/>
      <c r="AF6" s="1589"/>
      <c r="AG6" s="1589"/>
      <c r="AH6" s="1589"/>
      <c r="AI6" s="1589"/>
      <c r="AJ6" s="1589"/>
      <c r="AK6" s="1589"/>
      <c r="AL6" s="1589"/>
      <c r="AM6" s="1589"/>
      <c r="AN6" s="1589"/>
      <c r="AO6" s="1589"/>
      <c r="AP6" s="1589"/>
      <c r="AQ6" s="1589"/>
    </row>
    <row r="7" spans="1:43" ht="15.6">
      <c r="A7" s="2191" t="s">
        <v>5</v>
      </c>
      <c r="B7" s="2193" t="s">
        <v>6</v>
      </c>
      <c r="C7" s="2193" t="s">
        <v>7</v>
      </c>
      <c r="D7" s="2193" t="s">
        <v>8</v>
      </c>
      <c r="E7" s="2193" t="s">
        <v>9</v>
      </c>
      <c r="F7" s="2194" t="s">
        <v>10</v>
      </c>
      <c r="G7" s="2196" t="s">
        <v>11</v>
      </c>
      <c r="H7" s="2197" t="s">
        <v>12</v>
      </c>
      <c r="I7" s="2197" t="s">
        <v>13</v>
      </c>
      <c r="J7" s="2200" t="s">
        <v>14</v>
      </c>
      <c r="K7" s="2201"/>
      <c r="L7" s="2201"/>
      <c r="M7" s="2201"/>
      <c r="N7" s="2201"/>
      <c r="O7" s="2201"/>
      <c r="P7" s="2201"/>
      <c r="Q7" s="2201"/>
      <c r="R7" s="2201"/>
      <c r="S7" s="2201"/>
      <c r="T7" s="2201"/>
      <c r="U7" s="2201"/>
      <c r="V7" s="2201"/>
      <c r="W7" s="2201"/>
      <c r="X7" s="2201"/>
      <c r="Y7" s="2201"/>
      <c r="Z7" s="2201"/>
      <c r="AA7" s="2201"/>
      <c r="AB7" s="2201"/>
      <c r="AC7" s="2201"/>
      <c r="AD7" s="2201"/>
      <c r="AE7" s="2201"/>
      <c r="AF7" s="2201"/>
      <c r="AG7" s="2201"/>
      <c r="AH7" s="2202"/>
      <c r="AI7" s="2199" t="s">
        <v>15</v>
      </c>
      <c r="AJ7" s="2199"/>
      <c r="AK7" s="2199"/>
      <c r="AL7" s="2199"/>
      <c r="AM7" s="2199"/>
      <c r="AN7" s="2199"/>
      <c r="AO7" s="2199" t="s">
        <v>16</v>
      </c>
      <c r="AP7" s="2199" t="s">
        <v>17</v>
      </c>
      <c r="AQ7" s="2199" t="s">
        <v>18</v>
      </c>
    </row>
    <row r="8" spans="1:43" ht="15.6">
      <c r="A8" s="2192"/>
      <c r="B8" s="2193"/>
      <c r="C8" s="2193"/>
      <c r="D8" s="2193"/>
      <c r="E8" s="2193"/>
      <c r="F8" s="2195"/>
      <c r="G8" s="2196"/>
      <c r="H8" s="2198"/>
      <c r="I8" s="2198"/>
      <c r="J8" s="2193" t="s">
        <v>19</v>
      </c>
      <c r="K8" s="2193"/>
      <c r="L8" s="2193"/>
      <c r="M8" s="2193"/>
      <c r="N8" s="2193"/>
      <c r="O8" s="2193"/>
      <c r="P8" s="2193" t="s">
        <v>20</v>
      </c>
      <c r="Q8" s="2193"/>
      <c r="R8" s="2193"/>
      <c r="S8" s="2193"/>
      <c r="T8" s="2193"/>
      <c r="U8" s="2193"/>
      <c r="V8" s="2193" t="s">
        <v>21</v>
      </c>
      <c r="W8" s="2193"/>
      <c r="X8" s="2193"/>
      <c r="Y8" s="2193"/>
      <c r="Z8" s="2193"/>
      <c r="AA8" s="2193"/>
      <c r="AB8" s="2193" t="s">
        <v>22</v>
      </c>
      <c r="AC8" s="2193"/>
      <c r="AD8" s="2193"/>
      <c r="AE8" s="2193"/>
      <c r="AF8" s="2193"/>
      <c r="AG8" s="2193"/>
      <c r="AH8" s="2193" t="s">
        <v>23</v>
      </c>
      <c r="AI8" s="2184" t="s">
        <v>24</v>
      </c>
      <c r="AJ8" s="2185" t="s">
        <v>25</v>
      </c>
      <c r="AK8" s="2185" t="s">
        <v>26</v>
      </c>
      <c r="AL8" s="2185" t="s">
        <v>27</v>
      </c>
      <c r="AM8" s="2185" t="s">
        <v>28</v>
      </c>
      <c r="AN8" s="2185" t="s">
        <v>29</v>
      </c>
      <c r="AO8" s="2199"/>
      <c r="AP8" s="2199"/>
      <c r="AQ8" s="2199"/>
    </row>
    <row r="9" spans="1:43" ht="15.6">
      <c r="A9" s="2192"/>
      <c r="B9" s="2193"/>
      <c r="C9" s="2193"/>
      <c r="D9" s="2193"/>
      <c r="E9" s="2193"/>
      <c r="F9" s="2195"/>
      <c r="G9" s="2196"/>
      <c r="H9" s="2198"/>
      <c r="I9" s="2198"/>
      <c r="J9" s="2193" t="s">
        <v>30</v>
      </c>
      <c r="K9" s="2193"/>
      <c r="L9" s="2193"/>
      <c r="M9" s="2193" t="s">
        <v>31</v>
      </c>
      <c r="N9" s="2193"/>
      <c r="O9" s="2193"/>
      <c r="P9" s="2193" t="s">
        <v>30</v>
      </c>
      <c r="Q9" s="2193"/>
      <c r="R9" s="2193"/>
      <c r="S9" s="2193" t="s">
        <v>31</v>
      </c>
      <c r="T9" s="2193"/>
      <c r="U9" s="2193"/>
      <c r="V9" s="2193" t="s">
        <v>30</v>
      </c>
      <c r="W9" s="2193"/>
      <c r="X9" s="2193"/>
      <c r="Y9" s="2193" t="s">
        <v>31</v>
      </c>
      <c r="Z9" s="2193"/>
      <c r="AA9" s="2193"/>
      <c r="AB9" s="2193" t="s">
        <v>30</v>
      </c>
      <c r="AC9" s="2193"/>
      <c r="AD9" s="2193"/>
      <c r="AE9" s="2193" t="s">
        <v>31</v>
      </c>
      <c r="AF9" s="2193"/>
      <c r="AG9" s="2193"/>
      <c r="AH9" s="2193"/>
      <c r="AI9" s="2184"/>
      <c r="AJ9" s="2186"/>
      <c r="AK9" s="2186"/>
      <c r="AL9" s="2186"/>
      <c r="AM9" s="2186"/>
      <c r="AN9" s="2186"/>
      <c r="AO9" s="2199"/>
      <c r="AP9" s="2199"/>
      <c r="AQ9" s="2199"/>
    </row>
    <row r="10" spans="1:43" ht="15.6">
      <c r="A10" s="2192"/>
      <c r="B10" s="2194"/>
      <c r="C10" s="2194"/>
      <c r="D10" s="2194"/>
      <c r="E10" s="2194"/>
      <c r="F10" s="2195"/>
      <c r="G10" s="2197"/>
      <c r="H10" s="2198"/>
      <c r="I10" s="2198"/>
      <c r="J10" s="1593" t="s">
        <v>32</v>
      </c>
      <c r="K10" s="1593" t="s">
        <v>33</v>
      </c>
      <c r="L10" s="1593" t="s">
        <v>34</v>
      </c>
      <c r="M10" s="1593" t="s">
        <v>32</v>
      </c>
      <c r="N10" s="1593" t="s">
        <v>33</v>
      </c>
      <c r="O10" s="1593" t="s">
        <v>34</v>
      </c>
      <c r="P10" s="1593" t="s">
        <v>35</v>
      </c>
      <c r="Q10" s="1593" t="s">
        <v>34</v>
      </c>
      <c r="R10" s="1593" t="s">
        <v>36</v>
      </c>
      <c r="S10" s="1593" t="s">
        <v>35</v>
      </c>
      <c r="T10" s="1593" t="s">
        <v>34</v>
      </c>
      <c r="U10" s="1593" t="s">
        <v>36</v>
      </c>
      <c r="V10" s="1593" t="s">
        <v>36</v>
      </c>
      <c r="W10" s="1593" t="s">
        <v>35</v>
      </c>
      <c r="X10" s="1593" t="s">
        <v>37</v>
      </c>
      <c r="Y10" s="1593" t="s">
        <v>36</v>
      </c>
      <c r="Z10" s="1593" t="s">
        <v>35</v>
      </c>
      <c r="AA10" s="1593" t="s">
        <v>37</v>
      </c>
      <c r="AB10" s="1593" t="s">
        <v>38</v>
      </c>
      <c r="AC10" s="1593" t="s">
        <v>39</v>
      </c>
      <c r="AD10" s="1593" t="s">
        <v>40</v>
      </c>
      <c r="AE10" s="1593" t="s">
        <v>38</v>
      </c>
      <c r="AF10" s="1593" t="s">
        <v>39</v>
      </c>
      <c r="AG10" s="1593" t="s">
        <v>40</v>
      </c>
      <c r="AH10" s="2194"/>
      <c r="AI10" s="2046"/>
      <c r="AJ10" s="2186"/>
      <c r="AK10" s="2186"/>
      <c r="AL10" s="2187"/>
      <c r="AM10" s="2186"/>
      <c r="AN10" s="2186"/>
      <c r="AO10" s="2191"/>
      <c r="AP10" s="2191"/>
      <c r="AQ10" s="2191"/>
    </row>
    <row r="11" spans="1:43" ht="45">
      <c r="A11" s="47" t="s">
        <v>349</v>
      </c>
      <c r="B11" s="47" t="s">
        <v>350</v>
      </c>
      <c r="C11" s="349"/>
      <c r="D11" s="47"/>
      <c r="E11" s="47"/>
      <c r="F11" s="47"/>
      <c r="G11" s="1594"/>
      <c r="H11" s="1594"/>
      <c r="I11" s="1594"/>
      <c r="J11" s="1595"/>
      <c r="K11" s="1595"/>
      <c r="L11" s="1595"/>
      <c r="M11" s="1596">
        <f t="shared" ref="M11:N13" si="0">SUM(M12)</f>
        <v>12601.25</v>
      </c>
      <c r="N11" s="1596">
        <f t="shared" si="0"/>
        <v>12601.25</v>
      </c>
      <c r="O11" s="1596"/>
      <c r="P11" s="1595"/>
      <c r="Q11" s="1595"/>
      <c r="R11" s="1595"/>
      <c r="S11" s="1596">
        <f>SUM(S12)</f>
        <v>12601.25</v>
      </c>
      <c r="T11" s="1596"/>
      <c r="U11" s="1596">
        <f>SUM(U12)</f>
        <v>12601.25</v>
      </c>
      <c r="V11" s="1595"/>
      <c r="W11" s="1595"/>
      <c r="X11" s="1595"/>
      <c r="Y11" s="1596"/>
      <c r="Z11" s="1596"/>
      <c r="AA11" s="1596"/>
      <c r="AB11" s="1595"/>
      <c r="AC11" s="1595"/>
      <c r="AD11" s="1595"/>
      <c r="AE11" s="1596"/>
      <c r="AF11" s="1596">
        <f t="shared" ref="AF11:AI13" si="1">SUM(AF12)</f>
        <v>50405</v>
      </c>
      <c r="AG11" s="1596">
        <f t="shared" si="1"/>
        <v>50405</v>
      </c>
      <c r="AH11" s="1596">
        <f t="shared" si="1"/>
        <v>151215</v>
      </c>
      <c r="AI11" s="1596">
        <f t="shared" si="1"/>
        <v>151215</v>
      </c>
      <c r="AJ11" s="1596"/>
      <c r="AK11" s="1596"/>
      <c r="AL11" s="1596"/>
      <c r="AM11" s="1596"/>
      <c r="AN11" s="1596"/>
      <c r="AO11" s="1597"/>
      <c r="AP11" s="1597" t="s">
        <v>3739</v>
      </c>
      <c r="AQ11" s="1597" t="s">
        <v>3740</v>
      </c>
    </row>
    <row r="12" spans="1:43" ht="45">
      <c r="A12" s="355" t="s">
        <v>1070</v>
      </c>
      <c r="B12" s="355" t="s">
        <v>1071</v>
      </c>
      <c r="C12" s="356"/>
      <c r="D12" s="355"/>
      <c r="E12" s="355"/>
      <c r="F12" s="355"/>
      <c r="G12" s="1598"/>
      <c r="H12" s="1598"/>
      <c r="I12" s="1598"/>
      <c r="J12" s="1599"/>
      <c r="K12" s="1599"/>
      <c r="L12" s="1599"/>
      <c r="M12" s="1600">
        <f t="shared" si="0"/>
        <v>12601.25</v>
      </c>
      <c r="N12" s="1600">
        <f t="shared" si="0"/>
        <v>12601.25</v>
      </c>
      <c r="O12" s="1600"/>
      <c r="P12" s="1599"/>
      <c r="Q12" s="1599"/>
      <c r="R12" s="1599"/>
      <c r="S12" s="1600">
        <f>SUM(S13)</f>
        <v>12601.25</v>
      </c>
      <c r="T12" s="1600"/>
      <c r="U12" s="1600">
        <f>SUM(U13)</f>
        <v>12601.25</v>
      </c>
      <c r="V12" s="1599"/>
      <c r="W12" s="1599"/>
      <c r="X12" s="1599"/>
      <c r="Y12" s="1600"/>
      <c r="Z12" s="1600"/>
      <c r="AA12" s="1600"/>
      <c r="AB12" s="1599"/>
      <c r="AC12" s="1599"/>
      <c r="AD12" s="1599"/>
      <c r="AE12" s="1600"/>
      <c r="AF12" s="1600">
        <f t="shared" si="1"/>
        <v>50405</v>
      </c>
      <c r="AG12" s="1600">
        <f t="shared" si="1"/>
        <v>50405</v>
      </c>
      <c r="AH12" s="1600">
        <f t="shared" si="1"/>
        <v>151215</v>
      </c>
      <c r="AI12" s="1600">
        <f t="shared" si="1"/>
        <v>151215</v>
      </c>
      <c r="AJ12" s="1600"/>
      <c r="AK12" s="1600"/>
      <c r="AL12" s="1600"/>
      <c r="AM12" s="1600"/>
      <c r="AN12" s="1600"/>
      <c r="AO12" s="1601"/>
      <c r="AP12" s="1601" t="s">
        <v>3739</v>
      </c>
      <c r="AQ12" s="1601" t="s">
        <v>3740</v>
      </c>
    </row>
    <row r="13" spans="1:43" ht="45">
      <c r="A13" s="363" t="s">
        <v>1072</v>
      </c>
      <c r="B13" s="363" t="s">
        <v>1073</v>
      </c>
      <c r="C13" s="364"/>
      <c r="D13" s="363"/>
      <c r="E13" s="363"/>
      <c r="F13" s="363"/>
      <c r="G13" s="1602"/>
      <c r="H13" s="1602"/>
      <c r="I13" s="1602"/>
      <c r="J13" s="1603"/>
      <c r="K13" s="1603"/>
      <c r="L13" s="1603"/>
      <c r="M13" s="1604">
        <f t="shared" si="0"/>
        <v>12601.25</v>
      </c>
      <c r="N13" s="1604">
        <f t="shared" si="0"/>
        <v>12601.25</v>
      </c>
      <c r="O13" s="1604"/>
      <c r="P13" s="1603"/>
      <c r="Q13" s="1603"/>
      <c r="R13" s="1603"/>
      <c r="S13" s="1604">
        <f>SUM(S14)</f>
        <v>12601.25</v>
      </c>
      <c r="T13" s="1604"/>
      <c r="U13" s="1604">
        <f>SUM(U14)</f>
        <v>12601.25</v>
      </c>
      <c r="V13" s="1603"/>
      <c r="W13" s="1603"/>
      <c r="X13" s="1603"/>
      <c r="Y13" s="1604"/>
      <c r="Z13" s="1604"/>
      <c r="AA13" s="1604"/>
      <c r="AB13" s="1603"/>
      <c r="AC13" s="1603"/>
      <c r="AD13" s="1603"/>
      <c r="AE13" s="1604"/>
      <c r="AF13" s="1604">
        <f t="shared" si="1"/>
        <v>50405</v>
      </c>
      <c r="AG13" s="1604">
        <f t="shared" si="1"/>
        <v>50405</v>
      </c>
      <c r="AH13" s="1604">
        <f t="shared" si="1"/>
        <v>151215</v>
      </c>
      <c r="AI13" s="1604">
        <f t="shared" si="1"/>
        <v>151215</v>
      </c>
      <c r="AJ13" s="1604"/>
      <c r="AK13" s="1604"/>
      <c r="AL13" s="1604"/>
      <c r="AM13" s="1604"/>
      <c r="AN13" s="1604"/>
      <c r="AO13" s="1605"/>
      <c r="AP13" s="1605" t="s">
        <v>3739</v>
      </c>
      <c r="AQ13" s="1605" t="s">
        <v>3740</v>
      </c>
    </row>
    <row r="14" spans="1:43" ht="90">
      <c r="A14" s="371" t="s">
        <v>1074</v>
      </c>
      <c r="B14" s="371" t="s">
        <v>1075</v>
      </c>
      <c r="C14" s="372"/>
      <c r="D14" s="371" t="s">
        <v>52</v>
      </c>
      <c r="E14" s="371" t="s">
        <v>1076</v>
      </c>
      <c r="F14" s="371"/>
      <c r="G14" s="1606"/>
      <c r="H14" s="1606"/>
      <c r="I14" s="1606"/>
      <c r="J14" s="1607"/>
      <c r="K14" s="1607"/>
      <c r="L14" s="1607"/>
      <c r="M14" s="1608">
        <f>SUM(M15,M16)</f>
        <v>12601.25</v>
      </c>
      <c r="N14" s="1608">
        <f>SUM(N15,N16)</f>
        <v>12601.25</v>
      </c>
      <c r="O14" s="1608"/>
      <c r="P14" s="1607"/>
      <c r="Q14" s="1607"/>
      <c r="R14" s="1607"/>
      <c r="S14" s="1608">
        <f>SUM(S15,S16)</f>
        <v>12601.25</v>
      </c>
      <c r="T14" s="1608"/>
      <c r="U14" s="1608">
        <f>SUM(U15,U16)</f>
        <v>12601.25</v>
      </c>
      <c r="V14" s="1607"/>
      <c r="W14" s="1607"/>
      <c r="X14" s="1607"/>
      <c r="Y14" s="1608"/>
      <c r="Z14" s="1608"/>
      <c r="AA14" s="1608"/>
      <c r="AB14" s="1607"/>
      <c r="AC14" s="1607"/>
      <c r="AD14" s="1607"/>
      <c r="AE14" s="1608"/>
      <c r="AF14" s="1608">
        <f>SUM(AF15,AF16)</f>
        <v>50405</v>
      </c>
      <c r="AG14" s="1608">
        <f>SUM(AG15,AG16)</f>
        <v>50405</v>
      </c>
      <c r="AH14" s="1608">
        <f>SUM(AH15,AH16)</f>
        <v>151215</v>
      </c>
      <c r="AI14" s="1608">
        <f>SUM(AI15,AI16)</f>
        <v>151215</v>
      </c>
      <c r="AJ14" s="1608"/>
      <c r="AK14" s="1608"/>
      <c r="AL14" s="1608"/>
      <c r="AM14" s="1608"/>
      <c r="AN14" s="1608"/>
      <c r="AO14" s="1609"/>
      <c r="AP14" s="1609" t="s">
        <v>3739</v>
      </c>
      <c r="AQ14" s="1609" t="s">
        <v>3740</v>
      </c>
    </row>
    <row r="15" spans="1:43" ht="45">
      <c r="A15" s="379" t="s">
        <v>3741</v>
      </c>
      <c r="B15" s="22" t="s">
        <v>3742</v>
      </c>
      <c r="C15" s="1281">
        <f>SUM(J15,K15,L15,P15,Q15,R15,V15,W15,X15,AB15,AC15,AD15)</f>
        <v>6</v>
      </c>
      <c r="D15" s="379" t="s">
        <v>52</v>
      </c>
      <c r="E15" s="379" t="s">
        <v>3743</v>
      </c>
      <c r="F15" s="379" t="s">
        <v>3744</v>
      </c>
      <c r="G15" s="1610"/>
      <c r="H15" s="1610"/>
      <c r="I15" s="1610"/>
      <c r="J15" s="1611"/>
      <c r="K15" s="1611"/>
      <c r="L15" s="1611"/>
      <c r="M15" s="1612"/>
      <c r="N15" s="1612"/>
      <c r="O15" s="1612"/>
      <c r="P15" s="1611"/>
      <c r="Q15" s="1611"/>
      <c r="R15" s="1611"/>
      <c r="S15" s="1612"/>
      <c r="T15" s="1612"/>
      <c r="U15" s="1612"/>
      <c r="V15" s="1611"/>
      <c r="W15" s="1611"/>
      <c r="X15" s="1611"/>
      <c r="Y15" s="1612"/>
      <c r="Z15" s="1612"/>
      <c r="AA15" s="1612"/>
      <c r="AB15" s="1611"/>
      <c r="AC15" s="1611">
        <v>3</v>
      </c>
      <c r="AD15" s="1611">
        <v>3</v>
      </c>
      <c r="AE15" s="1612"/>
      <c r="AF15" s="1612">
        <v>37803.75</v>
      </c>
      <c r="AG15" s="1612">
        <v>37803.75</v>
      </c>
      <c r="AH15" s="1612">
        <f t="shared" ref="AH15" si="2">SUM(M15,N15,O15,T15,S15,U15,AE15,AF15,AG15)</f>
        <v>75607.5</v>
      </c>
      <c r="AI15" s="1612">
        <v>75607.5</v>
      </c>
      <c r="AJ15" s="1612"/>
      <c r="AK15" s="1612"/>
      <c r="AL15" s="1612"/>
      <c r="AM15" s="1612"/>
      <c r="AN15" s="1612"/>
      <c r="AO15" s="1613"/>
      <c r="AP15" s="379" t="s">
        <v>3739</v>
      </c>
      <c r="AQ15" s="1614" t="s">
        <v>3740</v>
      </c>
    </row>
    <row r="16" spans="1:43" ht="45">
      <c r="A16" s="379" t="s">
        <v>3745</v>
      </c>
      <c r="B16" s="379" t="s">
        <v>3746</v>
      </c>
      <c r="C16" s="1281">
        <f>SUM(J16,K16,L16,P16,Q16,R16,V16,W16,X16,AB16,AC16,AD16)</f>
        <v>6</v>
      </c>
      <c r="D16" s="379" t="s">
        <v>52</v>
      </c>
      <c r="E16" s="379" t="s">
        <v>3747</v>
      </c>
      <c r="F16" s="379" t="s">
        <v>3748</v>
      </c>
      <c r="G16" s="1610"/>
      <c r="H16" s="1610"/>
      <c r="I16" s="1611"/>
      <c r="J16" s="1611">
        <v>1</v>
      </c>
      <c r="K16" s="1611">
        <v>1</v>
      </c>
      <c r="L16" s="1611"/>
      <c r="M16" s="1612">
        <v>12601.25</v>
      </c>
      <c r="N16" s="1612">
        <v>12601.25</v>
      </c>
      <c r="O16" s="1612"/>
      <c r="P16" s="1611">
        <v>1</v>
      </c>
      <c r="Q16" s="1611"/>
      <c r="R16" s="1611">
        <v>1</v>
      </c>
      <c r="S16" s="1612">
        <v>12601.25</v>
      </c>
      <c r="T16" s="1612"/>
      <c r="U16" s="1612">
        <v>12601.25</v>
      </c>
      <c r="V16" s="1611"/>
      <c r="W16" s="1611"/>
      <c r="X16" s="1611"/>
      <c r="Y16" s="1612"/>
      <c r="Z16" s="1612"/>
      <c r="AA16" s="1612"/>
      <c r="AB16" s="1611"/>
      <c r="AC16" s="1611">
        <v>1</v>
      </c>
      <c r="AD16" s="1611">
        <v>1</v>
      </c>
      <c r="AE16" s="1612"/>
      <c r="AF16" s="1612">
        <v>12601.25</v>
      </c>
      <c r="AG16" s="1612">
        <v>12601.25</v>
      </c>
      <c r="AH16" s="1612">
        <f>SUM(M16,N16,O16,T16,S16,U16,AE16,AF16,AG16)</f>
        <v>75607.5</v>
      </c>
      <c r="AI16" s="1612">
        <v>75607.5</v>
      </c>
      <c r="AJ16" s="1612"/>
      <c r="AK16" s="1612"/>
      <c r="AL16" s="1612"/>
      <c r="AM16" s="1612"/>
      <c r="AN16" s="1612"/>
      <c r="AO16" s="1613"/>
      <c r="AP16" s="379" t="s">
        <v>3739</v>
      </c>
      <c r="AQ16" s="1614" t="s">
        <v>3740</v>
      </c>
    </row>
    <row r="17" spans="1:43" ht="15.6">
      <c r="A17" s="1615"/>
      <c r="B17" s="1615"/>
      <c r="C17" s="1615"/>
      <c r="D17" s="1615"/>
      <c r="E17" s="1615"/>
      <c r="F17" s="1615"/>
      <c r="G17" s="1602"/>
      <c r="H17" s="1602"/>
      <c r="I17" s="1602"/>
      <c r="J17" s="1616"/>
      <c r="K17" s="1616"/>
      <c r="L17" s="1616"/>
      <c r="M17" s="1617">
        <f t="shared" ref="M17:N17" si="3">SUM(M15:M16)</f>
        <v>12601.25</v>
      </c>
      <c r="N17" s="1617">
        <f t="shared" si="3"/>
        <v>12601.25</v>
      </c>
      <c r="O17" s="1615"/>
      <c r="P17" s="1616"/>
      <c r="Q17" s="1616"/>
      <c r="R17" s="1616"/>
      <c r="S17" s="1617">
        <f>SUM(S15:S16)</f>
        <v>12601.25</v>
      </c>
      <c r="T17" s="1615"/>
      <c r="U17" s="1617">
        <f>SUM(U15:U16)</f>
        <v>12601.25</v>
      </c>
      <c r="V17" s="1616"/>
      <c r="W17" s="1616"/>
      <c r="X17" s="1616"/>
      <c r="Y17" s="1615"/>
      <c r="Z17" s="1615"/>
      <c r="AA17" s="1615"/>
      <c r="AB17" s="1616"/>
      <c r="AC17" s="1616"/>
      <c r="AD17" s="1616"/>
      <c r="AE17" s="1617"/>
      <c r="AF17" s="1617">
        <f t="shared" ref="AF17:AG17" si="4">SUM(AF15:AF16)</f>
        <v>50405</v>
      </c>
      <c r="AG17" s="1617">
        <f t="shared" si="4"/>
        <v>50405</v>
      </c>
      <c r="AH17" s="1617">
        <f>SUM(AH15:AH16)</f>
        <v>151215</v>
      </c>
      <c r="AI17" s="1617">
        <f>SUM(AI15:AI16)</f>
        <v>151215</v>
      </c>
      <c r="AJ17" s="1615"/>
      <c r="AK17" s="1615"/>
      <c r="AL17" s="1615"/>
      <c r="AM17" s="1615"/>
      <c r="AN17" s="1615"/>
      <c r="AO17" s="1605"/>
      <c r="AP17" s="1605"/>
      <c r="AQ17" s="1605"/>
    </row>
  </sheetData>
  <sheetProtection algorithmName="SHA-512" hashValue="f/hDtgh75lXxBk54KSrXfwtutsW0g4sK1ZZy+STxSf4rvYT5Gws5iFc97keR/hLvei0IJRtS7GJW4NN3CvEjBg==" saltValue="SN3Xkpipf7mgIFh0kl5FBw==" spinCount="100000" sheet="1" objects="1" scenarios="1"/>
  <mergeCells count="35">
    <mergeCell ref="AM8:AM10"/>
    <mergeCell ref="J7:AH7"/>
    <mergeCell ref="AI7:AN7"/>
    <mergeCell ref="AO7:AO10"/>
    <mergeCell ref="AP7:AP10"/>
    <mergeCell ref="AN8:AN10"/>
    <mergeCell ref="J9:L9"/>
    <mergeCell ref="M9:O9"/>
    <mergeCell ref="P9:R9"/>
    <mergeCell ref="S9:U9"/>
    <mergeCell ref="V9:X9"/>
    <mergeCell ref="Y9:AA9"/>
    <mergeCell ref="AB9:AD9"/>
    <mergeCell ref="AE9:AG9"/>
    <mergeCell ref="AH8:AH10"/>
    <mergeCell ref="AI8:AI10"/>
    <mergeCell ref="AJ8:AJ10"/>
    <mergeCell ref="AK8:AK10"/>
    <mergeCell ref="AL8:AL10"/>
    <mergeCell ref="A1:AQ1"/>
    <mergeCell ref="A2:AQ2"/>
    <mergeCell ref="A7:A10"/>
    <mergeCell ref="B7:B10"/>
    <mergeCell ref="C7:C10"/>
    <mergeCell ref="D7:D10"/>
    <mergeCell ref="E7:E10"/>
    <mergeCell ref="F7:F10"/>
    <mergeCell ref="G7:G10"/>
    <mergeCell ref="H7:H10"/>
    <mergeCell ref="AQ7:AQ10"/>
    <mergeCell ref="J8:O8"/>
    <mergeCell ref="P8:U8"/>
    <mergeCell ref="V8:AA8"/>
    <mergeCell ref="AB8:AG8"/>
    <mergeCell ref="I7:I1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6"/>
  <sheetViews>
    <sheetView workbookViewId="0">
      <selection activeCell="G6" sqref="G6:G9"/>
    </sheetView>
  </sheetViews>
  <sheetFormatPr baseColWidth="10" defaultRowHeight="14.4"/>
  <cols>
    <col min="1" max="1" width="18.109375" customWidth="1"/>
    <col min="2" max="2" width="28.88671875" customWidth="1"/>
    <col min="3" max="3" width="7" bestFit="1" customWidth="1"/>
    <col min="4" max="4" width="14.88671875" customWidth="1"/>
    <col min="5" max="5" width="26.109375" customWidth="1"/>
    <col min="6" max="6" width="17.88671875" customWidth="1"/>
    <col min="7" max="7" width="8.6640625" customWidth="1"/>
    <col min="8" max="8" width="8.88671875" customWidth="1"/>
    <col min="9" max="9" width="8" customWidth="1"/>
    <col min="10" max="12" width="5.109375" bestFit="1" customWidth="1"/>
    <col min="13" max="15" width="11.44140625" bestFit="1" customWidth="1"/>
    <col min="16" max="18" width="5.109375" bestFit="1" customWidth="1"/>
    <col min="19" max="20" width="11.44140625" bestFit="1" customWidth="1"/>
    <col min="21" max="21" width="12.6640625" bestFit="1" customWidth="1"/>
    <col min="22" max="24" width="5.109375" bestFit="1" customWidth="1"/>
    <col min="25" max="27" width="11.44140625" bestFit="1" customWidth="1"/>
    <col min="28" max="30" width="5.109375" bestFit="1" customWidth="1"/>
    <col min="31" max="33" width="11.44140625" bestFit="1" customWidth="1"/>
    <col min="34" max="34" width="12.6640625" bestFit="1" customWidth="1"/>
    <col min="35" max="35" width="14" customWidth="1"/>
    <col min="36" max="36" width="7.5546875" customWidth="1"/>
    <col min="37" max="37" width="5.33203125" customWidth="1"/>
    <col min="38" max="38" width="7.44140625" customWidth="1"/>
    <col min="39" max="39" width="8.44140625" customWidth="1"/>
    <col min="40" max="40" width="5.5546875" customWidth="1"/>
    <col min="41" max="41" width="13.5546875" customWidth="1"/>
    <col min="42" max="42" width="15.6640625" customWidth="1"/>
    <col min="43" max="43" width="15.44140625" customWidth="1"/>
  </cols>
  <sheetData>
    <row r="1" spans="1:43" ht="17.399999999999999">
      <c r="A1" s="1937" t="s">
        <v>0</v>
      </c>
      <c r="B1" s="1937"/>
      <c r="C1" s="1937"/>
      <c r="D1" s="1937"/>
      <c r="E1" s="1937"/>
      <c r="F1" s="1937"/>
      <c r="G1" s="1937"/>
      <c r="H1" s="1937"/>
      <c r="I1" s="1937"/>
      <c r="J1" s="1937"/>
      <c r="K1" s="1937"/>
      <c r="L1" s="1937"/>
      <c r="M1" s="1937"/>
      <c r="N1" s="1937"/>
      <c r="O1" s="1937"/>
      <c r="P1" s="1937"/>
      <c r="Q1" s="1937"/>
      <c r="R1" s="1937"/>
      <c r="S1" s="1937"/>
      <c r="T1" s="1937"/>
      <c r="U1" s="1937"/>
      <c r="V1" s="1937"/>
      <c r="W1" s="1937"/>
      <c r="X1" s="1937"/>
      <c r="Y1" s="1937"/>
      <c r="Z1" s="1937"/>
      <c r="AA1" s="1937"/>
      <c r="AB1" s="1937"/>
      <c r="AC1" s="1937"/>
      <c r="AD1" s="1937"/>
      <c r="AE1" s="1937"/>
      <c r="AF1" s="1937"/>
      <c r="AG1" s="1937"/>
      <c r="AH1" s="1937"/>
      <c r="AI1" s="1937"/>
      <c r="AJ1" s="1937"/>
      <c r="AK1" s="1937"/>
      <c r="AL1" s="1937"/>
      <c r="AM1" s="1937"/>
      <c r="AN1" s="1937"/>
      <c r="AO1" s="1937"/>
      <c r="AP1" s="1937"/>
      <c r="AQ1" s="1937"/>
    </row>
    <row r="2" spans="1:43" ht="17.399999999999999">
      <c r="A2" s="1937" t="s">
        <v>1</v>
      </c>
      <c r="B2" s="1937"/>
      <c r="C2" s="1937"/>
      <c r="D2" s="1937"/>
      <c r="E2" s="1937"/>
      <c r="F2" s="1937"/>
      <c r="G2" s="1937"/>
      <c r="H2" s="1937"/>
      <c r="I2" s="1937"/>
      <c r="J2" s="1937"/>
      <c r="K2" s="1937"/>
      <c r="L2" s="1937"/>
      <c r="M2" s="1937"/>
      <c r="N2" s="1937"/>
      <c r="O2" s="1937"/>
      <c r="P2" s="1937"/>
      <c r="Q2" s="1937"/>
      <c r="R2" s="1937"/>
      <c r="S2" s="1937"/>
      <c r="T2" s="1937"/>
      <c r="U2" s="1937"/>
      <c r="V2" s="1937"/>
      <c r="W2" s="1937"/>
      <c r="X2" s="1937"/>
      <c r="Y2" s="1937"/>
      <c r="Z2" s="1937"/>
      <c r="AA2" s="1937"/>
      <c r="AB2" s="1937"/>
      <c r="AC2" s="1937"/>
      <c r="AD2" s="1937"/>
      <c r="AE2" s="1937"/>
      <c r="AF2" s="1937"/>
      <c r="AG2" s="1937"/>
      <c r="AH2" s="1937"/>
      <c r="AI2" s="1937"/>
      <c r="AJ2" s="1937"/>
      <c r="AK2" s="1937"/>
      <c r="AL2" s="1937"/>
      <c r="AM2" s="1937"/>
      <c r="AN2" s="1937"/>
      <c r="AO2" s="1937"/>
      <c r="AP2" s="1937"/>
      <c r="AQ2" s="1937"/>
    </row>
    <row r="3" spans="1:43" ht="17.399999999999999">
      <c r="A3" s="1"/>
      <c r="B3" s="1618" t="s">
        <v>3749</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row>
    <row r="4" spans="1:43" ht="17.399999999999999">
      <c r="A4" s="1"/>
      <c r="B4" s="1618" t="s">
        <v>3750</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row>
    <row r="5" spans="1:43" ht="17.399999999999999">
      <c r="A5" s="1"/>
      <c r="B5" s="1618" t="s">
        <v>3751</v>
      </c>
      <c r="C5" s="3"/>
      <c r="D5" s="3"/>
      <c r="E5" s="1"/>
      <c r="F5" s="1"/>
      <c r="G5" s="1"/>
      <c r="H5" s="1"/>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1:43" ht="15.6">
      <c r="A6" s="1939" t="s">
        <v>5</v>
      </c>
      <c r="B6" s="2175" t="s">
        <v>3752</v>
      </c>
      <c r="C6" s="2175" t="s">
        <v>7</v>
      </c>
      <c r="D6" s="2176" t="s">
        <v>1394</v>
      </c>
      <c r="E6" s="2176" t="s">
        <v>9</v>
      </c>
      <c r="F6" s="1939" t="s">
        <v>10</v>
      </c>
      <c r="G6" s="2177" t="s">
        <v>11</v>
      </c>
      <c r="H6" s="2178" t="s">
        <v>12</v>
      </c>
      <c r="I6" s="2178" t="s">
        <v>13</v>
      </c>
      <c r="J6" s="2181" t="s">
        <v>14</v>
      </c>
      <c r="K6" s="2182"/>
      <c r="L6" s="2182"/>
      <c r="M6" s="2182"/>
      <c r="N6" s="2182"/>
      <c r="O6" s="2182"/>
      <c r="P6" s="2182"/>
      <c r="Q6" s="2182"/>
      <c r="R6" s="2182"/>
      <c r="S6" s="2182"/>
      <c r="T6" s="2182"/>
      <c r="U6" s="2182"/>
      <c r="V6" s="2182"/>
      <c r="W6" s="2182"/>
      <c r="X6" s="2182"/>
      <c r="Y6" s="2182"/>
      <c r="Z6" s="2182"/>
      <c r="AA6" s="2182"/>
      <c r="AB6" s="2182"/>
      <c r="AC6" s="2182"/>
      <c r="AD6" s="2182"/>
      <c r="AE6" s="2182"/>
      <c r="AF6" s="2182"/>
      <c r="AG6" s="2182"/>
      <c r="AH6" s="2183"/>
      <c r="AI6" s="2176" t="s">
        <v>15</v>
      </c>
      <c r="AJ6" s="2176"/>
      <c r="AK6" s="2176"/>
      <c r="AL6" s="2176"/>
      <c r="AM6" s="2176"/>
      <c r="AN6" s="2176"/>
      <c r="AO6" s="2176" t="s">
        <v>16</v>
      </c>
      <c r="AP6" s="2176" t="s">
        <v>17</v>
      </c>
      <c r="AQ6" s="2185" t="s">
        <v>18</v>
      </c>
    </row>
    <row r="7" spans="1:43" ht="15.6">
      <c r="A7" s="1940"/>
      <c r="B7" s="2175"/>
      <c r="C7" s="2175"/>
      <c r="D7" s="2176"/>
      <c r="E7" s="2176"/>
      <c r="F7" s="1940"/>
      <c r="G7" s="2177"/>
      <c r="H7" s="2179"/>
      <c r="I7" s="2179"/>
      <c r="J7" s="2175" t="s">
        <v>19</v>
      </c>
      <c r="K7" s="2175"/>
      <c r="L7" s="2175"/>
      <c r="M7" s="2175"/>
      <c r="N7" s="2175"/>
      <c r="O7" s="2175"/>
      <c r="P7" s="2175" t="s">
        <v>20</v>
      </c>
      <c r="Q7" s="2175"/>
      <c r="R7" s="2175"/>
      <c r="S7" s="2175"/>
      <c r="T7" s="2175"/>
      <c r="U7" s="2175"/>
      <c r="V7" s="2175" t="s">
        <v>21</v>
      </c>
      <c r="W7" s="2175"/>
      <c r="X7" s="2175"/>
      <c r="Y7" s="2175"/>
      <c r="Z7" s="2175"/>
      <c r="AA7" s="2175"/>
      <c r="AB7" s="2175" t="s">
        <v>22</v>
      </c>
      <c r="AC7" s="2175"/>
      <c r="AD7" s="2175"/>
      <c r="AE7" s="2175"/>
      <c r="AF7" s="2175"/>
      <c r="AG7" s="2175"/>
      <c r="AH7" s="2175" t="s">
        <v>403</v>
      </c>
      <c r="AI7" s="2184" t="s">
        <v>24</v>
      </c>
      <c r="AJ7" s="2185" t="s">
        <v>3753</v>
      </c>
      <c r="AK7" s="2189" t="s">
        <v>916</v>
      </c>
      <c r="AL7" s="2204" t="s">
        <v>27</v>
      </c>
      <c r="AM7" s="2204" t="s">
        <v>28</v>
      </c>
      <c r="AN7" s="2204" t="s">
        <v>29</v>
      </c>
      <c r="AO7" s="2176"/>
      <c r="AP7" s="2176"/>
      <c r="AQ7" s="2186"/>
    </row>
    <row r="8" spans="1:43" ht="15.6">
      <c r="A8" s="1940"/>
      <c r="B8" s="2175"/>
      <c r="C8" s="2175"/>
      <c r="D8" s="2176"/>
      <c r="E8" s="2176"/>
      <c r="F8" s="1940"/>
      <c r="G8" s="2177"/>
      <c r="H8" s="2179"/>
      <c r="I8" s="2179"/>
      <c r="J8" s="2175" t="s">
        <v>30</v>
      </c>
      <c r="K8" s="2175"/>
      <c r="L8" s="2175"/>
      <c r="M8" s="2175" t="s">
        <v>31</v>
      </c>
      <c r="N8" s="2175"/>
      <c r="O8" s="2175"/>
      <c r="P8" s="2175" t="s">
        <v>30</v>
      </c>
      <c r="Q8" s="2175"/>
      <c r="R8" s="2175"/>
      <c r="S8" s="2175" t="s">
        <v>31</v>
      </c>
      <c r="T8" s="2175"/>
      <c r="U8" s="2175"/>
      <c r="V8" s="2175" t="s">
        <v>30</v>
      </c>
      <c r="W8" s="2175"/>
      <c r="X8" s="2175"/>
      <c r="Y8" s="2175" t="s">
        <v>31</v>
      </c>
      <c r="Z8" s="2175"/>
      <c r="AA8" s="2175"/>
      <c r="AB8" s="2175" t="s">
        <v>30</v>
      </c>
      <c r="AC8" s="2175"/>
      <c r="AD8" s="2175"/>
      <c r="AE8" s="2175" t="s">
        <v>31</v>
      </c>
      <c r="AF8" s="2175"/>
      <c r="AG8" s="2175"/>
      <c r="AH8" s="2175"/>
      <c r="AI8" s="2184"/>
      <c r="AJ8" s="2186"/>
      <c r="AK8" s="2189"/>
      <c r="AL8" s="2204"/>
      <c r="AM8" s="2204"/>
      <c r="AN8" s="2204"/>
      <c r="AO8" s="2176"/>
      <c r="AP8" s="2176"/>
      <c r="AQ8" s="2186"/>
    </row>
    <row r="9" spans="1:43" ht="15.6">
      <c r="A9" s="1941"/>
      <c r="B9" s="2175"/>
      <c r="C9" s="2175"/>
      <c r="D9" s="2176"/>
      <c r="E9" s="2176"/>
      <c r="F9" s="1941"/>
      <c r="G9" s="2177"/>
      <c r="H9" s="2180"/>
      <c r="I9" s="2180"/>
      <c r="J9" s="1559" t="s">
        <v>32</v>
      </c>
      <c r="K9" s="1559" t="s">
        <v>33</v>
      </c>
      <c r="L9" s="1559" t="s">
        <v>34</v>
      </c>
      <c r="M9" s="1559" t="s">
        <v>32</v>
      </c>
      <c r="N9" s="1559" t="s">
        <v>33</v>
      </c>
      <c r="O9" s="1559" t="s">
        <v>34</v>
      </c>
      <c r="P9" s="1559" t="s">
        <v>35</v>
      </c>
      <c r="Q9" s="1559" t="s">
        <v>34</v>
      </c>
      <c r="R9" s="1559" t="s">
        <v>36</v>
      </c>
      <c r="S9" s="1559" t="s">
        <v>35</v>
      </c>
      <c r="T9" s="1559" t="s">
        <v>34</v>
      </c>
      <c r="U9" s="1559" t="s">
        <v>36</v>
      </c>
      <c r="V9" s="1559" t="s">
        <v>36</v>
      </c>
      <c r="W9" s="1559" t="s">
        <v>35</v>
      </c>
      <c r="X9" s="1559" t="s">
        <v>37</v>
      </c>
      <c r="Y9" s="1559" t="s">
        <v>36</v>
      </c>
      <c r="Z9" s="1559" t="s">
        <v>35</v>
      </c>
      <c r="AA9" s="1559" t="s">
        <v>37</v>
      </c>
      <c r="AB9" s="1559" t="s">
        <v>38</v>
      </c>
      <c r="AC9" s="1559" t="s">
        <v>39</v>
      </c>
      <c r="AD9" s="1559" t="s">
        <v>40</v>
      </c>
      <c r="AE9" s="1559" t="s">
        <v>38</v>
      </c>
      <c r="AF9" s="1559" t="s">
        <v>39</v>
      </c>
      <c r="AG9" s="1559" t="s">
        <v>40</v>
      </c>
      <c r="AH9" s="2175"/>
      <c r="AI9" s="2184"/>
      <c r="AJ9" s="2187"/>
      <c r="AK9" s="2189"/>
      <c r="AL9" s="2204"/>
      <c r="AM9" s="2204"/>
      <c r="AN9" s="2204"/>
      <c r="AO9" s="2176"/>
      <c r="AP9" s="2176"/>
      <c r="AQ9" s="2203"/>
    </row>
    <row r="10" spans="1:43" ht="30">
      <c r="A10" s="47" t="s">
        <v>349</v>
      </c>
      <c r="B10" s="47" t="s">
        <v>350</v>
      </c>
      <c r="C10" s="349"/>
      <c r="D10" s="47"/>
      <c r="E10" s="47"/>
      <c r="F10" s="47"/>
      <c r="G10" s="8">
        <f t="shared" ref="G10:G35" si="0">+AH10/AH$36*100</f>
        <v>13.999936426535564</v>
      </c>
      <c r="H10" s="8"/>
      <c r="I10" s="8"/>
      <c r="J10" s="7"/>
      <c r="K10" s="7"/>
      <c r="L10" s="7"/>
      <c r="M10" s="9"/>
      <c r="N10" s="9"/>
      <c r="O10" s="9"/>
      <c r="P10" s="7"/>
      <c r="Q10" s="7"/>
      <c r="R10" s="7"/>
      <c r="S10" s="9"/>
      <c r="T10" s="9"/>
      <c r="U10" s="9">
        <f>SUM(U11)</f>
        <v>66065</v>
      </c>
      <c r="V10" s="7"/>
      <c r="W10" s="7"/>
      <c r="X10" s="7"/>
      <c r="Y10" s="9"/>
      <c r="Z10" s="9"/>
      <c r="AA10" s="9"/>
      <c r="AB10" s="7"/>
      <c r="AC10" s="7"/>
      <c r="AD10" s="7"/>
      <c r="AE10" s="9"/>
      <c r="AF10" s="9"/>
      <c r="AG10" s="9"/>
      <c r="AH10" s="9">
        <f t="shared" ref="AH10:AI12" si="1">SUM(AH11)</f>
        <v>66065</v>
      </c>
      <c r="AI10" s="9">
        <f t="shared" si="1"/>
        <v>66065</v>
      </c>
      <c r="AJ10" s="9"/>
      <c r="AK10" s="9"/>
      <c r="AL10" s="9"/>
      <c r="AM10" s="9"/>
      <c r="AN10" s="9"/>
      <c r="AO10" s="6"/>
      <c r="AP10" s="6" t="s">
        <v>3754</v>
      </c>
      <c r="AQ10" s="6"/>
    </row>
    <row r="11" spans="1:43" ht="30">
      <c r="A11" s="355" t="s">
        <v>1070</v>
      </c>
      <c r="B11" s="355" t="s">
        <v>1071</v>
      </c>
      <c r="C11" s="356"/>
      <c r="D11" s="355"/>
      <c r="E11" s="355"/>
      <c r="F11" s="355"/>
      <c r="G11" s="12">
        <f t="shared" si="0"/>
        <v>13.999936426535564</v>
      </c>
      <c r="H11" s="12"/>
      <c r="I11" s="12"/>
      <c r="J11" s="11"/>
      <c r="K11" s="11"/>
      <c r="L11" s="11"/>
      <c r="M11" s="13"/>
      <c r="N11" s="13"/>
      <c r="O11" s="13"/>
      <c r="P11" s="11"/>
      <c r="Q11" s="11"/>
      <c r="R11" s="11"/>
      <c r="S11" s="13"/>
      <c r="T11" s="13"/>
      <c r="U11" s="13">
        <f>SUM(U12)</f>
        <v>66065</v>
      </c>
      <c r="V11" s="11"/>
      <c r="W11" s="11"/>
      <c r="X11" s="11"/>
      <c r="Y11" s="13"/>
      <c r="Z11" s="13"/>
      <c r="AA11" s="13"/>
      <c r="AB11" s="11"/>
      <c r="AC11" s="11"/>
      <c r="AD11" s="11"/>
      <c r="AE11" s="13"/>
      <c r="AF11" s="13"/>
      <c r="AG11" s="13"/>
      <c r="AH11" s="13">
        <f t="shared" si="1"/>
        <v>66065</v>
      </c>
      <c r="AI11" s="13">
        <f t="shared" si="1"/>
        <v>66065</v>
      </c>
      <c r="AJ11" s="13"/>
      <c r="AK11" s="13"/>
      <c r="AL11" s="13"/>
      <c r="AM11" s="13"/>
      <c r="AN11" s="13"/>
      <c r="AO11" s="10"/>
      <c r="AP11" s="10" t="s">
        <v>3754</v>
      </c>
      <c r="AQ11" s="10"/>
    </row>
    <row r="12" spans="1:43" ht="45">
      <c r="A12" s="363" t="s">
        <v>1072</v>
      </c>
      <c r="B12" s="363" t="s">
        <v>1073</v>
      </c>
      <c r="C12" s="364"/>
      <c r="D12" s="363"/>
      <c r="E12" s="363"/>
      <c r="F12" s="363"/>
      <c r="G12" s="16">
        <f t="shared" si="0"/>
        <v>13.999936426535564</v>
      </c>
      <c r="H12" s="16">
        <f>G12</f>
        <v>13.999936426535564</v>
      </c>
      <c r="I12" s="16"/>
      <c r="J12" s="15"/>
      <c r="K12" s="15"/>
      <c r="L12" s="15"/>
      <c r="M12" s="17"/>
      <c r="N12" s="17"/>
      <c r="O12" s="17"/>
      <c r="P12" s="15"/>
      <c r="Q12" s="15"/>
      <c r="R12" s="15"/>
      <c r="S12" s="17"/>
      <c r="T12" s="17"/>
      <c r="U12" s="17">
        <f>SUM(U13)</f>
        <v>66065</v>
      </c>
      <c r="V12" s="15"/>
      <c r="W12" s="15"/>
      <c r="X12" s="15"/>
      <c r="Y12" s="17"/>
      <c r="Z12" s="17"/>
      <c r="AA12" s="17"/>
      <c r="AB12" s="15"/>
      <c r="AC12" s="15"/>
      <c r="AD12" s="15"/>
      <c r="AE12" s="17"/>
      <c r="AF12" s="17"/>
      <c r="AG12" s="17"/>
      <c r="AH12" s="17">
        <f t="shared" si="1"/>
        <v>66065</v>
      </c>
      <c r="AI12" s="17">
        <f t="shared" si="1"/>
        <v>66065</v>
      </c>
      <c r="AJ12" s="17"/>
      <c r="AK12" s="17"/>
      <c r="AL12" s="17"/>
      <c r="AM12" s="17"/>
      <c r="AN12" s="17"/>
      <c r="AO12" s="14"/>
      <c r="AP12" s="14" t="s">
        <v>3754</v>
      </c>
      <c r="AQ12" s="14" t="s">
        <v>3740</v>
      </c>
    </row>
    <row r="13" spans="1:43" ht="105">
      <c r="A13" s="371" t="s">
        <v>1074</v>
      </c>
      <c r="B13" s="371" t="s">
        <v>1075</v>
      </c>
      <c r="C13" s="372"/>
      <c r="D13" s="371" t="s">
        <v>52</v>
      </c>
      <c r="E13" s="371" t="s">
        <v>1076</v>
      </c>
      <c r="F13" s="371"/>
      <c r="G13" s="20">
        <f t="shared" si="0"/>
        <v>13.999936426535564</v>
      </c>
      <c r="H13" s="20"/>
      <c r="I13" s="20"/>
      <c r="J13" s="19"/>
      <c r="K13" s="19"/>
      <c r="L13" s="19"/>
      <c r="M13" s="21"/>
      <c r="N13" s="21"/>
      <c r="O13" s="21"/>
      <c r="P13" s="19"/>
      <c r="Q13" s="19"/>
      <c r="R13" s="19"/>
      <c r="S13" s="21"/>
      <c r="T13" s="21"/>
      <c r="U13" s="21">
        <f>SUM(U14)</f>
        <v>66065</v>
      </c>
      <c r="V13" s="19"/>
      <c r="W13" s="19"/>
      <c r="X13" s="19"/>
      <c r="Y13" s="21"/>
      <c r="Z13" s="21"/>
      <c r="AA13" s="21"/>
      <c r="AB13" s="19"/>
      <c r="AC13" s="19"/>
      <c r="AD13" s="19"/>
      <c r="AE13" s="21"/>
      <c r="AF13" s="21"/>
      <c r="AG13" s="21"/>
      <c r="AH13" s="21">
        <f>SUM(AH14)</f>
        <v>66065</v>
      </c>
      <c r="AI13" s="21">
        <f>SUM(AI14)</f>
        <v>66065</v>
      </c>
      <c r="AJ13" s="21"/>
      <c r="AK13" s="21"/>
      <c r="AL13" s="21"/>
      <c r="AM13" s="21"/>
      <c r="AN13" s="21"/>
      <c r="AO13" s="18"/>
      <c r="AP13" s="18" t="s">
        <v>3754</v>
      </c>
      <c r="AQ13" s="18" t="s">
        <v>3740</v>
      </c>
    </row>
    <row r="14" spans="1:43" ht="45">
      <c r="A14" s="379" t="s">
        <v>3755</v>
      </c>
      <c r="B14" s="22" t="s">
        <v>3756</v>
      </c>
      <c r="C14" s="23">
        <v>1</v>
      </c>
      <c r="D14" s="22" t="s">
        <v>52</v>
      </c>
      <c r="E14" s="379" t="s">
        <v>3757</v>
      </c>
      <c r="F14" s="379" t="s">
        <v>3758</v>
      </c>
      <c r="G14" s="24">
        <f t="shared" si="0"/>
        <v>13.999936426535564</v>
      </c>
      <c r="H14" s="24"/>
      <c r="I14" s="24">
        <f>AH14/AH$13*100</f>
        <v>100</v>
      </c>
      <c r="J14" s="23"/>
      <c r="K14" s="23"/>
      <c r="L14" s="23"/>
      <c r="M14" s="26"/>
      <c r="N14" s="26"/>
      <c r="O14" s="26"/>
      <c r="P14" s="23"/>
      <c r="Q14" s="23"/>
      <c r="R14" s="1220">
        <v>1</v>
      </c>
      <c r="S14" s="26"/>
      <c r="T14" s="26"/>
      <c r="U14" s="26">
        <v>66065</v>
      </c>
      <c r="V14" s="23"/>
      <c r="W14" s="23"/>
      <c r="X14" s="23"/>
      <c r="Y14" s="26"/>
      <c r="Z14" s="26"/>
      <c r="AA14" s="26"/>
      <c r="AB14" s="23"/>
      <c r="AC14" s="23"/>
      <c r="AD14" s="23"/>
      <c r="AE14" s="26"/>
      <c r="AF14" s="26"/>
      <c r="AG14" s="26"/>
      <c r="AH14" s="78">
        <f>AI14</f>
        <v>66065</v>
      </c>
      <c r="AI14" s="78">
        <v>66065</v>
      </c>
      <c r="AJ14" s="26"/>
      <c r="AK14" s="26"/>
      <c r="AL14" s="26"/>
      <c r="AM14" s="26"/>
      <c r="AN14" s="26"/>
      <c r="AO14" s="22" t="s">
        <v>465</v>
      </c>
      <c r="AP14" s="22" t="s">
        <v>3759</v>
      </c>
      <c r="AQ14" s="22"/>
    </row>
    <row r="15" spans="1:43" ht="15">
      <c r="A15" s="1002" t="s">
        <v>379</v>
      </c>
      <c r="B15" s="1619" t="s">
        <v>808</v>
      </c>
      <c r="C15" s="7"/>
      <c r="D15" s="1620"/>
      <c r="E15" s="1620"/>
      <c r="F15" s="1620"/>
      <c r="G15" s="8">
        <f t="shared" si="0"/>
        <v>86.000063573464431</v>
      </c>
      <c r="H15" s="8"/>
      <c r="I15" s="8"/>
      <c r="J15" s="7"/>
      <c r="K15" s="7"/>
      <c r="L15" s="7"/>
      <c r="M15" s="9">
        <f>SUM(M16)</f>
        <v>28976.216216216217</v>
      </c>
      <c r="N15" s="9">
        <f t="shared" ref="N15:O16" si="2">SUM(N16)</f>
        <v>35896.216216216213</v>
      </c>
      <c r="O15" s="9">
        <f t="shared" si="2"/>
        <v>36375.067567567567</v>
      </c>
      <c r="P15" s="7"/>
      <c r="Q15" s="7"/>
      <c r="R15" s="7"/>
      <c r="S15" s="9">
        <f t="shared" ref="S15:U16" si="3">SUM(S16)</f>
        <v>29301.216216216217</v>
      </c>
      <c r="T15" s="9">
        <f t="shared" si="3"/>
        <v>35951.216216216213</v>
      </c>
      <c r="U15" s="9">
        <f t="shared" si="3"/>
        <v>36810.067567567567</v>
      </c>
      <c r="V15" s="7"/>
      <c r="W15" s="7"/>
      <c r="X15" s="7"/>
      <c r="Y15" s="9">
        <f t="shared" ref="Y15:AA16" si="4">SUM(Y16)</f>
        <v>29566.216216216217</v>
      </c>
      <c r="Z15" s="9">
        <f t="shared" si="4"/>
        <v>35951.216216216213</v>
      </c>
      <c r="AA15" s="9">
        <f t="shared" si="4"/>
        <v>35730.067567567567</v>
      </c>
      <c r="AB15" s="7"/>
      <c r="AC15" s="7"/>
      <c r="AD15" s="7"/>
      <c r="AE15" s="9">
        <f t="shared" ref="AE15:AI16" si="5">SUM(AE16)</f>
        <v>29566.216216216217</v>
      </c>
      <c r="AF15" s="9">
        <f t="shared" si="5"/>
        <v>35951.216216216213</v>
      </c>
      <c r="AG15" s="9">
        <f t="shared" si="5"/>
        <v>35755.067567567567</v>
      </c>
      <c r="AH15" s="9">
        <f t="shared" si="5"/>
        <v>405830</v>
      </c>
      <c r="AI15" s="9">
        <f t="shared" si="5"/>
        <v>405830</v>
      </c>
      <c r="AJ15" s="9"/>
      <c r="AK15" s="9"/>
      <c r="AL15" s="9"/>
      <c r="AM15" s="9"/>
      <c r="AN15" s="9"/>
      <c r="AO15" s="6"/>
      <c r="AP15" s="6"/>
      <c r="AQ15" s="6"/>
    </row>
    <row r="16" spans="1:43" ht="15">
      <c r="A16" s="1011" t="s">
        <v>3760</v>
      </c>
      <c r="B16" s="1621" t="s">
        <v>3761</v>
      </c>
      <c r="C16" s="11"/>
      <c r="D16" s="1622"/>
      <c r="E16" s="1622"/>
      <c r="F16" s="1622"/>
      <c r="G16" s="12">
        <f t="shared" si="0"/>
        <v>86.000063573464431</v>
      </c>
      <c r="H16" s="12"/>
      <c r="I16" s="12"/>
      <c r="J16" s="11"/>
      <c r="K16" s="11"/>
      <c r="L16" s="11"/>
      <c r="M16" s="13">
        <f>SUM(M17)</f>
        <v>28976.216216216217</v>
      </c>
      <c r="N16" s="13">
        <f t="shared" si="2"/>
        <v>35896.216216216213</v>
      </c>
      <c r="O16" s="13">
        <f t="shared" si="2"/>
        <v>36375.067567567567</v>
      </c>
      <c r="P16" s="11"/>
      <c r="Q16" s="11"/>
      <c r="R16" s="11"/>
      <c r="S16" s="13">
        <f t="shared" si="3"/>
        <v>29301.216216216217</v>
      </c>
      <c r="T16" s="13">
        <f t="shared" si="3"/>
        <v>35951.216216216213</v>
      </c>
      <c r="U16" s="13">
        <f t="shared" si="3"/>
        <v>36810.067567567567</v>
      </c>
      <c r="V16" s="11"/>
      <c r="W16" s="11"/>
      <c r="X16" s="11"/>
      <c r="Y16" s="13">
        <f t="shared" si="4"/>
        <v>29566.216216216217</v>
      </c>
      <c r="Z16" s="13">
        <f t="shared" si="4"/>
        <v>35951.216216216213</v>
      </c>
      <c r="AA16" s="13">
        <f t="shared" si="4"/>
        <v>35730.067567567567</v>
      </c>
      <c r="AB16" s="11"/>
      <c r="AC16" s="11"/>
      <c r="AD16" s="11"/>
      <c r="AE16" s="13">
        <f t="shared" si="5"/>
        <v>29566.216216216217</v>
      </c>
      <c r="AF16" s="13">
        <f t="shared" si="5"/>
        <v>35951.216216216213</v>
      </c>
      <c r="AG16" s="13">
        <f t="shared" si="5"/>
        <v>35755.067567567567</v>
      </c>
      <c r="AH16" s="13">
        <f t="shared" si="5"/>
        <v>405830</v>
      </c>
      <c r="AI16" s="13">
        <f t="shared" si="5"/>
        <v>405830</v>
      </c>
      <c r="AJ16" s="13"/>
      <c r="AK16" s="13"/>
      <c r="AL16" s="13"/>
      <c r="AM16" s="13"/>
      <c r="AN16" s="13"/>
      <c r="AO16" s="10"/>
      <c r="AP16" s="10"/>
      <c r="AQ16" s="10"/>
    </row>
    <row r="17" spans="1:43" ht="30">
      <c r="A17" s="61" t="s">
        <v>3762</v>
      </c>
      <c r="B17" s="1623" t="s">
        <v>3763</v>
      </c>
      <c r="C17" s="15"/>
      <c r="D17" s="638"/>
      <c r="E17" s="1624"/>
      <c r="F17" s="1624"/>
      <c r="G17" s="16">
        <f t="shared" si="0"/>
        <v>86.000063573464431</v>
      </c>
      <c r="H17" s="16">
        <f>G17</f>
        <v>86.000063573464431</v>
      </c>
      <c r="I17" s="16"/>
      <c r="J17" s="15"/>
      <c r="K17" s="15"/>
      <c r="L17" s="15"/>
      <c r="M17" s="770">
        <f>SUM(M18,M26,M32)</f>
        <v>28976.216216216217</v>
      </c>
      <c r="N17" s="770">
        <f t="shared" ref="N17:O17" si="6">SUM(N18,N26,N32)</f>
        <v>35896.216216216213</v>
      </c>
      <c r="O17" s="770">
        <f t="shared" si="6"/>
        <v>36375.067567567567</v>
      </c>
      <c r="P17" s="15"/>
      <c r="Q17" s="15"/>
      <c r="R17" s="15"/>
      <c r="S17" s="770">
        <f t="shared" ref="S17:U17" si="7">SUM(S18,S26,S32)</f>
        <v>29301.216216216217</v>
      </c>
      <c r="T17" s="770">
        <f t="shared" si="7"/>
        <v>35951.216216216213</v>
      </c>
      <c r="U17" s="770">
        <f t="shared" si="7"/>
        <v>36810.067567567567</v>
      </c>
      <c r="V17" s="15"/>
      <c r="W17" s="15"/>
      <c r="X17" s="15"/>
      <c r="Y17" s="770">
        <f t="shared" ref="Y17:AA17" si="8">SUM(Y18,Y26,Y32)</f>
        <v>29566.216216216217</v>
      </c>
      <c r="Z17" s="770">
        <f t="shared" si="8"/>
        <v>35951.216216216213</v>
      </c>
      <c r="AA17" s="770">
        <f t="shared" si="8"/>
        <v>35730.067567567567</v>
      </c>
      <c r="AB17" s="15"/>
      <c r="AC17" s="15"/>
      <c r="AD17" s="15"/>
      <c r="AE17" s="770">
        <f t="shared" ref="AE17:AI17" si="9">SUM(AE18,AE26,AE32)</f>
        <v>29566.216216216217</v>
      </c>
      <c r="AF17" s="770">
        <f t="shared" si="9"/>
        <v>35951.216216216213</v>
      </c>
      <c r="AG17" s="770">
        <f t="shared" si="9"/>
        <v>35755.067567567567</v>
      </c>
      <c r="AH17" s="770">
        <f t="shared" si="9"/>
        <v>405830</v>
      </c>
      <c r="AI17" s="770">
        <f t="shared" si="9"/>
        <v>405830</v>
      </c>
      <c r="AJ17" s="17"/>
      <c r="AK17" s="17"/>
      <c r="AL17" s="17"/>
      <c r="AM17" s="17"/>
      <c r="AN17" s="17"/>
      <c r="AO17" s="14"/>
      <c r="AP17" s="14"/>
      <c r="AQ17" s="14"/>
    </row>
    <row r="18" spans="1:43" ht="15">
      <c r="A18" s="67" t="s">
        <v>3764</v>
      </c>
      <c r="B18" s="1539" t="s">
        <v>3765</v>
      </c>
      <c r="C18" s="372"/>
      <c r="D18" s="1364"/>
      <c r="E18" s="1539"/>
      <c r="F18" s="1625"/>
      <c r="G18" s="20">
        <f t="shared" si="0"/>
        <v>37.999978808845185</v>
      </c>
      <c r="H18" s="20"/>
      <c r="I18" s="20"/>
      <c r="J18" s="19"/>
      <c r="K18" s="19"/>
      <c r="L18" s="19"/>
      <c r="M18" s="21">
        <f>SUM(M19:M25)</f>
        <v>14945</v>
      </c>
      <c r="N18" s="21">
        <f t="shared" ref="N18:O18" si="10">SUM(N19:N25)</f>
        <v>14945</v>
      </c>
      <c r="O18" s="21">
        <f t="shared" si="10"/>
        <v>14945</v>
      </c>
      <c r="P18" s="19"/>
      <c r="Q18" s="19"/>
      <c r="R18" s="19"/>
      <c r="S18" s="21">
        <f t="shared" ref="S18:U18" si="11">SUM(S19:S25)</f>
        <v>14945</v>
      </c>
      <c r="T18" s="21">
        <f t="shared" si="11"/>
        <v>14945</v>
      </c>
      <c r="U18" s="21">
        <f t="shared" si="11"/>
        <v>14945</v>
      </c>
      <c r="V18" s="19"/>
      <c r="W18" s="19"/>
      <c r="X18" s="19"/>
      <c r="Y18" s="21">
        <f t="shared" ref="Y18:AA18" si="12">SUM(Y19:Y25)</f>
        <v>14945</v>
      </c>
      <c r="Z18" s="21">
        <f t="shared" si="12"/>
        <v>14945</v>
      </c>
      <c r="AA18" s="21">
        <f t="shared" si="12"/>
        <v>14945</v>
      </c>
      <c r="AB18" s="19"/>
      <c r="AC18" s="19"/>
      <c r="AD18" s="19"/>
      <c r="AE18" s="21">
        <f t="shared" ref="AE18:AI18" si="13">SUM(AE19:AE25)</f>
        <v>14945</v>
      </c>
      <c r="AF18" s="21">
        <f t="shared" si="13"/>
        <v>14945</v>
      </c>
      <c r="AG18" s="21">
        <f t="shared" si="13"/>
        <v>14925</v>
      </c>
      <c r="AH18" s="21">
        <f t="shared" si="13"/>
        <v>179320</v>
      </c>
      <c r="AI18" s="21">
        <f t="shared" si="13"/>
        <v>179320</v>
      </c>
      <c r="AJ18" s="21"/>
      <c r="AK18" s="21"/>
      <c r="AL18" s="21"/>
      <c r="AM18" s="21"/>
      <c r="AN18" s="21"/>
      <c r="AO18" s="18"/>
      <c r="AP18" s="18"/>
      <c r="AQ18" s="18"/>
    </row>
    <row r="19" spans="1:43" ht="45">
      <c r="A19" s="73" t="s">
        <v>3766</v>
      </c>
      <c r="B19" s="1626" t="s">
        <v>3767</v>
      </c>
      <c r="C19" s="1627">
        <f t="shared" ref="C19:C25" si="14">SUM(J19,K19,L19,P19,Q19,R19,V19,W19,X19,AB19,AC19,AD19)</f>
        <v>1080</v>
      </c>
      <c r="D19" s="1220" t="s">
        <v>3768</v>
      </c>
      <c r="E19" s="1626" t="s">
        <v>3769</v>
      </c>
      <c r="F19" s="1628" t="s">
        <v>3770</v>
      </c>
      <c r="G19" s="1629">
        <f t="shared" si="0"/>
        <v>9.4003962745949838</v>
      </c>
      <c r="H19" s="1629"/>
      <c r="I19" s="24">
        <f t="shared" ref="I19:I25" si="15">AH19/AH$18*100</f>
        <v>24.737898728530002</v>
      </c>
      <c r="J19" s="1220">
        <v>90</v>
      </c>
      <c r="K19" s="1220">
        <v>90</v>
      </c>
      <c r="L19" s="1220">
        <v>90</v>
      </c>
      <c r="M19" s="26">
        <f>$AI19/$C19*J19</f>
        <v>3696.666666666667</v>
      </c>
      <c r="N19" s="26">
        <f t="shared" ref="N19:O21" si="16">$AI19/$C19*K19</f>
        <v>3696.666666666667</v>
      </c>
      <c r="O19" s="26">
        <f t="shared" si="16"/>
        <v>3696.666666666667</v>
      </c>
      <c r="P19" s="23">
        <v>90</v>
      </c>
      <c r="Q19" s="23">
        <v>90</v>
      </c>
      <c r="R19" s="23">
        <v>90</v>
      </c>
      <c r="S19" s="26">
        <f t="shared" ref="S19:U21" si="17">$AI19/$C19*P19</f>
        <v>3696.666666666667</v>
      </c>
      <c r="T19" s="26">
        <f t="shared" si="17"/>
        <v>3696.666666666667</v>
      </c>
      <c r="U19" s="26">
        <f t="shared" si="17"/>
        <v>3696.666666666667</v>
      </c>
      <c r="V19" s="1220">
        <v>90</v>
      </c>
      <c r="W19" s="1220">
        <v>90</v>
      </c>
      <c r="X19" s="1220">
        <v>90</v>
      </c>
      <c r="Y19" s="26">
        <f t="shared" ref="Y19:AA21" si="18">$AI19/$C19*V19</f>
        <v>3696.666666666667</v>
      </c>
      <c r="Z19" s="26">
        <f t="shared" si="18"/>
        <v>3696.666666666667</v>
      </c>
      <c r="AA19" s="26">
        <f t="shared" si="18"/>
        <v>3696.666666666667</v>
      </c>
      <c r="AB19" s="1220">
        <v>90</v>
      </c>
      <c r="AC19" s="1220">
        <v>90</v>
      </c>
      <c r="AD19" s="1220">
        <v>90</v>
      </c>
      <c r="AE19" s="26">
        <f t="shared" ref="AE19:AG21" si="19">$AI19/$C19*AB19</f>
        <v>3696.666666666667</v>
      </c>
      <c r="AF19" s="26">
        <f t="shared" si="19"/>
        <v>3696.666666666667</v>
      </c>
      <c r="AG19" s="26">
        <f t="shared" si="19"/>
        <v>3696.666666666667</v>
      </c>
      <c r="AH19" s="78">
        <f>SUM(M19,N19,O19,S19,T19,U19,Y19,Z19,AA19,AE19,AF19,AG19)</f>
        <v>44360</v>
      </c>
      <c r="AI19" s="78">
        <v>44360</v>
      </c>
      <c r="AJ19" s="78"/>
      <c r="AK19" s="1630"/>
      <c r="AL19" s="1630"/>
      <c r="AM19" s="1630"/>
      <c r="AN19" s="1630"/>
      <c r="AO19" s="1631" t="s">
        <v>465</v>
      </c>
      <c r="AP19" s="1631" t="s">
        <v>3771</v>
      </c>
      <c r="AQ19" s="1631"/>
    </row>
    <row r="20" spans="1:43" ht="45">
      <c r="A20" s="73" t="s">
        <v>3772</v>
      </c>
      <c r="B20" s="1626" t="s">
        <v>3773</v>
      </c>
      <c r="C20" s="1627">
        <f t="shared" si="14"/>
        <v>1080</v>
      </c>
      <c r="D20" s="1632" t="s">
        <v>3768</v>
      </c>
      <c r="E20" s="1541" t="s">
        <v>3774</v>
      </c>
      <c r="F20" s="1633" t="s">
        <v>3770</v>
      </c>
      <c r="G20" s="1629">
        <f t="shared" si="0"/>
        <v>9.4003962745949838</v>
      </c>
      <c r="H20" s="1629"/>
      <c r="I20" s="24">
        <f t="shared" si="15"/>
        <v>24.737898728530002</v>
      </c>
      <c r="J20" s="1220">
        <v>90</v>
      </c>
      <c r="K20" s="1220">
        <v>90</v>
      </c>
      <c r="L20" s="1220">
        <v>90</v>
      </c>
      <c r="M20" s="26">
        <f t="shared" ref="M20:M21" si="20">$AI20/$C20*J20</f>
        <v>3696.666666666667</v>
      </c>
      <c r="N20" s="26">
        <f t="shared" si="16"/>
        <v>3696.666666666667</v>
      </c>
      <c r="O20" s="26">
        <f t="shared" si="16"/>
        <v>3696.666666666667</v>
      </c>
      <c r="P20" s="23">
        <v>90</v>
      </c>
      <c r="Q20" s="23">
        <v>90</v>
      </c>
      <c r="R20" s="23">
        <v>90</v>
      </c>
      <c r="S20" s="26">
        <f t="shared" si="17"/>
        <v>3696.666666666667</v>
      </c>
      <c r="T20" s="26">
        <f t="shared" si="17"/>
        <v>3696.666666666667</v>
      </c>
      <c r="U20" s="26">
        <f t="shared" si="17"/>
        <v>3696.666666666667</v>
      </c>
      <c r="V20" s="1220">
        <v>90</v>
      </c>
      <c r="W20" s="1220">
        <v>90</v>
      </c>
      <c r="X20" s="1220">
        <v>90</v>
      </c>
      <c r="Y20" s="26">
        <f t="shared" si="18"/>
        <v>3696.666666666667</v>
      </c>
      <c r="Z20" s="26">
        <f t="shared" si="18"/>
        <v>3696.666666666667</v>
      </c>
      <c r="AA20" s="26">
        <f t="shared" si="18"/>
        <v>3696.666666666667</v>
      </c>
      <c r="AB20" s="1220">
        <v>90</v>
      </c>
      <c r="AC20" s="1220">
        <v>90</v>
      </c>
      <c r="AD20" s="1220">
        <v>90</v>
      </c>
      <c r="AE20" s="26">
        <f t="shared" si="19"/>
        <v>3696.666666666667</v>
      </c>
      <c r="AF20" s="26">
        <f t="shared" si="19"/>
        <v>3696.666666666667</v>
      </c>
      <c r="AG20" s="26">
        <f t="shared" si="19"/>
        <v>3696.666666666667</v>
      </c>
      <c r="AH20" s="78">
        <f t="shared" ref="AH20:AH21" si="21">SUM(M20,N20,O20,S20,T20,U20,Y20,Z20,AA20,AE20,AF20,AG20)</f>
        <v>44360</v>
      </c>
      <c r="AI20" s="78">
        <v>44360</v>
      </c>
      <c r="AJ20" s="78"/>
      <c r="AK20" s="1630"/>
      <c r="AL20" s="1630"/>
      <c r="AM20" s="1630"/>
      <c r="AN20" s="1630"/>
      <c r="AO20" s="1631" t="s">
        <v>465</v>
      </c>
      <c r="AP20" s="1631" t="s">
        <v>3771</v>
      </c>
      <c r="AQ20" s="1631"/>
    </row>
    <row r="21" spans="1:43" ht="45">
      <c r="A21" s="73" t="s">
        <v>3775</v>
      </c>
      <c r="B21" s="1626" t="s">
        <v>3776</v>
      </c>
      <c r="C21" s="1627">
        <f t="shared" si="14"/>
        <v>120</v>
      </c>
      <c r="D21" s="1220" t="s">
        <v>3768</v>
      </c>
      <c r="E21" s="1541" t="s">
        <v>3777</v>
      </c>
      <c r="F21" s="1628" t="s">
        <v>3778</v>
      </c>
      <c r="G21" s="1629">
        <f t="shared" si="0"/>
        <v>1.1994193623581517</v>
      </c>
      <c r="H21" s="1629"/>
      <c r="I21" s="24">
        <f t="shared" si="15"/>
        <v>3.1563685032344413</v>
      </c>
      <c r="J21" s="1220">
        <v>10</v>
      </c>
      <c r="K21" s="1220">
        <v>10</v>
      </c>
      <c r="L21" s="1220">
        <v>10</v>
      </c>
      <c r="M21" s="26">
        <f t="shared" si="20"/>
        <v>471.66666666666663</v>
      </c>
      <c r="N21" s="26">
        <f t="shared" si="16"/>
        <v>471.66666666666663</v>
      </c>
      <c r="O21" s="26">
        <f t="shared" si="16"/>
        <v>471.66666666666663</v>
      </c>
      <c r="P21" s="23">
        <v>10</v>
      </c>
      <c r="Q21" s="23">
        <v>10</v>
      </c>
      <c r="R21" s="23">
        <v>10</v>
      </c>
      <c r="S21" s="26">
        <f t="shared" si="17"/>
        <v>471.66666666666663</v>
      </c>
      <c r="T21" s="26">
        <f t="shared" si="17"/>
        <v>471.66666666666663</v>
      </c>
      <c r="U21" s="26">
        <f t="shared" si="17"/>
        <v>471.66666666666663</v>
      </c>
      <c r="V21" s="1220">
        <v>10</v>
      </c>
      <c r="W21" s="1220">
        <v>10</v>
      </c>
      <c r="X21" s="1220">
        <v>10</v>
      </c>
      <c r="Y21" s="26">
        <f t="shared" si="18"/>
        <v>471.66666666666663</v>
      </c>
      <c r="Z21" s="26">
        <f t="shared" si="18"/>
        <v>471.66666666666663</v>
      </c>
      <c r="AA21" s="26">
        <f t="shared" si="18"/>
        <v>471.66666666666663</v>
      </c>
      <c r="AB21" s="1220">
        <v>10</v>
      </c>
      <c r="AC21" s="1220">
        <v>10</v>
      </c>
      <c r="AD21" s="1220">
        <v>10</v>
      </c>
      <c r="AE21" s="26">
        <f t="shared" si="19"/>
        <v>471.66666666666663</v>
      </c>
      <c r="AF21" s="26">
        <f t="shared" si="19"/>
        <v>471.66666666666663</v>
      </c>
      <c r="AG21" s="26">
        <f t="shared" si="19"/>
        <v>471.66666666666663</v>
      </c>
      <c r="AH21" s="78">
        <f t="shared" si="21"/>
        <v>5660</v>
      </c>
      <c r="AI21" s="78">
        <v>5660</v>
      </c>
      <c r="AJ21" s="78"/>
      <c r="AK21" s="1630"/>
      <c r="AL21" s="1630"/>
      <c r="AM21" s="1630"/>
      <c r="AN21" s="1630"/>
      <c r="AO21" s="1631" t="s">
        <v>465</v>
      </c>
      <c r="AP21" s="1631" t="s">
        <v>3771</v>
      </c>
      <c r="AQ21" s="1631"/>
    </row>
    <row r="22" spans="1:43" ht="60">
      <c r="A22" s="73" t="s">
        <v>3779</v>
      </c>
      <c r="B22" s="1532" t="s">
        <v>3780</v>
      </c>
      <c r="C22" s="1627">
        <f t="shared" si="14"/>
        <v>72</v>
      </c>
      <c r="D22" s="1220" t="s">
        <v>3781</v>
      </c>
      <c r="E22" s="1532" t="s">
        <v>3782</v>
      </c>
      <c r="F22" s="1628" t="s">
        <v>3783</v>
      </c>
      <c r="G22" s="1629">
        <f t="shared" si="0"/>
        <v>5.0000529778870293</v>
      </c>
      <c r="H22" s="1629"/>
      <c r="I22" s="24">
        <f t="shared" si="15"/>
        <v>13.158041490073611</v>
      </c>
      <c r="J22" s="1220">
        <v>6</v>
      </c>
      <c r="K22" s="1220">
        <v>6</v>
      </c>
      <c r="L22" s="1220">
        <v>6</v>
      </c>
      <c r="M22" s="26">
        <v>1965</v>
      </c>
      <c r="N22" s="26">
        <v>1965</v>
      </c>
      <c r="O22" s="26">
        <v>1965</v>
      </c>
      <c r="P22" s="23">
        <v>6</v>
      </c>
      <c r="Q22" s="23">
        <v>6</v>
      </c>
      <c r="R22" s="23">
        <v>6</v>
      </c>
      <c r="S22" s="26">
        <v>1965</v>
      </c>
      <c r="T22" s="26">
        <v>1965</v>
      </c>
      <c r="U22" s="26">
        <v>1965</v>
      </c>
      <c r="V22" s="1220">
        <v>6</v>
      </c>
      <c r="W22" s="1220">
        <v>6</v>
      </c>
      <c r="X22" s="1220">
        <v>6</v>
      </c>
      <c r="Y22" s="26">
        <v>1965</v>
      </c>
      <c r="Z22" s="26">
        <v>1965</v>
      </c>
      <c r="AA22" s="26">
        <v>1965</v>
      </c>
      <c r="AB22" s="1220">
        <v>6</v>
      </c>
      <c r="AC22" s="1220">
        <v>6</v>
      </c>
      <c r="AD22" s="1220">
        <v>6</v>
      </c>
      <c r="AE22" s="26">
        <v>1965</v>
      </c>
      <c r="AF22" s="26">
        <v>1965</v>
      </c>
      <c r="AG22" s="26">
        <v>1980</v>
      </c>
      <c r="AH22" s="78">
        <f t="shared" ref="AH22:AH25" si="22">AI22</f>
        <v>23595</v>
      </c>
      <c r="AI22" s="78">
        <v>23595</v>
      </c>
      <c r="AJ22" s="1630"/>
      <c r="AK22" s="1630"/>
      <c r="AL22" s="1630"/>
      <c r="AM22" s="1630"/>
      <c r="AN22" s="1630"/>
      <c r="AO22" s="1631" t="s">
        <v>465</v>
      </c>
      <c r="AP22" s="1631" t="s">
        <v>3784</v>
      </c>
      <c r="AQ22" s="1631"/>
    </row>
    <row r="23" spans="1:43" ht="45">
      <c r="A23" s="73" t="s">
        <v>3785</v>
      </c>
      <c r="B23" s="1532" t="s">
        <v>3786</v>
      </c>
      <c r="C23" s="1627">
        <f t="shared" si="14"/>
        <v>60</v>
      </c>
      <c r="D23" s="1220" t="s">
        <v>944</v>
      </c>
      <c r="E23" s="1532" t="s">
        <v>3787</v>
      </c>
      <c r="F23" s="1628" t="s">
        <v>3788</v>
      </c>
      <c r="G23" s="1629">
        <f t="shared" si="0"/>
        <v>3.9998304707615042</v>
      </c>
      <c r="H23" s="1629"/>
      <c r="I23" s="24">
        <f t="shared" si="15"/>
        <v>10.525875529779166</v>
      </c>
      <c r="J23" s="1220">
        <v>5</v>
      </c>
      <c r="K23" s="1220">
        <v>5</v>
      </c>
      <c r="L23" s="1220">
        <v>5</v>
      </c>
      <c r="M23" s="26">
        <v>1575</v>
      </c>
      <c r="N23" s="26">
        <v>1575</v>
      </c>
      <c r="O23" s="26">
        <v>1575</v>
      </c>
      <c r="P23" s="23">
        <v>5</v>
      </c>
      <c r="Q23" s="23">
        <v>5</v>
      </c>
      <c r="R23" s="23">
        <v>5</v>
      </c>
      <c r="S23" s="26">
        <v>1575</v>
      </c>
      <c r="T23" s="26">
        <v>1575</v>
      </c>
      <c r="U23" s="26">
        <v>1575</v>
      </c>
      <c r="V23" s="1220">
        <v>5</v>
      </c>
      <c r="W23" s="1220">
        <v>5</v>
      </c>
      <c r="X23" s="1220">
        <v>5</v>
      </c>
      <c r="Y23" s="26">
        <v>1575</v>
      </c>
      <c r="Z23" s="26">
        <v>1575</v>
      </c>
      <c r="AA23" s="26">
        <v>1575</v>
      </c>
      <c r="AB23" s="1220">
        <v>5</v>
      </c>
      <c r="AC23" s="1220">
        <v>5</v>
      </c>
      <c r="AD23" s="1220">
        <v>5</v>
      </c>
      <c r="AE23" s="26">
        <v>1575</v>
      </c>
      <c r="AF23" s="26">
        <v>1575</v>
      </c>
      <c r="AG23" s="26">
        <v>1550</v>
      </c>
      <c r="AH23" s="78">
        <f t="shared" si="22"/>
        <v>18875</v>
      </c>
      <c r="AI23" s="78">
        <v>18875</v>
      </c>
      <c r="AJ23" s="1630"/>
      <c r="AK23" s="1630"/>
      <c r="AL23" s="1630"/>
      <c r="AM23" s="1630"/>
      <c r="AN23" s="1630"/>
      <c r="AO23" s="1631" t="s">
        <v>465</v>
      </c>
      <c r="AP23" s="1631" t="s">
        <v>3789</v>
      </c>
      <c r="AQ23" s="1631"/>
    </row>
    <row r="24" spans="1:43" ht="45">
      <c r="A24" s="73" t="s">
        <v>3790</v>
      </c>
      <c r="B24" s="1532" t="s">
        <v>3791</v>
      </c>
      <c r="C24" s="1627">
        <f t="shared" si="14"/>
        <v>84</v>
      </c>
      <c r="D24" s="1220" t="s">
        <v>3792</v>
      </c>
      <c r="E24" s="1532" t="s">
        <v>3793</v>
      </c>
      <c r="F24" s="1628" t="s">
        <v>3794</v>
      </c>
      <c r="G24" s="1629">
        <f t="shared" si="0"/>
        <v>2.9996079636359783</v>
      </c>
      <c r="H24" s="1629"/>
      <c r="I24" s="24">
        <f t="shared" si="15"/>
        <v>7.893709569484721</v>
      </c>
      <c r="J24" s="1220">
        <v>7</v>
      </c>
      <c r="K24" s="1220">
        <v>7</v>
      </c>
      <c r="L24" s="1220">
        <v>7</v>
      </c>
      <c r="M24" s="26">
        <v>1180</v>
      </c>
      <c r="N24" s="26">
        <v>1180</v>
      </c>
      <c r="O24" s="26">
        <v>1180</v>
      </c>
      <c r="P24" s="23">
        <v>7</v>
      </c>
      <c r="Q24" s="23">
        <v>7</v>
      </c>
      <c r="R24" s="23">
        <v>7</v>
      </c>
      <c r="S24" s="26">
        <v>1180</v>
      </c>
      <c r="T24" s="26">
        <v>1180</v>
      </c>
      <c r="U24" s="26">
        <v>1180</v>
      </c>
      <c r="V24" s="1220">
        <v>7</v>
      </c>
      <c r="W24" s="1220">
        <v>7</v>
      </c>
      <c r="X24" s="1220">
        <v>7</v>
      </c>
      <c r="Y24" s="26">
        <v>1180</v>
      </c>
      <c r="Z24" s="26">
        <v>1180</v>
      </c>
      <c r="AA24" s="26">
        <v>1180</v>
      </c>
      <c r="AB24" s="1220">
        <v>7</v>
      </c>
      <c r="AC24" s="1220">
        <v>7</v>
      </c>
      <c r="AD24" s="1220">
        <v>7</v>
      </c>
      <c r="AE24" s="26">
        <v>1180</v>
      </c>
      <c r="AF24" s="26">
        <v>1180</v>
      </c>
      <c r="AG24" s="26">
        <v>1175</v>
      </c>
      <c r="AH24" s="78">
        <f t="shared" si="22"/>
        <v>14155</v>
      </c>
      <c r="AI24" s="78">
        <v>14155</v>
      </c>
      <c r="AJ24" s="1630"/>
      <c r="AK24" s="1630"/>
      <c r="AL24" s="1630"/>
      <c r="AM24" s="1630"/>
      <c r="AN24" s="1630"/>
      <c r="AO24" s="1631" t="s">
        <v>465</v>
      </c>
      <c r="AP24" s="1631" t="s">
        <v>3789</v>
      </c>
      <c r="AQ24" s="1631"/>
    </row>
    <row r="25" spans="1:43" ht="75">
      <c r="A25" s="73" t="s">
        <v>3795</v>
      </c>
      <c r="B25" s="1532" t="s">
        <v>3796</v>
      </c>
      <c r="C25" s="1627">
        <f t="shared" si="14"/>
        <v>1200</v>
      </c>
      <c r="D25" s="1220" t="s">
        <v>3797</v>
      </c>
      <c r="E25" s="1532" t="s">
        <v>3798</v>
      </c>
      <c r="F25" s="1628" t="s">
        <v>3799</v>
      </c>
      <c r="G25" s="1629">
        <f t="shared" si="0"/>
        <v>6.0002754850125557</v>
      </c>
      <c r="H25" s="1629"/>
      <c r="I25" s="24">
        <f t="shared" si="15"/>
        <v>15.790207450368058</v>
      </c>
      <c r="J25" s="1220">
        <v>100</v>
      </c>
      <c r="K25" s="1220">
        <v>100</v>
      </c>
      <c r="L25" s="1220">
        <v>100</v>
      </c>
      <c r="M25" s="26">
        <v>2360</v>
      </c>
      <c r="N25" s="26">
        <v>2360</v>
      </c>
      <c r="O25" s="26">
        <v>2360</v>
      </c>
      <c r="P25" s="23">
        <v>100</v>
      </c>
      <c r="Q25" s="23">
        <v>100</v>
      </c>
      <c r="R25" s="23">
        <v>100</v>
      </c>
      <c r="S25" s="26">
        <v>2360</v>
      </c>
      <c r="T25" s="26">
        <v>2360</v>
      </c>
      <c r="U25" s="26">
        <v>2360</v>
      </c>
      <c r="V25" s="1220">
        <v>100</v>
      </c>
      <c r="W25" s="1220">
        <v>100</v>
      </c>
      <c r="X25" s="1220">
        <v>100</v>
      </c>
      <c r="Y25" s="26">
        <v>2360</v>
      </c>
      <c r="Z25" s="26">
        <v>2360</v>
      </c>
      <c r="AA25" s="26">
        <v>2360</v>
      </c>
      <c r="AB25" s="1220">
        <v>100</v>
      </c>
      <c r="AC25" s="1220">
        <v>100</v>
      </c>
      <c r="AD25" s="1220">
        <v>100</v>
      </c>
      <c r="AE25" s="26">
        <v>2360</v>
      </c>
      <c r="AF25" s="26">
        <v>2360</v>
      </c>
      <c r="AG25" s="26">
        <v>2355</v>
      </c>
      <c r="AH25" s="78">
        <f t="shared" si="22"/>
        <v>28315</v>
      </c>
      <c r="AI25" s="78">
        <v>28315</v>
      </c>
      <c r="AJ25" s="1630"/>
      <c r="AK25" s="1630"/>
      <c r="AL25" s="1630"/>
      <c r="AM25" s="1630"/>
      <c r="AN25" s="1630"/>
      <c r="AO25" s="1631" t="s">
        <v>465</v>
      </c>
      <c r="AP25" s="1631" t="s">
        <v>3800</v>
      </c>
      <c r="AQ25" s="1631"/>
    </row>
    <row r="26" spans="1:43" ht="15">
      <c r="A26" s="67" t="s">
        <v>3801</v>
      </c>
      <c r="B26" s="1539" t="s">
        <v>3802</v>
      </c>
      <c r="C26" s="372"/>
      <c r="D26" s="1364"/>
      <c r="E26" s="1539"/>
      <c r="F26" s="1625"/>
      <c r="G26" s="20">
        <f t="shared" si="0"/>
        <v>30.000317867322181</v>
      </c>
      <c r="H26" s="20"/>
      <c r="I26" s="20"/>
      <c r="J26" s="19"/>
      <c r="K26" s="19"/>
      <c r="L26" s="19"/>
      <c r="M26" s="21">
        <f>SUM(M27:M31)</f>
        <v>9371.2162162162167</v>
      </c>
      <c r="N26" s="21">
        <f t="shared" ref="N26:O26" si="23">SUM(N27:N31)</f>
        <v>12801.216216216217</v>
      </c>
      <c r="O26" s="21">
        <f t="shared" si="23"/>
        <v>13280.067567567567</v>
      </c>
      <c r="P26" s="19"/>
      <c r="Q26" s="19"/>
      <c r="R26" s="19"/>
      <c r="S26" s="21">
        <f t="shared" ref="S26:U26" si="24">SUM(S27:S31)</f>
        <v>9156.2162162162167</v>
      </c>
      <c r="T26" s="21">
        <f t="shared" si="24"/>
        <v>12856.216216216217</v>
      </c>
      <c r="U26" s="21">
        <f t="shared" si="24"/>
        <v>13175.067567567567</v>
      </c>
      <c r="V26" s="19"/>
      <c r="W26" s="19"/>
      <c r="X26" s="19"/>
      <c r="Y26" s="21">
        <f t="shared" ref="Y26:AA26" si="25">SUM(Y27:Y31)</f>
        <v>9421.2162162162167</v>
      </c>
      <c r="Z26" s="21">
        <f t="shared" si="25"/>
        <v>12856.216216216217</v>
      </c>
      <c r="AA26" s="21">
        <f t="shared" si="25"/>
        <v>13175.067567567567</v>
      </c>
      <c r="AB26" s="19"/>
      <c r="AC26" s="19"/>
      <c r="AD26" s="19"/>
      <c r="AE26" s="21">
        <f t="shared" ref="AE26:AI26" si="26">SUM(AE27:AE31)</f>
        <v>9421.2162162162167</v>
      </c>
      <c r="AF26" s="21">
        <f t="shared" si="26"/>
        <v>12856.216216216217</v>
      </c>
      <c r="AG26" s="21">
        <f t="shared" si="26"/>
        <v>13200.067567567567</v>
      </c>
      <c r="AH26" s="21">
        <f t="shared" si="26"/>
        <v>141570</v>
      </c>
      <c r="AI26" s="21">
        <f t="shared" si="26"/>
        <v>141570</v>
      </c>
      <c r="AJ26" s="21"/>
      <c r="AK26" s="21"/>
      <c r="AL26" s="21"/>
      <c r="AM26" s="21"/>
      <c r="AN26" s="21"/>
      <c r="AO26" s="18"/>
      <c r="AP26" s="18"/>
      <c r="AQ26" s="18"/>
    </row>
    <row r="27" spans="1:43" ht="60">
      <c r="A27" s="73" t="s">
        <v>3803</v>
      </c>
      <c r="B27" s="1532" t="s">
        <v>3804</v>
      </c>
      <c r="C27" s="1627">
        <f>SUM(J27,K27,L27,P27,Q27,R27,V27,W27,X27,AB27,AC27,AD27)</f>
        <v>60</v>
      </c>
      <c r="D27" s="1220" t="s">
        <v>3805</v>
      </c>
      <c r="E27" s="1532" t="s">
        <v>3806</v>
      </c>
      <c r="F27" s="1628" t="s">
        <v>3807</v>
      </c>
      <c r="G27" s="1629">
        <f t="shared" si="0"/>
        <v>3.9998304707615042</v>
      </c>
      <c r="H27" s="1629"/>
      <c r="I27" s="24">
        <f>AH27/AH$26*100</f>
        <v>13.332626968990605</v>
      </c>
      <c r="J27" s="1220">
        <v>5</v>
      </c>
      <c r="K27" s="1220">
        <v>5</v>
      </c>
      <c r="L27" s="1220">
        <v>5</v>
      </c>
      <c r="M27" s="26">
        <v>1575</v>
      </c>
      <c r="N27" s="26">
        <v>1575</v>
      </c>
      <c r="O27" s="26">
        <v>1575</v>
      </c>
      <c r="P27" s="23">
        <v>5</v>
      </c>
      <c r="Q27" s="23">
        <v>5</v>
      </c>
      <c r="R27" s="23">
        <v>5</v>
      </c>
      <c r="S27" s="26">
        <v>1575</v>
      </c>
      <c r="T27" s="26">
        <v>1575</v>
      </c>
      <c r="U27" s="26">
        <v>1575</v>
      </c>
      <c r="V27" s="1220">
        <v>5</v>
      </c>
      <c r="W27" s="1220">
        <v>5</v>
      </c>
      <c r="X27" s="1220">
        <v>5</v>
      </c>
      <c r="Y27" s="26">
        <v>1575</v>
      </c>
      <c r="Z27" s="26">
        <v>1575</v>
      </c>
      <c r="AA27" s="26">
        <v>1575</v>
      </c>
      <c r="AB27" s="1220">
        <v>5</v>
      </c>
      <c r="AC27" s="1220">
        <v>5</v>
      </c>
      <c r="AD27" s="1220">
        <v>5</v>
      </c>
      <c r="AE27" s="26">
        <v>1575</v>
      </c>
      <c r="AF27" s="26">
        <v>1575</v>
      </c>
      <c r="AG27" s="26">
        <v>1550</v>
      </c>
      <c r="AH27" s="78">
        <f>AI27</f>
        <v>18875</v>
      </c>
      <c r="AI27" s="78">
        <v>18875</v>
      </c>
      <c r="AJ27" s="1630"/>
      <c r="AK27" s="1630"/>
      <c r="AL27" s="1630"/>
      <c r="AM27" s="1630"/>
      <c r="AN27" s="1630"/>
      <c r="AO27" s="1631" t="s">
        <v>465</v>
      </c>
      <c r="AP27" s="1631" t="s">
        <v>3808</v>
      </c>
      <c r="AQ27" s="1631"/>
    </row>
    <row r="28" spans="1:43" ht="90">
      <c r="A28" s="73" t="s">
        <v>3809</v>
      </c>
      <c r="B28" s="1532" t="s">
        <v>3810</v>
      </c>
      <c r="C28" s="1627">
        <f>SUM(J28,K28,L28,P28,Q28,R28,V28,W28,X28,AB28,AC28,AD28)</f>
        <v>148</v>
      </c>
      <c r="D28" s="1220" t="s">
        <v>3811</v>
      </c>
      <c r="E28" s="1628" t="s">
        <v>3812</v>
      </c>
      <c r="F28" s="1628" t="s">
        <v>3813</v>
      </c>
      <c r="G28" s="1629">
        <f t="shared" si="0"/>
        <v>10.000105955774059</v>
      </c>
      <c r="H28" s="1629"/>
      <c r="I28" s="24">
        <f t="shared" ref="I28:I31" si="27">AH28/AH$26*100</f>
        <v>33.333333333333329</v>
      </c>
      <c r="J28" s="1220">
        <v>12</v>
      </c>
      <c r="K28" s="1220">
        <v>12</v>
      </c>
      <c r="L28" s="1220">
        <v>13</v>
      </c>
      <c r="M28" s="26">
        <f t="shared" ref="M28:O28" si="28">$AI28/$C28*J28</f>
        <v>3826.2162162162163</v>
      </c>
      <c r="N28" s="26">
        <f t="shared" si="28"/>
        <v>3826.2162162162163</v>
      </c>
      <c r="O28" s="26">
        <f t="shared" si="28"/>
        <v>4145.0675675675675</v>
      </c>
      <c r="P28" s="23">
        <v>12</v>
      </c>
      <c r="Q28" s="23">
        <v>12</v>
      </c>
      <c r="R28" s="23">
        <v>13</v>
      </c>
      <c r="S28" s="26">
        <f t="shared" ref="S28:U28" si="29">$AI28/$C28*P28</f>
        <v>3826.2162162162163</v>
      </c>
      <c r="T28" s="26">
        <f t="shared" si="29"/>
        <v>3826.2162162162163</v>
      </c>
      <c r="U28" s="26">
        <f t="shared" si="29"/>
        <v>4145.0675675675675</v>
      </c>
      <c r="V28" s="1220">
        <v>12</v>
      </c>
      <c r="W28" s="1220">
        <v>12</v>
      </c>
      <c r="X28" s="1220">
        <v>13</v>
      </c>
      <c r="Y28" s="26">
        <f t="shared" ref="Y28:AA28" si="30">$AI28/$C28*V28</f>
        <v>3826.2162162162163</v>
      </c>
      <c r="Z28" s="26">
        <f t="shared" si="30"/>
        <v>3826.2162162162163</v>
      </c>
      <c r="AA28" s="26">
        <f t="shared" si="30"/>
        <v>4145.0675675675675</v>
      </c>
      <c r="AB28" s="1220">
        <v>12</v>
      </c>
      <c r="AC28" s="1220">
        <v>12</v>
      </c>
      <c r="AD28" s="1220">
        <v>13</v>
      </c>
      <c r="AE28" s="26">
        <f t="shared" ref="AE28:AG28" si="31">$AI28/$C28*AB28</f>
        <v>3826.2162162162163</v>
      </c>
      <c r="AF28" s="26">
        <f t="shared" si="31"/>
        <v>3826.2162162162163</v>
      </c>
      <c r="AG28" s="26">
        <f t="shared" si="31"/>
        <v>4145.0675675675675</v>
      </c>
      <c r="AH28" s="78">
        <f>SUM(M28,N28,O28,S28,T28,U28,Y28,Z28,AA28,AE28,AF28,AG28)</f>
        <v>47189.999999999993</v>
      </c>
      <c r="AI28" s="78">
        <v>47190</v>
      </c>
      <c r="AJ28" s="1630"/>
      <c r="AK28" s="1630"/>
      <c r="AL28" s="1630"/>
      <c r="AM28" s="1630"/>
      <c r="AN28" s="1630"/>
      <c r="AO28" s="1631" t="s">
        <v>465</v>
      </c>
      <c r="AP28" s="1631" t="s">
        <v>3808</v>
      </c>
      <c r="AQ28" s="1631"/>
    </row>
    <row r="29" spans="1:43" ht="75">
      <c r="A29" s="73" t="s">
        <v>3814</v>
      </c>
      <c r="B29" s="1541" t="s">
        <v>3815</v>
      </c>
      <c r="C29" s="1627">
        <f>SUM(J29,K29,L29,P29,Q29,R29,V29,W29,X29,AB29,AC29,AD29)</f>
        <v>352</v>
      </c>
      <c r="D29" s="1632" t="s">
        <v>3816</v>
      </c>
      <c r="E29" s="1541" t="s">
        <v>3817</v>
      </c>
      <c r="F29" s="1633" t="s">
        <v>3818</v>
      </c>
      <c r="G29" s="1629">
        <f t="shared" si="0"/>
        <v>3.9998304707615042</v>
      </c>
      <c r="H29" s="1629"/>
      <c r="I29" s="24">
        <f t="shared" si="27"/>
        <v>13.332626968990605</v>
      </c>
      <c r="J29" s="1220">
        <v>30</v>
      </c>
      <c r="K29" s="1220">
        <v>28</v>
      </c>
      <c r="L29" s="1220">
        <v>31</v>
      </c>
      <c r="M29" s="26">
        <v>1610</v>
      </c>
      <c r="N29" s="26">
        <v>1500</v>
      </c>
      <c r="O29" s="26">
        <v>1660</v>
      </c>
      <c r="P29" s="23">
        <v>26</v>
      </c>
      <c r="Q29" s="23">
        <v>29</v>
      </c>
      <c r="R29" s="23">
        <v>29</v>
      </c>
      <c r="S29" s="26">
        <v>1395</v>
      </c>
      <c r="T29" s="26">
        <v>1555</v>
      </c>
      <c r="U29" s="26">
        <v>1555</v>
      </c>
      <c r="V29" s="1220">
        <v>31</v>
      </c>
      <c r="W29" s="1220">
        <v>29</v>
      </c>
      <c r="X29" s="1220">
        <v>29</v>
      </c>
      <c r="Y29" s="26">
        <v>1660</v>
      </c>
      <c r="Z29" s="26">
        <v>1555</v>
      </c>
      <c r="AA29" s="26">
        <v>1555</v>
      </c>
      <c r="AB29" s="1220">
        <v>31</v>
      </c>
      <c r="AC29" s="1220">
        <v>29</v>
      </c>
      <c r="AD29" s="1220">
        <v>30</v>
      </c>
      <c r="AE29" s="26">
        <v>1660</v>
      </c>
      <c r="AF29" s="26">
        <v>1555</v>
      </c>
      <c r="AG29" s="26">
        <v>1615</v>
      </c>
      <c r="AH29" s="78">
        <f t="shared" ref="AH29:AH31" si="32">AI29</f>
        <v>18875</v>
      </c>
      <c r="AI29" s="78">
        <v>18875</v>
      </c>
      <c r="AJ29" s="1630"/>
      <c r="AK29" s="1630"/>
      <c r="AL29" s="1630"/>
      <c r="AM29" s="1630"/>
      <c r="AN29" s="1630"/>
      <c r="AO29" s="1631" t="s">
        <v>465</v>
      </c>
      <c r="AP29" s="1631" t="s">
        <v>3808</v>
      </c>
      <c r="AQ29" s="1631"/>
    </row>
    <row r="30" spans="1:43" ht="45">
      <c r="A30" s="73" t="s">
        <v>3819</v>
      </c>
      <c r="B30" s="1532" t="s">
        <v>3820</v>
      </c>
      <c r="C30" s="1627">
        <f>SUM(J30,K30,L30,P30,Q30,R30,V30,W30,X30,AB30,AC30,AD30)</f>
        <v>8</v>
      </c>
      <c r="D30" s="1220" t="s">
        <v>3781</v>
      </c>
      <c r="E30" s="1532" t="s">
        <v>3821</v>
      </c>
      <c r="F30" s="1628" t="s">
        <v>3783</v>
      </c>
      <c r="G30" s="1629">
        <f t="shared" si="0"/>
        <v>6.0002754850125557</v>
      </c>
      <c r="H30" s="1629"/>
      <c r="I30" s="24">
        <f t="shared" si="27"/>
        <v>20.000706364342726</v>
      </c>
      <c r="J30" s="1220"/>
      <c r="K30" s="1220">
        <v>1</v>
      </c>
      <c r="L30" s="1220">
        <v>1</v>
      </c>
      <c r="M30" s="26"/>
      <c r="N30" s="26">
        <v>3540</v>
      </c>
      <c r="O30" s="26">
        <v>3540</v>
      </c>
      <c r="P30" s="23"/>
      <c r="Q30" s="23">
        <v>1</v>
      </c>
      <c r="R30" s="23">
        <v>1</v>
      </c>
      <c r="S30" s="26"/>
      <c r="T30" s="26">
        <v>3540</v>
      </c>
      <c r="U30" s="26">
        <v>3540</v>
      </c>
      <c r="V30" s="1220"/>
      <c r="W30" s="1220">
        <v>1</v>
      </c>
      <c r="X30" s="1220">
        <v>1</v>
      </c>
      <c r="Y30" s="26"/>
      <c r="Z30" s="26">
        <v>3540</v>
      </c>
      <c r="AA30" s="26">
        <v>3540</v>
      </c>
      <c r="AB30" s="1220"/>
      <c r="AC30" s="1220">
        <v>1</v>
      </c>
      <c r="AD30" s="1220">
        <v>1</v>
      </c>
      <c r="AE30" s="26"/>
      <c r="AF30" s="26">
        <v>3540</v>
      </c>
      <c r="AG30" s="26">
        <v>3535</v>
      </c>
      <c r="AH30" s="78">
        <f t="shared" si="32"/>
        <v>28315</v>
      </c>
      <c r="AI30" s="78">
        <v>28315</v>
      </c>
      <c r="AJ30" s="1630"/>
      <c r="AK30" s="1630"/>
      <c r="AL30" s="1630"/>
      <c r="AM30" s="1630"/>
      <c r="AN30" s="1630"/>
      <c r="AO30" s="1631" t="s">
        <v>465</v>
      </c>
      <c r="AP30" s="1631" t="s">
        <v>3822</v>
      </c>
      <c r="AQ30" s="1631"/>
    </row>
    <row r="31" spans="1:43" ht="45">
      <c r="A31" s="73" t="s">
        <v>3823</v>
      </c>
      <c r="B31" s="1532" t="s">
        <v>3824</v>
      </c>
      <c r="C31" s="1627">
        <f>SUM(J31,K31,L31,P31,Q31,R31,V31,W31,X31,AB31,AC31,AD31)</f>
        <v>48</v>
      </c>
      <c r="D31" s="1220" t="s">
        <v>1189</v>
      </c>
      <c r="E31" s="1532" t="s">
        <v>3825</v>
      </c>
      <c r="F31" s="1628" t="s">
        <v>3826</v>
      </c>
      <c r="G31" s="1629">
        <f t="shared" si="0"/>
        <v>6.0002754850125557</v>
      </c>
      <c r="H31" s="1629"/>
      <c r="I31" s="24">
        <f t="shared" si="27"/>
        <v>20.000706364342726</v>
      </c>
      <c r="J31" s="1220">
        <v>4</v>
      </c>
      <c r="K31" s="1220">
        <v>4</v>
      </c>
      <c r="L31" s="1220">
        <v>4</v>
      </c>
      <c r="M31" s="26">
        <v>2360</v>
      </c>
      <c r="N31" s="26">
        <v>2360</v>
      </c>
      <c r="O31" s="26">
        <v>2360</v>
      </c>
      <c r="P31" s="23">
        <v>4</v>
      </c>
      <c r="Q31" s="23">
        <v>4</v>
      </c>
      <c r="R31" s="23">
        <v>4</v>
      </c>
      <c r="S31" s="26">
        <v>2360</v>
      </c>
      <c r="T31" s="26">
        <v>2360</v>
      </c>
      <c r="U31" s="26">
        <v>2360</v>
      </c>
      <c r="V31" s="1220">
        <v>4</v>
      </c>
      <c r="W31" s="1220">
        <v>4</v>
      </c>
      <c r="X31" s="1220">
        <v>4</v>
      </c>
      <c r="Y31" s="26">
        <v>2360</v>
      </c>
      <c r="Z31" s="26">
        <v>2360</v>
      </c>
      <c r="AA31" s="26">
        <v>2360</v>
      </c>
      <c r="AB31" s="1220">
        <v>4</v>
      </c>
      <c r="AC31" s="1220">
        <v>4</v>
      </c>
      <c r="AD31" s="1220">
        <v>4</v>
      </c>
      <c r="AE31" s="26">
        <v>2360</v>
      </c>
      <c r="AF31" s="26">
        <v>2360</v>
      </c>
      <c r="AG31" s="26">
        <v>2355</v>
      </c>
      <c r="AH31" s="78">
        <f t="shared" si="32"/>
        <v>28315</v>
      </c>
      <c r="AI31" s="78">
        <v>28315</v>
      </c>
      <c r="AJ31" s="1630"/>
      <c r="AK31" s="1630"/>
      <c r="AL31" s="1630"/>
      <c r="AM31" s="1630"/>
      <c r="AN31" s="1630"/>
      <c r="AO31" s="1631" t="s">
        <v>465</v>
      </c>
      <c r="AP31" s="1631" t="s">
        <v>3827</v>
      </c>
      <c r="AQ31" s="1631"/>
    </row>
    <row r="32" spans="1:43" ht="15">
      <c r="A32" s="67" t="s">
        <v>3828</v>
      </c>
      <c r="B32" s="1539" t="s">
        <v>3829</v>
      </c>
      <c r="C32" s="372"/>
      <c r="D32" s="1364"/>
      <c r="E32" s="1539"/>
      <c r="F32" s="1625"/>
      <c r="G32" s="20">
        <f t="shared" si="0"/>
        <v>17.999766897297068</v>
      </c>
      <c r="H32" s="20"/>
      <c r="I32" s="20"/>
      <c r="J32" s="19"/>
      <c r="K32" s="19"/>
      <c r="L32" s="19"/>
      <c r="M32" s="21">
        <f>SUM(M33:M35)</f>
        <v>4660</v>
      </c>
      <c r="N32" s="21">
        <f t="shared" ref="N32:O32" si="33">SUM(N33:N35)</f>
        <v>8150</v>
      </c>
      <c r="O32" s="21">
        <f t="shared" si="33"/>
        <v>8150</v>
      </c>
      <c r="P32" s="19"/>
      <c r="Q32" s="19"/>
      <c r="R32" s="19"/>
      <c r="S32" s="21">
        <f t="shared" ref="S32:U32" si="34">SUM(S33:S35)</f>
        <v>5200</v>
      </c>
      <c r="T32" s="21">
        <f t="shared" si="34"/>
        <v>8150</v>
      </c>
      <c r="U32" s="21">
        <f t="shared" si="34"/>
        <v>8690</v>
      </c>
      <c r="V32" s="642"/>
      <c r="W32" s="642"/>
      <c r="X32" s="642"/>
      <c r="Y32" s="21">
        <f t="shared" ref="Y32:AA32" si="35">SUM(Y33:Y35)</f>
        <v>5200</v>
      </c>
      <c r="Z32" s="21">
        <f t="shared" si="35"/>
        <v>8150</v>
      </c>
      <c r="AA32" s="21">
        <f t="shared" si="35"/>
        <v>7610</v>
      </c>
      <c r="AB32" s="642"/>
      <c r="AC32" s="642"/>
      <c r="AD32" s="642"/>
      <c r="AE32" s="21">
        <f t="shared" ref="AE32:AI32" si="36">SUM(AE33:AE35)</f>
        <v>5200</v>
      </c>
      <c r="AF32" s="21">
        <f t="shared" si="36"/>
        <v>8150</v>
      </c>
      <c r="AG32" s="21">
        <f t="shared" si="36"/>
        <v>7630</v>
      </c>
      <c r="AH32" s="21">
        <f t="shared" si="36"/>
        <v>84940</v>
      </c>
      <c r="AI32" s="21">
        <f t="shared" si="36"/>
        <v>84940</v>
      </c>
      <c r="AJ32" s="21"/>
      <c r="AK32" s="21"/>
      <c r="AL32" s="21"/>
      <c r="AM32" s="21"/>
      <c r="AN32" s="21"/>
      <c r="AO32" s="18"/>
      <c r="AP32" s="18"/>
      <c r="AQ32" s="18"/>
    </row>
    <row r="33" spans="1:43" ht="45">
      <c r="A33" s="73" t="s">
        <v>3830</v>
      </c>
      <c r="B33" s="1532" t="s">
        <v>3831</v>
      </c>
      <c r="C33" s="1627">
        <f>SUM(J33,K33,L33,P33,Q33,R33,V33,W33,X33,AB33,AC33,AD33)</f>
        <v>70</v>
      </c>
      <c r="D33" s="1220" t="s">
        <v>944</v>
      </c>
      <c r="E33" s="1541" t="s">
        <v>3832</v>
      </c>
      <c r="F33" s="1628" t="s">
        <v>3833</v>
      </c>
      <c r="G33" s="1629">
        <f t="shared" si="0"/>
        <v>7.9996609415230084</v>
      </c>
      <c r="H33" s="1629"/>
      <c r="I33" s="24">
        <f>AH33/AH$32*100</f>
        <v>44.443136331528137</v>
      </c>
      <c r="J33" s="1220">
        <v>5</v>
      </c>
      <c r="K33" s="1220">
        <v>6</v>
      </c>
      <c r="L33" s="1220">
        <v>6</v>
      </c>
      <c r="M33" s="26">
        <v>2695</v>
      </c>
      <c r="N33" s="26">
        <v>3235</v>
      </c>
      <c r="O33" s="26">
        <v>3235</v>
      </c>
      <c r="P33" s="1220">
        <v>6</v>
      </c>
      <c r="Q33" s="1220">
        <v>6</v>
      </c>
      <c r="R33" s="1220">
        <v>7</v>
      </c>
      <c r="S33" s="26">
        <v>3235</v>
      </c>
      <c r="T33" s="26">
        <v>3235</v>
      </c>
      <c r="U33" s="26">
        <v>3775</v>
      </c>
      <c r="V33" s="1220">
        <v>6</v>
      </c>
      <c r="W33" s="1220">
        <v>6</v>
      </c>
      <c r="X33" s="1220">
        <v>5</v>
      </c>
      <c r="Y33" s="26">
        <v>3235</v>
      </c>
      <c r="Z33" s="26">
        <v>3235</v>
      </c>
      <c r="AA33" s="26">
        <v>2695</v>
      </c>
      <c r="AB33" s="1220">
        <v>6</v>
      </c>
      <c r="AC33" s="1220">
        <v>6</v>
      </c>
      <c r="AD33" s="1220">
        <v>5</v>
      </c>
      <c r="AE33" s="26">
        <v>3235</v>
      </c>
      <c r="AF33" s="26">
        <v>3235</v>
      </c>
      <c r="AG33" s="26">
        <v>2705</v>
      </c>
      <c r="AH33" s="78">
        <f t="shared" ref="AH33:AH35" si="37">AI33</f>
        <v>37750</v>
      </c>
      <c r="AI33" s="78">
        <v>37750</v>
      </c>
      <c r="AJ33" s="1630"/>
      <c r="AK33" s="1630"/>
      <c r="AL33" s="1630"/>
      <c r="AM33" s="1630"/>
      <c r="AN33" s="1630"/>
      <c r="AO33" s="1631" t="s">
        <v>465</v>
      </c>
      <c r="AP33" s="1631" t="s">
        <v>3834</v>
      </c>
      <c r="AQ33" s="1631"/>
    </row>
    <row r="34" spans="1:43" ht="60">
      <c r="A34" s="73" t="s">
        <v>3835</v>
      </c>
      <c r="B34" s="1532" t="s">
        <v>3836</v>
      </c>
      <c r="C34" s="1627">
        <f>SUM(J34,K34,L34,P34,Q34,R34,V34,W34,X34,AB34,AC34,AD34)</f>
        <v>8</v>
      </c>
      <c r="D34" s="1220" t="s">
        <v>944</v>
      </c>
      <c r="E34" s="1532" t="s">
        <v>3837</v>
      </c>
      <c r="F34" s="1628" t="s">
        <v>3838</v>
      </c>
      <c r="G34" s="1629">
        <f t="shared" si="0"/>
        <v>5.0000529778870293</v>
      </c>
      <c r="H34" s="1629"/>
      <c r="I34" s="24">
        <f t="shared" ref="I34:I35" si="38">AH34/AH$32*100</f>
        <v>27.778431834235935</v>
      </c>
      <c r="J34" s="1220"/>
      <c r="K34" s="1220">
        <v>1</v>
      </c>
      <c r="L34" s="1220">
        <v>1</v>
      </c>
      <c r="M34" s="26"/>
      <c r="N34" s="26">
        <v>2950</v>
      </c>
      <c r="O34" s="26">
        <v>2950</v>
      </c>
      <c r="P34" s="1220"/>
      <c r="Q34" s="1220">
        <v>1</v>
      </c>
      <c r="R34" s="1220">
        <v>1</v>
      </c>
      <c r="S34" s="26">
        <v>0</v>
      </c>
      <c r="T34" s="26">
        <v>2950</v>
      </c>
      <c r="U34" s="26">
        <v>2950</v>
      </c>
      <c r="V34" s="1220"/>
      <c r="W34" s="1220">
        <v>1</v>
      </c>
      <c r="X34" s="1220">
        <v>1</v>
      </c>
      <c r="Y34" s="26"/>
      <c r="Z34" s="26">
        <v>2950</v>
      </c>
      <c r="AA34" s="26">
        <v>2950</v>
      </c>
      <c r="AB34" s="1220"/>
      <c r="AC34" s="1220">
        <v>1</v>
      </c>
      <c r="AD34" s="1220">
        <v>1</v>
      </c>
      <c r="AE34" s="26"/>
      <c r="AF34" s="26">
        <v>2950</v>
      </c>
      <c r="AG34" s="26">
        <v>2945</v>
      </c>
      <c r="AH34" s="78">
        <f t="shared" si="37"/>
        <v>23595</v>
      </c>
      <c r="AI34" s="78">
        <v>23595</v>
      </c>
      <c r="AJ34" s="1630"/>
      <c r="AK34" s="1630"/>
      <c r="AL34" s="1630"/>
      <c r="AM34" s="1630"/>
      <c r="AN34" s="1630"/>
      <c r="AO34" s="1631" t="s">
        <v>465</v>
      </c>
      <c r="AP34" s="1631" t="s">
        <v>3839</v>
      </c>
      <c r="AQ34" s="1631"/>
    </row>
    <row r="35" spans="1:43" ht="60">
      <c r="A35" s="73" t="s">
        <v>3840</v>
      </c>
      <c r="B35" s="1532" t="s">
        <v>3841</v>
      </c>
      <c r="C35" s="1627">
        <f>SUM(J35,K35,L35,P35,Q35,R35,V35,W35,X35,AB35,AC35,AD35)</f>
        <v>12</v>
      </c>
      <c r="D35" s="1220" t="s">
        <v>3842</v>
      </c>
      <c r="E35" s="1532" t="s">
        <v>3843</v>
      </c>
      <c r="F35" s="1628" t="s">
        <v>3844</v>
      </c>
      <c r="G35" s="1629">
        <f t="shared" si="0"/>
        <v>5.0000529778870293</v>
      </c>
      <c r="H35" s="1629"/>
      <c r="I35" s="24">
        <f t="shared" si="38"/>
        <v>27.778431834235935</v>
      </c>
      <c r="J35" s="1220">
        <v>1</v>
      </c>
      <c r="K35" s="1220">
        <v>1</v>
      </c>
      <c r="L35" s="1220">
        <v>1</v>
      </c>
      <c r="M35" s="26">
        <v>1965</v>
      </c>
      <c r="N35" s="26">
        <v>1965</v>
      </c>
      <c r="O35" s="26">
        <v>1965</v>
      </c>
      <c r="P35" s="1220">
        <v>1</v>
      </c>
      <c r="Q35" s="1220">
        <v>1</v>
      </c>
      <c r="R35" s="1220">
        <v>1</v>
      </c>
      <c r="S35" s="26">
        <v>1965</v>
      </c>
      <c r="T35" s="26">
        <v>1965</v>
      </c>
      <c r="U35" s="26">
        <v>1965</v>
      </c>
      <c r="V35" s="1220">
        <v>1</v>
      </c>
      <c r="W35" s="1220">
        <v>1</v>
      </c>
      <c r="X35" s="1220">
        <v>1</v>
      </c>
      <c r="Y35" s="26">
        <v>1965</v>
      </c>
      <c r="Z35" s="26">
        <v>1965</v>
      </c>
      <c r="AA35" s="26">
        <v>1965</v>
      </c>
      <c r="AB35" s="1220">
        <v>1</v>
      </c>
      <c r="AC35" s="1220">
        <v>1</v>
      </c>
      <c r="AD35" s="1220">
        <v>1</v>
      </c>
      <c r="AE35" s="26">
        <v>1965</v>
      </c>
      <c r="AF35" s="26">
        <v>1965</v>
      </c>
      <c r="AG35" s="26">
        <v>1980</v>
      </c>
      <c r="AH35" s="78">
        <f t="shared" si="37"/>
        <v>23595</v>
      </c>
      <c r="AI35" s="78">
        <v>23595</v>
      </c>
      <c r="AJ35" s="1630"/>
      <c r="AK35" s="1630"/>
      <c r="AL35" s="1630"/>
      <c r="AM35" s="1630"/>
      <c r="AN35" s="1630"/>
      <c r="AO35" s="1631" t="s">
        <v>465</v>
      </c>
      <c r="AP35" s="1631" t="s">
        <v>3839</v>
      </c>
      <c r="AQ35" s="1631"/>
    </row>
    <row r="36" spans="1:43" ht="15.6">
      <c r="A36" s="1634"/>
      <c r="B36" s="1635" t="s">
        <v>1728</v>
      </c>
      <c r="C36" s="15"/>
      <c r="D36" s="1635"/>
      <c r="E36" s="1635"/>
      <c r="F36" s="1635"/>
      <c r="G36" s="16"/>
      <c r="H36" s="16">
        <f>SUM(H10:H35)</f>
        <v>100</v>
      </c>
      <c r="I36" s="16"/>
      <c r="J36" s="15"/>
      <c r="K36" s="15"/>
      <c r="L36" s="15"/>
      <c r="M36" s="17">
        <f t="shared" ref="M36:O36" si="39">M15+M10</f>
        <v>28976.216216216217</v>
      </c>
      <c r="N36" s="17">
        <f t="shared" si="39"/>
        <v>35896.216216216213</v>
      </c>
      <c r="O36" s="17">
        <f t="shared" si="39"/>
        <v>36375.067567567567</v>
      </c>
      <c r="P36" s="15"/>
      <c r="Q36" s="15"/>
      <c r="R36" s="15"/>
      <c r="S36" s="17">
        <f>+S15+S10</f>
        <v>29301.216216216217</v>
      </c>
      <c r="T36" s="17">
        <f>+T15+T10</f>
        <v>35951.216216216213</v>
      </c>
      <c r="U36" s="17">
        <f>+U15+U10</f>
        <v>102875.06756756757</v>
      </c>
      <c r="V36" s="15"/>
      <c r="W36" s="15"/>
      <c r="X36" s="15"/>
      <c r="Y36" s="17">
        <f t="shared" ref="Y36:AA36" si="40">Y15+Y10</f>
        <v>29566.216216216217</v>
      </c>
      <c r="Z36" s="17">
        <f t="shared" si="40"/>
        <v>35951.216216216213</v>
      </c>
      <c r="AA36" s="17">
        <f t="shared" si="40"/>
        <v>35730.067567567567</v>
      </c>
      <c r="AB36" s="15"/>
      <c r="AC36" s="15"/>
      <c r="AD36" s="15"/>
      <c r="AE36" s="17">
        <f t="shared" ref="AE36:AH36" si="41">AE15+AE10</f>
        <v>29566.216216216217</v>
      </c>
      <c r="AF36" s="17">
        <f t="shared" si="41"/>
        <v>35951.216216216213</v>
      </c>
      <c r="AG36" s="17">
        <f t="shared" si="41"/>
        <v>35755.067567567567</v>
      </c>
      <c r="AH36" s="17">
        <f t="shared" si="41"/>
        <v>471895</v>
      </c>
      <c r="AI36" s="17">
        <f>AI15+AI10</f>
        <v>471895</v>
      </c>
      <c r="AJ36" s="17"/>
      <c r="AK36" s="17"/>
      <c r="AL36" s="17"/>
      <c r="AM36" s="17"/>
      <c r="AN36" s="17"/>
      <c r="AO36" s="14"/>
      <c r="AP36" s="14"/>
      <c r="AQ36" s="14"/>
    </row>
  </sheetData>
  <sheetProtection algorithmName="SHA-512" hashValue="10vS93hoPUKINawQW3Dz3diRHFbs/Q7p0GCRbedTEPTvuSnvVGsD/vVJBABtTa7jwnk0KVYdSUioa3OfXKkUrQ==" saltValue="jLbyvGLi2x42kawnw4tCyg==" spinCount="100000" sheet="1" objects="1" scenarios="1"/>
  <mergeCells count="35">
    <mergeCell ref="AM7:AM9"/>
    <mergeCell ref="J6:AH6"/>
    <mergeCell ref="AI6:AN6"/>
    <mergeCell ref="AO6:AO9"/>
    <mergeCell ref="AP6:AP9"/>
    <mergeCell ref="AN7:AN9"/>
    <mergeCell ref="J8:L8"/>
    <mergeCell ref="M8:O8"/>
    <mergeCell ref="P8:R8"/>
    <mergeCell ref="S8:U8"/>
    <mergeCell ref="V8:X8"/>
    <mergeCell ref="Y8:AA8"/>
    <mergeCell ref="AB8:AD8"/>
    <mergeCell ref="AE8:AG8"/>
    <mergeCell ref="AH7:AH9"/>
    <mergeCell ref="AI7:AI9"/>
    <mergeCell ref="AJ7:AJ9"/>
    <mergeCell ref="AK7:AK9"/>
    <mergeCell ref="AL7:AL9"/>
    <mergeCell ref="A1:AQ1"/>
    <mergeCell ref="A2:AQ2"/>
    <mergeCell ref="A6:A9"/>
    <mergeCell ref="B6:B9"/>
    <mergeCell ref="C6:C9"/>
    <mergeCell ref="D6:D9"/>
    <mergeCell ref="E6:E9"/>
    <mergeCell ref="F6:F9"/>
    <mergeCell ref="G6:G9"/>
    <mergeCell ref="H6:H9"/>
    <mergeCell ref="AQ6:AQ9"/>
    <mergeCell ref="J7:O7"/>
    <mergeCell ref="P7:U7"/>
    <mergeCell ref="V7:AA7"/>
    <mergeCell ref="AB7:AG7"/>
    <mergeCell ref="I6:I9"/>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8"/>
  <sheetViews>
    <sheetView workbookViewId="0">
      <selection activeCell="E13" sqref="E13"/>
    </sheetView>
  </sheetViews>
  <sheetFormatPr baseColWidth="10" defaultRowHeight="14.4"/>
  <cols>
    <col min="1" max="1" width="19.6640625" bestFit="1" customWidth="1"/>
    <col min="2" max="2" width="29.88671875" customWidth="1"/>
    <col min="3" max="3" width="11.33203125" bestFit="1" customWidth="1"/>
    <col min="4" max="4" width="16.5546875" bestFit="1" customWidth="1"/>
    <col min="5" max="5" width="31.6640625" customWidth="1"/>
    <col min="6" max="6" width="17.33203125" customWidth="1"/>
    <col min="7" max="7" width="8.88671875" customWidth="1"/>
    <col min="8" max="8" width="9.109375" customWidth="1"/>
    <col min="9" max="9" width="10.5546875" customWidth="1"/>
    <col min="10" max="11" width="3.6640625" bestFit="1" customWidth="1"/>
    <col min="12" max="12" width="4.109375" bestFit="1" customWidth="1"/>
    <col min="13" max="15" width="6.6640625" customWidth="1"/>
    <col min="16" max="16" width="4" bestFit="1" customWidth="1"/>
    <col min="17" max="17" width="4.109375" bestFit="1" customWidth="1"/>
    <col min="18" max="18" width="3.44140625" bestFit="1" customWidth="1"/>
    <col min="19" max="21" width="5.109375" customWidth="1"/>
    <col min="22" max="22" width="3.6640625" bestFit="1" customWidth="1"/>
    <col min="23" max="23" width="4.33203125" bestFit="1" customWidth="1"/>
    <col min="24" max="24" width="6.33203125" bestFit="1" customWidth="1"/>
    <col min="25" max="26" width="10.33203125" bestFit="1" customWidth="1"/>
    <col min="27" max="27" width="11.44140625" customWidth="1"/>
    <col min="28" max="30" width="5.88671875" bestFit="1" customWidth="1"/>
    <col min="31" max="31" width="11.33203125" bestFit="1" customWidth="1"/>
    <col min="32" max="32" width="11.5546875" customWidth="1"/>
    <col min="33" max="34" width="11.6640625" bestFit="1" customWidth="1"/>
    <col min="35" max="35" width="13.109375" bestFit="1" customWidth="1"/>
    <col min="36" max="36" width="7" customWidth="1"/>
    <col min="37" max="37" width="6.33203125" customWidth="1"/>
    <col min="38" max="38" width="5.109375" customWidth="1"/>
    <col min="39" max="39" width="11.6640625" customWidth="1"/>
    <col min="40" max="40" width="8.44140625" customWidth="1"/>
    <col min="41" max="41" width="16.6640625" customWidth="1"/>
    <col min="42" max="42" width="20.109375" customWidth="1"/>
    <col min="43" max="43" width="17.88671875" customWidth="1"/>
  </cols>
  <sheetData>
    <row r="1" spans="1:43" ht="17.399999999999999">
      <c r="A1" s="1937" t="s">
        <v>0</v>
      </c>
      <c r="B1" s="1937"/>
      <c r="C1" s="1937"/>
      <c r="D1" s="1937"/>
      <c r="E1" s="1937"/>
      <c r="F1" s="1937"/>
      <c r="G1" s="1937"/>
      <c r="H1" s="1937"/>
      <c r="I1" s="1937"/>
      <c r="J1" s="1937"/>
      <c r="K1" s="1937"/>
      <c r="L1" s="1937"/>
      <c r="M1" s="1937"/>
      <c r="N1" s="1937"/>
      <c r="O1" s="1937"/>
      <c r="P1" s="1937"/>
      <c r="Q1" s="1937"/>
      <c r="R1" s="1937"/>
      <c r="S1" s="1937"/>
      <c r="T1" s="1937"/>
      <c r="U1" s="1937"/>
      <c r="V1" s="1937"/>
      <c r="W1" s="1937"/>
      <c r="X1" s="1937"/>
      <c r="Y1" s="1937"/>
      <c r="Z1" s="1937"/>
      <c r="AA1" s="1937"/>
      <c r="AB1" s="1937"/>
      <c r="AC1" s="1937"/>
      <c r="AD1" s="1937"/>
      <c r="AE1" s="1937"/>
      <c r="AF1" s="1937"/>
      <c r="AG1" s="1937"/>
      <c r="AH1" s="1937"/>
      <c r="AI1" s="1937"/>
      <c r="AJ1" s="1937"/>
      <c r="AK1" s="1937"/>
      <c r="AL1" s="1937"/>
      <c r="AM1" s="1937"/>
      <c r="AN1" s="1937"/>
      <c r="AO1" s="1937"/>
      <c r="AP1" s="1937"/>
      <c r="AQ1" s="1937"/>
    </row>
    <row r="2" spans="1:43" ht="17.399999999999999">
      <c r="A2" s="1937" t="s">
        <v>3845</v>
      </c>
      <c r="B2" s="1937"/>
      <c r="C2" s="1937"/>
      <c r="D2" s="1937"/>
      <c r="E2" s="1937"/>
      <c r="F2" s="1937"/>
      <c r="G2" s="1937"/>
      <c r="H2" s="1937"/>
      <c r="I2" s="1937"/>
      <c r="J2" s="1937"/>
      <c r="K2" s="1937"/>
      <c r="L2" s="1937"/>
      <c r="M2" s="1937"/>
      <c r="N2" s="1937"/>
      <c r="O2" s="1937"/>
      <c r="P2" s="1937"/>
      <c r="Q2" s="1937"/>
      <c r="R2" s="1937"/>
      <c r="S2" s="1937"/>
      <c r="T2" s="1937"/>
      <c r="U2" s="1937"/>
      <c r="V2" s="1937"/>
      <c r="W2" s="1937"/>
      <c r="X2" s="1937"/>
      <c r="Y2" s="1937"/>
      <c r="Z2" s="1937"/>
      <c r="AA2" s="1937"/>
      <c r="AB2" s="1937"/>
      <c r="AC2" s="1937"/>
      <c r="AD2" s="1937"/>
      <c r="AE2" s="1937"/>
      <c r="AF2" s="1937"/>
      <c r="AG2" s="1937"/>
      <c r="AH2" s="1937"/>
      <c r="AI2" s="1937"/>
      <c r="AJ2" s="1937"/>
      <c r="AK2" s="1937"/>
      <c r="AL2" s="1937"/>
      <c r="AM2" s="1937"/>
      <c r="AN2" s="1937"/>
      <c r="AO2" s="1937"/>
      <c r="AP2" s="1937"/>
      <c r="AQ2" s="1937"/>
    </row>
    <row r="3" spans="1:43" ht="17.399999999999999">
      <c r="A3" s="1938"/>
      <c r="B3" s="1938"/>
      <c r="C3" s="1938"/>
      <c r="D3" s="1938"/>
      <c r="E3" s="1938"/>
      <c r="F3" s="1938"/>
      <c r="G3" s="1938"/>
      <c r="H3" s="1938"/>
      <c r="I3" s="1938"/>
      <c r="J3" s="1938"/>
      <c r="K3" s="1938"/>
      <c r="L3" s="1938"/>
      <c r="M3" s="1938"/>
      <c r="N3" s="1938"/>
      <c r="O3" s="1938"/>
      <c r="P3" s="1938"/>
      <c r="Q3" s="1938"/>
      <c r="R3" s="1938"/>
      <c r="S3" s="1938"/>
      <c r="T3" s="1938"/>
      <c r="U3" s="1938"/>
      <c r="V3" s="1938"/>
      <c r="W3" s="1938"/>
      <c r="X3" s="1938"/>
      <c r="Y3" s="1938"/>
      <c r="Z3" s="1938"/>
      <c r="AA3" s="1938"/>
      <c r="AB3" s="1938"/>
      <c r="AC3" s="1938"/>
      <c r="AD3" s="1938"/>
      <c r="AE3" s="1938"/>
      <c r="AF3" s="1938"/>
      <c r="AG3" s="1938"/>
      <c r="AH3" s="1938"/>
      <c r="AI3" s="1938"/>
      <c r="AJ3" s="1938"/>
      <c r="AK3" s="1938"/>
      <c r="AL3" s="1938"/>
      <c r="AM3" s="1938"/>
      <c r="AN3" s="1938"/>
      <c r="AO3" s="1938"/>
      <c r="AP3" s="1938"/>
      <c r="AQ3" s="1938"/>
    </row>
    <row r="4" spans="1:43" ht="17.399999999999999">
      <c r="A4" s="1"/>
      <c r="B4" s="1636" t="s">
        <v>1390</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row>
    <row r="5" spans="1:43" ht="17.399999999999999">
      <c r="A5" s="1"/>
      <c r="B5" s="1636" t="s">
        <v>3846</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row>
    <row r="6" spans="1:43" ht="17.399999999999999">
      <c r="A6" s="1637"/>
      <c r="B6" s="1636" t="s">
        <v>3847</v>
      </c>
      <c r="C6" s="3"/>
      <c r="D6" s="3"/>
      <c r="E6" s="1"/>
      <c r="F6" s="1"/>
      <c r="G6" s="1"/>
      <c r="H6" s="1"/>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row>
    <row r="7" spans="1:43" ht="15.6">
      <c r="A7" s="1939" t="s">
        <v>5</v>
      </c>
      <c r="B7" s="1943" t="s">
        <v>6</v>
      </c>
      <c r="C7" s="1943" t="s">
        <v>7</v>
      </c>
      <c r="D7" s="1943" t="s">
        <v>1394</v>
      </c>
      <c r="E7" s="1943" t="s">
        <v>9</v>
      </c>
      <c r="F7" s="1943" t="s">
        <v>10</v>
      </c>
      <c r="G7" s="1947" t="s">
        <v>11</v>
      </c>
      <c r="H7" s="1947" t="s">
        <v>12</v>
      </c>
      <c r="I7" s="1947" t="s">
        <v>13</v>
      </c>
      <c r="J7" s="1950" t="s">
        <v>14</v>
      </c>
      <c r="K7" s="2205"/>
      <c r="L7" s="2205"/>
      <c r="M7" s="2205"/>
      <c r="N7" s="2205"/>
      <c r="O7" s="2205"/>
      <c r="P7" s="2205"/>
      <c r="Q7" s="2205"/>
      <c r="R7" s="2205"/>
      <c r="S7" s="2205"/>
      <c r="T7" s="2205"/>
      <c r="U7" s="2205"/>
      <c r="V7" s="2205"/>
      <c r="W7" s="2205"/>
      <c r="X7" s="2205"/>
      <c r="Y7" s="2205"/>
      <c r="Z7" s="2205"/>
      <c r="AA7" s="2205"/>
      <c r="AB7" s="2205"/>
      <c r="AC7" s="2205"/>
      <c r="AD7" s="2205"/>
      <c r="AE7" s="2205"/>
      <c r="AF7" s="2205"/>
      <c r="AG7" s="2205"/>
      <c r="AH7" s="1638"/>
      <c r="AI7" s="2161" t="s">
        <v>15</v>
      </c>
      <c r="AJ7" s="2162"/>
      <c r="AK7" s="2162"/>
      <c r="AL7" s="2162"/>
      <c r="AM7" s="2162"/>
      <c r="AN7" s="2163"/>
      <c r="AO7" s="2155" t="s">
        <v>16</v>
      </c>
      <c r="AP7" s="2155" t="s">
        <v>17</v>
      </c>
      <c r="AQ7" s="1947" t="s">
        <v>18</v>
      </c>
    </row>
    <row r="8" spans="1:43" ht="15.6">
      <c r="A8" s="1940"/>
      <c r="B8" s="1944"/>
      <c r="C8" s="1944"/>
      <c r="D8" s="1944"/>
      <c r="E8" s="1944"/>
      <c r="F8" s="1944"/>
      <c r="G8" s="1948"/>
      <c r="H8" s="1948"/>
      <c r="I8" s="1948"/>
      <c r="J8" s="1950" t="s">
        <v>19</v>
      </c>
      <c r="K8" s="1951"/>
      <c r="L8" s="1951"/>
      <c r="M8" s="1951"/>
      <c r="N8" s="1951"/>
      <c r="O8" s="1952"/>
      <c r="P8" s="1950" t="s">
        <v>20</v>
      </c>
      <c r="Q8" s="1951"/>
      <c r="R8" s="1951"/>
      <c r="S8" s="1951"/>
      <c r="T8" s="1951"/>
      <c r="U8" s="1952"/>
      <c r="V8" s="1950" t="s">
        <v>21</v>
      </c>
      <c r="W8" s="1951"/>
      <c r="X8" s="1951"/>
      <c r="Y8" s="1951"/>
      <c r="Z8" s="1951"/>
      <c r="AA8" s="1952"/>
      <c r="AB8" s="1950" t="s">
        <v>22</v>
      </c>
      <c r="AC8" s="1951"/>
      <c r="AD8" s="1951"/>
      <c r="AE8" s="1951"/>
      <c r="AF8" s="1951"/>
      <c r="AG8" s="1952"/>
      <c r="AH8" s="1943" t="s">
        <v>403</v>
      </c>
      <c r="AI8" s="1958" t="s">
        <v>24</v>
      </c>
      <c r="AJ8" s="1954" t="s">
        <v>2383</v>
      </c>
      <c r="AK8" s="1954" t="s">
        <v>916</v>
      </c>
      <c r="AL8" s="1954" t="s">
        <v>27</v>
      </c>
      <c r="AM8" s="1954" t="s">
        <v>28</v>
      </c>
      <c r="AN8" s="1954" t="s">
        <v>29</v>
      </c>
      <c r="AO8" s="2156"/>
      <c r="AP8" s="2156"/>
      <c r="AQ8" s="1948"/>
    </row>
    <row r="9" spans="1:43" ht="15.6">
      <c r="A9" s="1940"/>
      <c r="B9" s="1944"/>
      <c r="C9" s="1944"/>
      <c r="D9" s="1944"/>
      <c r="E9" s="1944"/>
      <c r="F9" s="1944"/>
      <c r="G9" s="1948"/>
      <c r="H9" s="1948"/>
      <c r="I9" s="1948"/>
      <c r="J9" s="1950" t="s">
        <v>30</v>
      </c>
      <c r="K9" s="1951"/>
      <c r="L9" s="1952"/>
      <c r="M9" s="1950" t="s">
        <v>31</v>
      </c>
      <c r="N9" s="1951"/>
      <c r="O9" s="1952"/>
      <c r="P9" s="1950" t="s">
        <v>30</v>
      </c>
      <c r="Q9" s="1951"/>
      <c r="R9" s="1952"/>
      <c r="S9" s="1950" t="s">
        <v>31</v>
      </c>
      <c r="T9" s="1951"/>
      <c r="U9" s="1952"/>
      <c r="V9" s="1950" t="s">
        <v>30</v>
      </c>
      <c r="W9" s="1951"/>
      <c r="X9" s="1952"/>
      <c r="Y9" s="1950" t="s">
        <v>31</v>
      </c>
      <c r="Z9" s="1951"/>
      <c r="AA9" s="1952"/>
      <c r="AB9" s="1950" t="s">
        <v>30</v>
      </c>
      <c r="AC9" s="1951"/>
      <c r="AD9" s="1952"/>
      <c r="AE9" s="1950" t="s">
        <v>31</v>
      </c>
      <c r="AF9" s="1951"/>
      <c r="AG9" s="1952"/>
      <c r="AH9" s="1944"/>
      <c r="AI9" s="1959"/>
      <c r="AJ9" s="1955"/>
      <c r="AK9" s="1955"/>
      <c r="AL9" s="1955"/>
      <c r="AM9" s="1955"/>
      <c r="AN9" s="1955"/>
      <c r="AO9" s="2156"/>
      <c r="AP9" s="2156"/>
      <c r="AQ9" s="1948"/>
    </row>
    <row r="10" spans="1:43" ht="15.6">
      <c r="A10" s="1941"/>
      <c r="B10" s="1945"/>
      <c r="C10" s="1945"/>
      <c r="D10" s="1945"/>
      <c r="E10" s="1945"/>
      <c r="F10" s="1945"/>
      <c r="G10" s="1949"/>
      <c r="H10" s="1949"/>
      <c r="I10" s="1949"/>
      <c r="J10" s="5" t="s">
        <v>32</v>
      </c>
      <c r="K10" s="5" t="s">
        <v>33</v>
      </c>
      <c r="L10" s="5" t="s">
        <v>34</v>
      </c>
      <c r="M10" s="5" t="s">
        <v>32</v>
      </c>
      <c r="N10" s="5" t="s">
        <v>33</v>
      </c>
      <c r="O10" s="5" t="s">
        <v>34</v>
      </c>
      <c r="P10" s="5" t="s">
        <v>35</v>
      </c>
      <c r="Q10" s="5" t="s">
        <v>34</v>
      </c>
      <c r="R10" s="5" t="s">
        <v>36</v>
      </c>
      <c r="S10" s="5" t="s">
        <v>35</v>
      </c>
      <c r="T10" s="5" t="s">
        <v>34</v>
      </c>
      <c r="U10" s="5" t="s">
        <v>3848</v>
      </c>
      <c r="V10" s="5" t="s">
        <v>36</v>
      </c>
      <c r="W10" s="5" t="s">
        <v>35</v>
      </c>
      <c r="X10" s="5" t="s">
        <v>37</v>
      </c>
      <c r="Y10" s="5" t="s">
        <v>36</v>
      </c>
      <c r="Z10" s="5" t="s">
        <v>35</v>
      </c>
      <c r="AA10" s="5" t="s">
        <v>37</v>
      </c>
      <c r="AB10" s="5" t="s">
        <v>38</v>
      </c>
      <c r="AC10" s="5" t="s">
        <v>39</v>
      </c>
      <c r="AD10" s="5" t="s">
        <v>40</v>
      </c>
      <c r="AE10" s="5" t="s">
        <v>38</v>
      </c>
      <c r="AF10" s="5" t="s">
        <v>39</v>
      </c>
      <c r="AG10" s="5" t="s">
        <v>40</v>
      </c>
      <c r="AH10" s="1945"/>
      <c r="AI10" s="2045"/>
      <c r="AJ10" s="1956"/>
      <c r="AK10" s="1956"/>
      <c r="AL10" s="1956"/>
      <c r="AM10" s="1956"/>
      <c r="AN10" s="1956"/>
      <c r="AO10" s="2157"/>
      <c r="AP10" s="2157"/>
      <c r="AQ10" s="1949"/>
    </row>
    <row r="11" spans="1:43" ht="60">
      <c r="A11" s="47" t="s">
        <v>41</v>
      </c>
      <c r="B11" s="47" t="s">
        <v>42</v>
      </c>
      <c r="C11" s="1639"/>
      <c r="D11" s="1511"/>
      <c r="E11" s="1511"/>
      <c r="F11" s="1640"/>
      <c r="G11" s="1641">
        <f t="shared" ref="G11:G47" si="0">AH11/$AH$48*100</f>
        <v>35.350709602952293</v>
      </c>
      <c r="H11" s="1641"/>
      <c r="I11" s="1641"/>
      <c r="J11" s="1642"/>
      <c r="K11" s="1642"/>
      <c r="L11" s="1642"/>
      <c r="M11" s="1643"/>
      <c r="N11" s="1643"/>
      <c r="O11" s="1643"/>
      <c r="P11" s="1642"/>
      <c r="Q11" s="1642"/>
      <c r="R11" s="1642"/>
      <c r="S11" s="1643"/>
      <c r="T11" s="1643"/>
      <c r="U11" s="1643"/>
      <c r="V11" s="1642"/>
      <c r="W11" s="1642"/>
      <c r="X11" s="1642"/>
      <c r="Y11" s="1643"/>
      <c r="Z11" s="1643"/>
      <c r="AA11" s="1643"/>
      <c r="AB11" s="1642"/>
      <c r="AC11" s="1642"/>
      <c r="AD11" s="1642"/>
      <c r="AE11" s="1644">
        <f>SUM(AE12,AE16,AE21)</f>
        <v>1494.59</v>
      </c>
      <c r="AF11" s="1644">
        <f>SUM(AF12,AF16,AF21)</f>
        <v>1494.59</v>
      </c>
      <c r="AG11" s="1644">
        <f>SUM(AG12,AG16,AG21)</f>
        <v>2989.18</v>
      </c>
      <c r="AH11" s="1644">
        <f>SUM(AH12,AH16,AH21)</f>
        <v>5978.36</v>
      </c>
      <c r="AI11" s="1644">
        <f>SUM(AI12,AI16,AI21)</f>
        <v>5978.36</v>
      </c>
      <c r="AJ11" s="1645"/>
      <c r="AK11" s="1645"/>
      <c r="AL11" s="1645"/>
      <c r="AM11" s="1643"/>
      <c r="AN11" s="1643"/>
      <c r="AO11" s="1646"/>
      <c r="AP11" s="1646"/>
      <c r="AQ11" s="1646"/>
    </row>
    <row r="12" spans="1:43" ht="30">
      <c r="A12" s="355" t="s">
        <v>917</v>
      </c>
      <c r="B12" s="355" t="s">
        <v>918</v>
      </c>
      <c r="C12" s="1647"/>
      <c r="D12" s="1516"/>
      <c r="E12" s="1516"/>
      <c r="F12" s="1648"/>
      <c r="G12" s="1649">
        <f t="shared" si="0"/>
        <v>8.8376774007380732</v>
      </c>
      <c r="H12" s="1649"/>
      <c r="I12" s="1649"/>
      <c r="J12" s="1650"/>
      <c r="K12" s="1650"/>
      <c r="L12" s="1650"/>
      <c r="M12" s="1651"/>
      <c r="N12" s="1651"/>
      <c r="O12" s="1651"/>
      <c r="P12" s="1650"/>
      <c r="Q12" s="1650"/>
      <c r="R12" s="1650"/>
      <c r="S12" s="1651"/>
      <c r="T12" s="1651"/>
      <c r="U12" s="1651"/>
      <c r="V12" s="1650"/>
      <c r="W12" s="1650"/>
      <c r="X12" s="1650"/>
      <c r="Y12" s="1651"/>
      <c r="Z12" s="1651"/>
      <c r="AA12" s="1651"/>
      <c r="AB12" s="1650"/>
      <c r="AC12" s="1650"/>
      <c r="AD12" s="1650"/>
      <c r="AE12" s="1651">
        <f>SUM(AE13)</f>
        <v>1494.59</v>
      </c>
      <c r="AF12" s="1651"/>
      <c r="AG12" s="1651"/>
      <c r="AH12" s="1651">
        <f>SUM(AH13)</f>
        <v>1494.59</v>
      </c>
      <c r="AI12" s="1651">
        <f>SUM(AI13)</f>
        <v>1494.59</v>
      </c>
      <c r="AJ12" s="1651"/>
      <c r="AK12" s="1651"/>
      <c r="AL12" s="1651"/>
      <c r="AM12" s="1651"/>
      <c r="AN12" s="1651"/>
      <c r="AO12" s="1652"/>
      <c r="AP12" s="1652"/>
      <c r="AQ12" s="1652"/>
    </row>
    <row r="13" spans="1:43" ht="45">
      <c r="A13" s="517" t="s">
        <v>933</v>
      </c>
      <c r="B13" s="1653" t="s">
        <v>934</v>
      </c>
      <c r="C13" s="1654"/>
      <c r="D13" s="1655"/>
      <c r="E13" s="1655"/>
      <c r="F13" s="1656"/>
      <c r="G13" s="1657">
        <f t="shared" si="0"/>
        <v>8.8376774007380732</v>
      </c>
      <c r="H13" s="1657">
        <f>G13</f>
        <v>8.8376774007380732</v>
      </c>
      <c r="I13" s="1657"/>
      <c r="J13" s="523"/>
      <c r="K13" s="523"/>
      <c r="L13" s="523"/>
      <c r="M13" s="524"/>
      <c r="N13" s="524"/>
      <c r="O13" s="524"/>
      <c r="P13" s="523"/>
      <c r="Q13" s="523"/>
      <c r="R13" s="523"/>
      <c r="S13" s="524"/>
      <c r="T13" s="524"/>
      <c r="U13" s="524"/>
      <c r="V13" s="523"/>
      <c r="W13" s="523"/>
      <c r="X13" s="523"/>
      <c r="Y13" s="524"/>
      <c r="Z13" s="524"/>
      <c r="AA13" s="524"/>
      <c r="AB13" s="523"/>
      <c r="AC13" s="523"/>
      <c r="AD13" s="523"/>
      <c r="AE13" s="524">
        <f>SUM(,AE14)</f>
        <v>1494.59</v>
      </c>
      <c r="AF13" s="524"/>
      <c r="AG13" s="524"/>
      <c r="AH13" s="524">
        <f t="shared" ref="AH13:AI13" si="1">SUM(,AH14)</f>
        <v>1494.59</v>
      </c>
      <c r="AI13" s="524">
        <f t="shared" si="1"/>
        <v>1494.59</v>
      </c>
      <c r="AJ13" s="524"/>
      <c r="AK13" s="524"/>
      <c r="AL13" s="524"/>
      <c r="AM13" s="524"/>
      <c r="AN13" s="524"/>
      <c r="AO13" s="1658"/>
      <c r="AP13" s="1658"/>
      <c r="AQ13" s="1658"/>
    </row>
    <row r="14" spans="1:43" ht="75">
      <c r="A14" s="371" t="s">
        <v>3849</v>
      </c>
      <c r="B14" s="371" t="s">
        <v>3850</v>
      </c>
      <c r="C14" s="1659"/>
      <c r="D14" s="1141" t="s">
        <v>2908</v>
      </c>
      <c r="E14" s="1141" t="s">
        <v>3851</v>
      </c>
      <c r="F14" s="371"/>
      <c r="G14" s="20">
        <f t="shared" si="0"/>
        <v>8.8376774007380732</v>
      </c>
      <c r="H14" s="20"/>
      <c r="I14" s="20"/>
      <c r="J14" s="19"/>
      <c r="K14" s="19"/>
      <c r="L14" s="19"/>
      <c r="M14" s="21"/>
      <c r="N14" s="21"/>
      <c r="O14" s="21"/>
      <c r="P14" s="19"/>
      <c r="Q14" s="19"/>
      <c r="R14" s="19"/>
      <c r="S14" s="21"/>
      <c r="T14" s="21"/>
      <c r="U14" s="21"/>
      <c r="V14" s="19"/>
      <c r="W14" s="19"/>
      <c r="X14" s="19"/>
      <c r="Y14" s="21"/>
      <c r="Z14" s="21"/>
      <c r="AA14" s="21"/>
      <c r="AB14" s="19"/>
      <c r="AC14" s="19"/>
      <c r="AD14" s="19"/>
      <c r="AE14" s="21">
        <f>AE15</f>
        <v>1494.59</v>
      </c>
      <c r="AF14" s="21"/>
      <c r="AG14" s="21"/>
      <c r="AH14" s="21">
        <f>SUM(AH15)</f>
        <v>1494.59</v>
      </c>
      <c r="AI14" s="21">
        <f>SUM(AI15)</f>
        <v>1494.59</v>
      </c>
      <c r="AJ14" s="21"/>
      <c r="AK14" s="21"/>
      <c r="AL14" s="21"/>
      <c r="AM14" s="21"/>
      <c r="AN14" s="21"/>
      <c r="AO14" s="1539"/>
      <c r="AP14" s="1539"/>
      <c r="AQ14" s="1539"/>
    </row>
    <row r="15" spans="1:43" ht="60">
      <c r="A15" s="379" t="s">
        <v>3852</v>
      </c>
      <c r="B15" s="379" t="s">
        <v>3853</v>
      </c>
      <c r="C15" s="1281">
        <v>1</v>
      </c>
      <c r="D15" s="379" t="s">
        <v>2908</v>
      </c>
      <c r="E15" s="379" t="s">
        <v>3851</v>
      </c>
      <c r="F15" s="379" t="s">
        <v>3854</v>
      </c>
      <c r="G15" s="1629">
        <f t="shared" si="0"/>
        <v>8.8376774007380732</v>
      </c>
      <c r="H15" s="1629"/>
      <c r="I15" s="1629">
        <f>AH15/AH14*100</f>
        <v>100</v>
      </c>
      <c r="J15" s="1627"/>
      <c r="K15" s="1627"/>
      <c r="L15" s="1627"/>
      <c r="M15" s="1630"/>
      <c r="N15" s="1630"/>
      <c r="O15" s="1630"/>
      <c r="P15" s="1627"/>
      <c r="Q15" s="1627"/>
      <c r="R15" s="1627"/>
      <c r="S15" s="1630"/>
      <c r="T15" s="1630"/>
      <c r="U15" s="1630"/>
      <c r="V15" s="1627"/>
      <c r="W15" s="1627"/>
      <c r="X15" s="1627"/>
      <c r="Y15" s="1630"/>
      <c r="Z15" s="1630"/>
      <c r="AA15" s="1630"/>
      <c r="AB15" s="1627">
        <v>1</v>
      </c>
      <c r="AC15" s="1627"/>
      <c r="AD15" s="1627"/>
      <c r="AE15" s="1283">
        <v>1494.59</v>
      </c>
      <c r="AF15" s="1630"/>
      <c r="AG15" s="1630"/>
      <c r="AH15" s="1283">
        <v>1494.59</v>
      </c>
      <c r="AI15" s="1283">
        <v>1494.59</v>
      </c>
      <c r="AJ15" s="1630"/>
      <c r="AK15" s="1630"/>
      <c r="AL15" s="1630"/>
      <c r="AM15" s="1630"/>
      <c r="AN15" s="1630"/>
      <c r="AO15" s="35" t="s">
        <v>1703</v>
      </c>
      <c r="AP15" s="35" t="s">
        <v>3855</v>
      </c>
      <c r="AQ15" s="1660"/>
    </row>
    <row r="16" spans="1:43" ht="45">
      <c r="A16" s="355" t="s">
        <v>1874</v>
      </c>
      <c r="B16" s="355" t="s">
        <v>1875</v>
      </c>
      <c r="C16" s="1647"/>
      <c r="D16" s="1516"/>
      <c r="E16" s="1516"/>
      <c r="F16" s="1648"/>
      <c r="G16" s="12">
        <f t="shared" si="0"/>
        <v>17.675354801476146</v>
      </c>
      <c r="H16" s="12"/>
      <c r="I16" s="12"/>
      <c r="J16" s="11"/>
      <c r="K16" s="11"/>
      <c r="L16" s="11"/>
      <c r="M16" s="13"/>
      <c r="N16" s="13"/>
      <c r="O16" s="13"/>
      <c r="P16" s="11"/>
      <c r="Q16" s="11"/>
      <c r="R16" s="11"/>
      <c r="S16" s="13"/>
      <c r="T16" s="13"/>
      <c r="U16" s="13"/>
      <c r="V16" s="11"/>
      <c r="W16" s="11"/>
      <c r="X16" s="11"/>
      <c r="Y16" s="13"/>
      <c r="Z16" s="13"/>
      <c r="AA16" s="13"/>
      <c r="AB16" s="11"/>
      <c r="AC16" s="11"/>
      <c r="AD16" s="11"/>
      <c r="AE16" s="13"/>
      <c r="AF16" s="13"/>
      <c r="AG16" s="13">
        <f>SUM(AG17)</f>
        <v>2989.18</v>
      </c>
      <c r="AH16" s="13">
        <f>SUM(AH17)</f>
        <v>2989.18</v>
      </c>
      <c r="AI16" s="13">
        <f>AI17</f>
        <v>2989.18</v>
      </c>
      <c r="AJ16" s="13"/>
      <c r="AK16" s="13"/>
      <c r="AL16" s="13"/>
      <c r="AM16" s="13"/>
      <c r="AN16" s="13"/>
      <c r="AO16" s="1538"/>
      <c r="AP16" s="1538"/>
      <c r="AQ16" s="1538"/>
    </row>
    <row r="17" spans="1:43" ht="30">
      <c r="A17" s="517" t="s">
        <v>3856</v>
      </c>
      <c r="B17" s="517" t="s">
        <v>3857</v>
      </c>
      <c r="C17" s="1654"/>
      <c r="D17" s="1655"/>
      <c r="E17" s="1655"/>
      <c r="F17" s="1656"/>
      <c r="G17" s="1657">
        <f t="shared" si="0"/>
        <v>17.675354801476146</v>
      </c>
      <c r="H17" s="1657">
        <f>G17</f>
        <v>17.675354801476146</v>
      </c>
      <c r="I17" s="1661"/>
      <c r="J17" s="274"/>
      <c r="K17" s="274"/>
      <c r="L17" s="274"/>
      <c r="M17" s="1662"/>
      <c r="N17" s="1662"/>
      <c r="O17" s="1662"/>
      <c r="P17" s="274"/>
      <c r="Q17" s="274"/>
      <c r="R17" s="274"/>
      <c r="S17" s="1662"/>
      <c r="T17" s="1662"/>
      <c r="U17" s="1662"/>
      <c r="V17" s="274"/>
      <c r="W17" s="274"/>
      <c r="X17" s="274"/>
      <c r="Y17" s="1662"/>
      <c r="Z17" s="1662"/>
      <c r="AA17" s="1662"/>
      <c r="AB17" s="274"/>
      <c r="AC17" s="274"/>
      <c r="AD17" s="274"/>
      <c r="AE17" s="1662"/>
      <c r="AF17" s="1662"/>
      <c r="AG17" s="1662">
        <f>SUM(AG18)</f>
        <v>2989.18</v>
      </c>
      <c r="AH17" s="1662">
        <f>SUM(AH18)</f>
        <v>2989.18</v>
      </c>
      <c r="AI17" s="1662">
        <f>AI18</f>
        <v>2989.18</v>
      </c>
      <c r="AJ17" s="1662"/>
      <c r="AK17" s="1662"/>
      <c r="AL17" s="1662"/>
      <c r="AM17" s="1662"/>
      <c r="AN17" s="1662"/>
      <c r="AO17" s="1663" t="s">
        <v>1703</v>
      </c>
      <c r="AP17" s="1663" t="s">
        <v>3858</v>
      </c>
      <c r="AQ17" s="1664"/>
    </row>
    <row r="18" spans="1:43" ht="75">
      <c r="A18" s="371" t="s">
        <v>3859</v>
      </c>
      <c r="B18" s="371" t="s">
        <v>3860</v>
      </c>
      <c r="C18" s="372"/>
      <c r="D18" s="371" t="s">
        <v>57</v>
      </c>
      <c r="E18" s="371" t="s">
        <v>3861</v>
      </c>
      <c r="F18" s="371"/>
      <c r="G18" s="20">
        <f t="shared" si="0"/>
        <v>17.675354801476146</v>
      </c>
      <c r="H18" s="20"/>
      <c r="I18" s="20"/>
      <c r="J18" s="19"/>
      <c r="K18" s="19"/>
      <c r="L18" s="19"/>
      <c r="M18" s="21"/>
      <c r="N18" s="21"/>
      <c r="O18" s="21"/>
      <c r="P18" s="19"/>
      <c r="Q18" s="19"/>
      <c r="R18" s="19"/>
      <c r="S18" s="21"/>
      <c r="T18" s="21"/>
      <c r="U18" s="21"/>
      <c r="V18" s="19"/>
      <c r="W18" s="19"/>
      <c r="X18" s="19"/>
      <c r="Y18" s="21"/>
      <c r="Z18" s="1665"/>
      <c r="AA18" s="1665"/>
      <c r="AB18" s="19"/>
      <c r="AC18" s="19"/>
      <c r="AD18" s="19"/>
      <c r="AE18" s="1665"/>
      <c r="AF18" s="1665"/>
      <c r="AG18" s="1665">
        <f>SUM(AG19:AG20)</f>
        <v>2989.18</v>
      </c>
      <c r="AH18" s="1665">
        <f>SUM(AH19,AH20)</f>
        <v>2989.18</v>
      </c>
      <c r="AI18" s="1665">
        <f>SUM(AI19:AI20)</f>
        <v>2989.18</v>
      </c>
      <c r="AJ18" s="21"/>
      <c r="AK18" s="21"/>
      <c r="AL18" s="21"/>
      <c r="AM18" s="21"/>
      <c r="AN18" s="21"/>
      <c r="AO18" s="1539"/>
      <c r="AP18" s="1539"/>
      <c r="AQ18" s="1539"/>
    </row>
    <row r="19" spans="1:43" ht="90">
      <c r="A19" s="379" t="s">
        <v>3862</v>
      </c>
      <c r="B19" s="379" t="s">
        <v>3863</v>
      </c>
      <c r="C19" s="1281">
        <v>1</v>
      </c>
      <c r="D19" s="379" t="s">
        <v>57</v>
      </c>
      <c r="E19" s="379" t="s">
        <v>3864</v>
      </c>
      <c r="F19" s="379" t="s">
        <v>3865</v>
      </c>
      <c r="G19" s="24">
        <f t="shared" si="0"/>
        <v>8.8376774007380732</v>
      </c>
      <c r="H19" s="24"/>
      <c r="I19" s="1629">
        <f>AH19/AH18*100</f>
        <v>50</v>
      </c>
      <c r="J19" s="1627"/>
      <c r="K19" s="1627"/>
      <c r="L19" s="1627"/>
      <c r="M19" s="1630"/>
      <c r="N19" s="1630"/>
      <c r="O19" s="1630"/>
      <c r="P19" s="1627"/>
      <c r="Q19" s="1627"/>
      <c r="R19" s="1627"/>
      <c r="S19" s="1630"/>
      <c r="T19" s="1630"/>
      <c r="U19" s="1630"/>
      <c r="V19" s="23"/>
      <c r="W19" s="23"/>
      <c r="X19" s="23"/>
      <c r="Y19" s="26"/>
      <c r="Z19" s="1666"/>
      <c r="AA19" s="1666"/>
      <c r="AB19" s="23"/>
      <c r="AC19" s="23"/>
      <c r="AD19" s="23">
        <v>1</v>
      </c>
      <c r="AE19" s="1666"/>
      <c r="AF19" s="1666"/>
      <c r="AG19" s="1283">
        <v>1494.59</v>
      </c>
      <c r="AH19" s="1666">
        <f>SUM(AG19)</f>
        <v>1494.59</v>
      </c>
      <c r="AI19" s="1666">
        <f>AH19</f>
        <v>1494.59</v>
      </c>
      <c r="AJ19" s="26"/>
      <c r="AK19" s="26"/>
      <c r="AL19" s="26"/>
      <c r="AM19" s="26"/>
      <c r="AN19" s="26"/>
      <c r="AO19" s="35" t="s">
        <v>1703</v>
      </c>
      <c r="AP19" s="35" t="s">
        <v>3855</v>
      </c>
      <c r="AQ19" s="1532"/>
    </row>
    <row r="20" spans="1:43" ht="45">
      <c r="A20" s="22" t="s">
        <v>3866</v>
      </c>
      <c r="B20" s="379" t="s">
        <v>3867</v>
      </c>
      <c r="C20" s="1281">
        <v>1</v>
      </c>
      <c r="D20" s="379" t="s">
        <v>57</v>
      </c>
      <c r="E20" s="379" t="s">
        <v>3868</v>
      </c>
      <c r="F20" s="379" t="s">
        <v>1492</v>
      </c>
      <c r="G20" s="1667">
        <f t="shared" si="0"/>
        <v>8.8376774007380732</v>
      </c>
      <c r="H20" s="1667"/>
      <c r="I20" s="1629">
        <f>AH20/AH18*100</f>
        <v>50</v>
      </c>
      <c r="J20" s="1627"/>
      <c r="K20" s="1627"/>
      <c r="L20" s="1627"/>
      <c r="M20" s="1630"/>
      <c r="N20" s="1630"/>
      <c r="O20" s="1630"/>
      <c r="P20" s="1627"/>
      <c r="Q20" s="1627"/>
      <c r="R20" s="1627"/>
      <c r="S20" s="1630"/>
      <c r="T20" s="1630"/>
      <c r="U20" s="1630"/>
      <c r="V20" s="23"/>
      <c r="W20" s="23"/>
      <c r="X20" s="23"/>
      <c r="Y20" s="26"/>
      <c r="Z20" s="1666"/>
      <c r="AA20" s="1666"/>
      <c r="AB20" s="23"/>
      <c r="AC20" s="23"/>
      <c r="AD20" s="23">
        <v>1</v>
      </c>
      <c r="AE20" s="1666"/>
      <c r="AF20" s="1666"/>
      <c r="AG20" s="1283">
        <v>1494.59</v>
      </c>
      <c r="AH20" s="1666">
        <f>SUM(AG20)</f>
        <v>1494.59</v>
      </c>
      <c r="AI20" s="1666">
        <f>AH20</f>
        <v>1494.59</v>
      </c>
      <c r="AJ20" s="26"/>
      <c r="AK20" s="26"/>
      <c r="AL20" s="26"/>
      <c r="AM20" s="26"/>
      <c r="AN20" s="26"/>
      <c r="AO20" s="35" t="s">
        <v>1703</v>
      </c>
      <c r="AP20" s="35" t="s">
        <v>3855</v>
      </c>
      <c r="AQ20" s="1532"/>
    </row>
    <row r="21" spans="1:43" ht="60">
      <c r="A21" s="355" t="s">
        <v>577</v>
      </c>
      <c r="B21" s="355" t="s">
        <v>578</v>
      </c>
      <c r="C21" s="1647"/>
      <c r="D21" s="1516"/>
      <c r="E21" s="1516"/>
      <c r="F21" s="1648"/>
      <c r="G21" s="1649">
        <f t="shared" si="0"/>
        <v>8.8376774007380732</v>
      </c>
      <c r="H21" s="1649"/>
      <c r="I21" s="12"/>
      <c r="J21" s="11"/>
      <c r="K21" s="11"/>
      <c r="L21" s="11"/>
      <c r="M21" s="13"/>
      <c r="N21" s="13"/>
      <c r="O21" s="13"/>
      <c r="P21" s="11"/>
      <c r="Q21" s="11"/>
      <c r="R21" s="11"/>
      <c r="S21" s="13"/>
      <c r="T21" s="13"/>
      <c r="U21" s="13"/>
      <c r="V21" s="11"/>
      <c r="W21" s="11"/>
      <c r="X21" s="11"/>
      <c r="Y21" s="13"/>
      <c r="Z21" s="1651"/>
      <c r="AA21" s="1651"/>
      <c r="AB21" s="11"/>
      <c r="AC21" s="11"/>
      <c r="AD21" s="11"/>
      <c r="AE21" s="1651"/>
      <c r="AF21" s="1651">
        <f>AF22</f>
        <v>1494.59</v>
      </c>
      <c r="AG21" s="1651"/>
      <c r="AH21" s="1651">
        <f>SUM(AH22)</f>
        <v>1494.59</v>
      </c>
      <c r="AI21" s="1651">
        <f>AI22</f>
        <v>1494.59</v>
      </c>
      <c r="AJ21" s="13"/>
      <c r="AK21" s="13"/>
      <c r="AL21" s="13"/>
      <c r="AM21" s="13"/>
      <c r="AN21" s="13"/>
      <c r="AO21" s="1538"/>
      <c r="AP21" s="1538"/>
      <c r="AQ21" s="1538"/>
    </row>
    <row r="22" spans="1:43" ht="30">
      <c r="A22" s="517" t="s">
        <v>3257</v>
      </c>
      <c r="B22" s="517" t="s">
        <v>580</v>
      </c>
      <c r="C22" s="1654"/>
      <c r="D22" s="1655"/>
      <c r="E22" s="1655"/>
      <c r="F22" s="1656"/>
      <c r="G22" s="1657">
        <f t="shared" si="0"/>
        <v>8.8376774007380732</v>
      </c>
      <c r="H22" s="1657">
        <f>G22</f>
        <v>8.8376774007380732</v>
      </c>
      <c r="I22" s="1661"/>
      <c r="J22" s="274"/>
      <c r="K22" s="274"/>
      <c r="L22" s="274"/>
      <c r="M22" s="1662"/>
      <c r="N22" s="1662"/>
      <c r="O22" s="1662"/>
      <c r="P22" s="274"/>
      <c r="Q22" s="274"/>
      <c r="R22" s="274"/>
      <c r="S22" s="1662"/>
      <c r="T22" s="1662"/>
      <c r="U22" s="1662"/>
      <c r="V22" s="274"/>
      <c r="W22" s="274"/>
      <c r="X22" s="274"/>
      <c r="Y22" s="1662"/>
      <c r="Z22" s="524"/>
      <c r="AA22" s="524"/>
      <c r="AB22" s="274"/>
      <c r="AC22" s="274"/>
      <c r="AD22" s="274"/>
      <c r="AE22" s="524"/>
      <c r="AF22" s="524">
        <f>AF23</f>
        <v>1494.59</v>
      </c>
      <c r="AG22" s="524"/>
      <c r="AH22" s="524">
        <f>SUM(AH23)</f>
        <v>1494.59</v>
      </c>
      <c r="AI22" s="524">
        <f>AI23</f>
        <v>1494.59</v>
      </c>
      <c r="AJ22" s="1662"/>
      <c r="AK22" s="1662"/>
      <c r="AL22" s="1662"/>
      <c r="AM22" s="1662"/>
      <c r="AN22" s="1662"/>
      <c r="AO22" s="1664"/>
      <c r="AP22" s="1664"/>
      <c r="AQ22" s="1664"/>
    </row>
    <row r="23" spans="1:43" ht="75">
      <c r="A23" s="371" t="s">
        <v>3869</v>
      </c>
      <c r="B23" s="371" t="s">
        <v>3870</v>
      </c>
      <c r="C23" s="372"/>
      <c r="D23" s="371" t="s">
        <v>963</v>
      </c>
      <c r="E23" s="371" t="s">
        <v>3871</v>
      </c>
      <c r="F23" s="371"/>
      <c r="G23" s="1668">
        <f t="shared" si="0"/>
        <v>8.8376774007380732</v>
      </c>
      <c r="H23" s="1668"/>
      <c r="I23" s="20"/>
      <c r="J23" s="19"/>
      <c r="K23" s="19"/>
      <c r="L23" s="19"/>
      <c r="M23" s="21"/>
      <c r="N23" s="21"/>
      <c r="O23" s="21"/>
      <c r="P23" s="19"/>
      <c r="Q23" s="19"/>
      <c r="R23" s="19"/>
      <c r="S23" s="21"/>
      <c r="T23" s="21"/>
      <c r="U23" s="21"/>
      <c r="V23" s="19"/>
      <c r="W23" s="19"/>
      <c r="X23" s="19"/>
      <c r="Y23" s="21"/>
      <c r="Z23" s="533"/>
      <c r="AA23" s="533"/>
      <c r="AB23" s="19"/>
      <c r="AC23" s="19"/>
      <c r="AD23" s="19"/>
      <c r="AE23" s="533"/>
      <c r="AF23" s="533">
        <f>AF24</f>
        <v>1494.59</v>
      </c>
      <c r="AG23" s="533"/>
      <c r="AH23" s="533">
        <f>SUM(AH24)</f>
        <v>1494.59</v>
      </c>
      <c r="AI23" s="533">
        <f>AI24</f>
        <v>1494.59</v>
      </c>
      <c r="AJ23" s="21"/>
      <c r="AK23" s="21"/>
      <c r="AL23" s="21"/>
      <c r="AM23" s="21"/>
      <c r="AN23" s="21"/>
      <c r="AO23" s="1539"/>
      <c r="AP23" s="1539"/>
      <c r="AQ23" s="1539"/>
    </row>
    <row r="24" spans="1:43" ht="75">
      <c r="A24" s="379" t="s">
        <v>3872</v>
      </c>
      <c r="B24" s="379" t="s">
        <v>3873</v>
      </c>
      <c r="C24" s="1281">
        <v>1</v>
      </c>
      <c r="D24" s="379" t="s">
        <v>963</v>
      </c>
      <c r="E24" s="379" t="s">
        <v>3871</v>
      </c>
      <c r="F24" s="379" t="s">
        <v>57</v>
      </c>
      <c r="G24" s="1667">
        <f t="shared" si="0"/>
        <v>8.8376774007380732</v>
      </c>
      <c r="H24" s="1667"/>
      <c r="I24" s="24">
        <f>AH24/AH23*100</f>
        <v>100</v>
      </c>
      <c r="J24" s="23"/>
      <c r="K24" s="23"/>
      <c r="L24" s="23"/>
      <c r="M24" s="26"/>
      <c r="N24" s="26"/>
      <c r="O24" s="26"/>
      <c r="P24" s="23"/>
      <c r="Q24" s="23"/>
      <c r="R24" s="23"/>
      <c r="S24" s="26"/>
      <c r="T24" s="26"/>
      <c r="U24" s="26"/>
      <c r="V24" s="23"/>
      <c r="W24" s="23"/>
      <c r="X24" s="23"/>
      <c r="Y24" s="26"/>
      <c r="Z24" s="1666"/>
      <c r="AA24" s="1666"/>
      <c r="AB24" s="23"/>
      <c r="AC24" s="23">
        <v>1</v>
      </c>
      <c r="AD24" s="23"/>
      <c r="AE24" s="1666"/>
      <c r="AF24" s="1283">
        <v>1494.59</v>
      </c>
      <c r="AG24" s="1666"/>
      <c r="AH24" s="1666">
        <f>SUM(AF24)</f>
        <v>1494.59</v>
      </c>
      <c r="AI24" s="1666">
        <f>AH24</f>
        <v>1494.59</v>
      </c>
      <c r="AJ24" s="26"/>
      <c r="AK24" s="26"/>
      <c r="AL24" s="26"/>
      <c r="AM24" s="26"/>
      <c r="AN24" s="26"/>
      <c r="AO24" s="35" t="s">
        <v>1703</v>
      </c>
      <c r="AP24" s="35" t="s">
        <v>3855</v>
      </c>
      <c r="AQ24" s="1532" t="s">
        <v>3874</v>
      </c>
    </row>
    <row r="25" spans="1:43" ht="30">
      <c r="A25" s="47" t="s">
        <v>296</v>
      </c>
      <c r="B25" s="47" t="s">
        <v>297</v>
      </c>
      <c r="C25" s="1639"/>
      <c r="D25" s="1511"/>
      <c r="E25" s="1511"/>
      <c r="F25" s="1640"/>
      <c r="G25" s="1641">
        <f t="shared" si="0"/>
        <v>28.862843603521139</v>
      </c>
      <c r="H25" s="1641"/>
      <c r="I25" s="8"/>
      <c r="J25" s="7"/>
      <c r="K25" s="7"/>
      <c r="L25" s="7"/>
      <c r="M25" s="9"/>
      <c r="N25" s="9"/>
      <c r="O25" s="9"/>
      <c r="P25" s="7"/>
      <c r="Q25" s="7"/>
      <c r="R25" s="7"/>
      <c r="S25" s="9"/>
      <c r="T25" s="9"/>
      <c r="U25" s="9"/>
      <c r="V25" s="7"/>
      <c r="W25" s="7"/>
      <c r="X25" s="7"/>
      <c r="Y25" s="9"/>
      <c r="Z25" s="1643"/>
      <c r="AA25" s="9"/>
      <c r="AB25" s="7"/>
      <c r="AC25" s="7"/>
      <c r="AD25" s="7"/>
      <c r="AE25" s="1643">
        <f t="shared" ref="AE25:AI25" si="2">SUM(AE26)</f>
        <v>250</v>
      </c>
      <c r="AF25" s="1643">
        <f t="shared" si="2"/>
        <v>747.3</v>
      </c>
      <c r="AG25" s="1643">
        <f t="shared" si="2"/>
        <v>3883.8599999999997</v>
      </c>
      <c r="AH25" s="1643">
        <f t="shared" si="2"/>
        <v>4881.16</v>
      </c>
      <c r="AI25" s="1643">
        <f t="shared" si="2"/>
        <v>4881.16</v>
      </c>
      <c r="AJ25" s="9"/>
      <c r="AK25" s="9"/>
      <c r="AL25" s="9"/>
      <c r="AM25" s="9"/>
      <c r="AN25" s="9"/>
      <c r="AO25" s="1535"/>
      <c r="AP25" s="1535"/>
      <c r="AQ25" s="1535"/>
    </row>
    <row r="26" spans="1:43" ht="45">
      <c r="A26" s="355" t="s">
        <v>298</v>
      </c>
      <c r="B26" s="355" t="s">
        <v>299</v>
      </c>
      <c r="C26" s="1647"/>
      <c r="D26" s="1516"/>
      <c r="E26" s="1516"/>
      <c r="F26" s="1648"/>
      <c r="G26" s="12">
        <f t="shared" si="0"/>
        <v>28.862843603521139</v>
      </c>
      <c r="H26" s="12"/>
      <c r="I26" s="12"/>
      <c r="J26" s="11"/>
      <c r="K26" s="11"/>
      <c r="L26" s="11"/>
      <c r="M26" s="13"/>
      <c r="N26" s="13"/>
      <c r="O26" s="13"/>
      <c r="P26" s="11"/>
      <c r="Q26" s="11"/>
      <c r="R26" s="11"/>
      <c r="S26" s="13"/>
      <c r="T26" s="13"/>
      <c r="U26" s="13"/>
      <c r="V26" s="11"/>
      <c r="W26" s="11"/>
      <c r="X26" s="11"/>
      <c r="Y26" s="13"/>
      <c r="Z26" s="13"/>
      <c r="AA26" s="13"/>
      <c r="AB26" s="11"/>
      <c r="AC26" s="11"/>
      <c r="AD26" s="11"/>
      <c r="AE26" s="13">
        <f>SUM(AE27,AE32)</f>
        <v>250</v>
      </c>
      <c r="AF26" s="13">
        <f t="shared" ref="AF26:AI26" si="3">SUM(AF27,AF32)</f>
        <v>747.3</v>
      </c>
      <c r="AG26" s="13">
        <f t="shared" si="3"/>
        <v>3883.8599999999997</v>
      </c>
      <c r="AH26" s="13">
        <f t="shared" si="3"/>
        <v>4881.16</v>
      </c>
      <c r="AI26" s="13">
        <f t="shared" si="3"/>
        <v>4881.16</v>
      </c>
      <c r="AJ26" s="13"/>
      <c r="AK26" s="13"/>
      <c r="AL26" s="13"/>
      <c r="AM26" s="13"/>
      <c r="AN26" s="13"/>
      <c r="AO26" s="1538"/>
      <c r="AP26" s="1538"/>
      <c r="AQ26" s="1538"/>
    </row>
    <row r="27" spans="1:43" ht="30">
      <c r="A27" s="517" t="s">
        <v>3875</v>
      </c>
      <c r="B27" s="517" t="s">
        <v>3519</v>
      </c>
      <c r="C27" s="1654"/>
      <c r="D27" s="1655"/>
      <c r="E27" s="1655"/>
      <c r="F27" s="1656"/>
      <c r="G27" s="1661">
        <f t="shared" si="0"/>
        <v>27.384565714478313</v>
      </c>
      <c r="H27" s="1661">
        <f>G27</f>
        <v>27.384565714478313</v>
      </c>
      <c r="I27" s="1661"/>
      <c r="J27" s="274"/>
      <c r="K27" s="274"/>
      <c r="L27" s="274"/>
      <c r="M27" s="1662"/>
      <c r="N27" s="1662"/>
      <c r="O27" s="1662"/>
      <c r="P27" s="274"/>
      <c r="Q27" s="274"/>
      <c r="R27" s="274"/>
      <c r="S27" s="1662"/>
      <c r="T27" s="1662"/>
      <c r="U27" s="1662"/>
      <c r="V27" s="274"/>
      <c r="W27" s="274"/>
      <c r="X27" s="274"/>
      <c r="Y27" s="1662"/>
      <c r="Z27" s="1662"/>
      <c r="AA27" s="1662"/>
      <c r="AB27" s="274"/>
      <c r="AC27" s="274"/>
      <c r="AD27" s="274"/>
      <c r="AE27" s="1662"/>
      <c r="AF27" s="1662">
        <f>SUM(AF28,AF30)</f>
        <v>747.3</v>
      </c>
      <c r="AG27" s="1662">
        <f t="shared" ref="AG27:AI27" si="4">SUM(AG28,AG30)</f>
        <v>3883.8599999999997</v>
      </c>
      <c r="AH27" s="1662">
        <f t="shared" si="4"/>
        <v>4631.16</v>
      </c>
      <c r="AI27" s="1662">
        <f t="shared" si="4"/>
        <v>4631.16</v>
      </c>
      <c r="AJ27" s="1662"/>
      <c r="AK27" s="1662"/>
      <c r="AL27" s="1662"/>
      <c r="AM27" s="1662"/>
      <c r="AN27" s="1662"/>
      <c r="AO27" s="1663" t="s">
        <v>1703</v>
      </c>
      <c r="AP27" s="1663" t="s">
        <v>3858</v>
      </c>
      <c r="AQ27" s="1664"/>
    </row>
    <row r="28" spans="1:43" ht="60">
      <c r="A28" s="371" t="s">
        <v>3876</v>
      </c>
      <c r="B28" s="371" t="s">
        <v>3521</v>
      </c>
      <c r="C28" s="372"/>
      <c r="D28" s="371" t="s">
        <v>57</v>
      </c>
      <c r="E28" s="371" t="s">
        <v>3877</v>
      </c>
      <c r="F28" s="371"/>
      <c r="G28" s="20">
        <f t="shared" si="0"/>
        <v>8.8377365318536363</v>
      </c>
      <c r="H28" s="20"/>
      <c r="I28" s="20"/>
      <c r="J28" s="19"/>
      <c r="K28" s="19"/>
      <c r="L28" s="19"/>
      <c r="M28" s="21"/>
      <c r="N28" s="21"/>
      <c r="O28" s="21"/>
      <c r="P28" s="19"/>
      <c r="Q28" s="19"/>
      <c r="R28" s="19"/>
      <c r="S28" s="21"/>
      <c r="T28" s="21"/>
      <c r="U28" s="21"/>
      <c r="V28" s="19"/>
      <c r="W28" s="19"/>
      <c r="X28" s="19"/>
      <c r="Y28" s="1665"/>
      <c r="Z28" s="1665"/>
      <c r="AA28" s="1665"/>
      <c r="AB28" s="19"/>
      <c r="AC28" s="19"/>
      <c r="AD28" s="19"/>
      <c r="AE28" s="1665"/>
      <c r="AF28" s="1665">
        <f>SUM(AF29)</f>
        <v>747.3</v>
      </c>
      <c r="AG28" s="1665">
        <f>SUM(AG29)</f>
        <v>747.3</v>
      </c>
      <c r="AH28" s="1665">
        <f>SUM(AH29)</f>
        <v>1494.6</v>
      </c>
      <c r="AI28" s="1665">
        <f>SUM(AI29)</f>
        <v>1494.6</v>
      </c>
      <c r="AJ28" s="21"/>
      <c r="AK28" s="21"/>
      <c r="AL28" s="21"/>
      <c r="AM28" s="21"/>
      <c r="AN28" s="21"/>
      <c r="AO28" s="1539"/>
      <c r="AP28" s="1539"/>
      <c r="AQ28" s="1539"/>
    </row>
    <row r="29" spans="1:43" ht="75">
      <c r="A29" s="379" t="s">
        <v>3878</v>
      </c>
      <c r="B29" s="379" t="s">
        <v>3879</v>
      </c>
      <c r="C29" s="1281">
        <v>2</v>
      </c>
      <c r="D29" s="379" t="s">
        <v>52</v>
      </c>
      <c r="E29" s="379" t="s">
        <v>3880</v>
      </c>
      <c r="F29" s="379" t="s">
        <v>52</v>
      </c>
      <c r="G29" s="24">
        <f t="shared" si="0"/>
        <v>8.8377365318536363</v>
      </c>
      <c r="H29" s="24"/>
      <c r="I29" s="24">
        <f>AH29/AH28*100</f>
        <v>100</v>
      </c>
      <c r="J29" s="23"/>
      <c r="K29" s="23"/>
      <c r="L29" s="23"/>
      <c r="M29" s="26"/>
      <c r="N29" s="26"/>
      <c r="O29" s="26"/>
      <c r="P29" s="23"/>
      <c r="Q29" s="23"/>
      <c r="R29" s="23"/>
      <c r="S29" s="26"/>
      <c r="T29" s="26"/>
      <c r="U29" s="26"/>
      <c r="V29" s="23"/>
      <c r="W29" s="23"/>
      <c r="X29" s="23"/>
      <c r="Y29" s="1666"/>
      <c r="Z29" s="1666"/>
      <c r="AA29" s="1666"/>
      <c r="AB29" s="23"/>
      <c r="AC29" s="23">
        <v>1</v>
      </c>
      <c r="AD29" s="23">
        <v>1</v>
      </c>
      <c r="AE29" s="1666"/>
      <c r="AF29" s="1283">
        <v>747.3</v>
      </c>
      <c r="AG29" s="1283">
        <v>747.3</v>
      </c>
      <c r="AH29" s="1666">
        <f>SUM(AF29,AG29)</f>
        <v>1494.6</v>
      </c>
      <c r="AI29" s="1666">
        <f>AH29</f>
        <v>1494.6</v>
      </c>
      <c r="AJ29" s="26"/>
      <c r="AK29" s="26"/>
      <c r="AL29" s="26"/>
      <c r="AM29" s="26"/>
      <c r="AN29" s="26"/>
      <c r="AO29" s="35" t="s">
        <v>1703</v>
      </c>
      <c r="AP29" s="35" t="s">
        <v>3855</v>
      </c>
      <c r="AQ29" s="1532" t="s">
        <v>3881</v>
      </c>
    </row>
    <row r="30" spans="1:43" ht="60">
      <c r="A30" s="371" t="s">
        <v>3882</v>
      </c>
      <c r="B30" s="371" t="s">
        <v>3883</v>
      </c>
      <c r="C30" s="372"/>
      <c r="D30" s="371" t="s">
        <v>52</v>
      </c>
      <c r="E30" s="371" t="s">
        <v>3884</v>
      </c>
      <c r="F30" s="371"/>
      <c r="G30" s="1668">
        <f t="shared" si="0"/>
        <v>18.546829182624677</v>
      </c>
      <c r="H30" s="1668"/>
      <c r="I30" s="20"/>
      <c r="J30" s="19"/>
      <c r="K30" s="19"/>
      <c r="L30" s="19"/>
      <c r="M30" s="21"/>
      <c r="N30" s="21"/>
      <c r="O30" s="21"/>
      <c r="P30" s="19"/>
      <c r="Q30" s="19"/>
      <c r="R30" s="19"/>
      <c r="S30" s="21"/>
      <c r="T30" s="21"/>
      <c r="U30" s="21"/>
      <c r="V30" s="19"/>
      <c r="W30" s="19"/>
      <c r="X30" s="19"/>
      <c r="Y30" s="533"/>
      <c r="Z30" s="533"/>
      <c r="AA30" s="533"/>
      <c r="AB30" s="19"/>
      <c r="AC30" s="19"/>
      <c r="AD30" s="19"/>
      <c r="AE30" s="533"/>
      <c r="AF30" s="533"/>
      <c r="AG30" s="533">
        <f t="shared" ref="AG30:AI30" si="5">SUM(AG31)</f>
        <v>3136.56</v>
      </c>
      <c r="AH30" s="533">
        <f t="shared" si="5"/>
        <v>3136.56</v>
      </c>
      <c r="AI30" s="533">
        <f t="shared" si="5"/>
        <v>3136.56</v>
      </c>
      <c r="AJ30" s="21"/>
      <c r="AK30" s="21"/>
      <c r="AL30" s="21"/>
      <c r="AM30" s="21"/>
      <c r="AN30" s="21"/>
      <c r="AO30" s="1539"/>
      <c r="AP30" s="1539"/>
      <c r="AQ30" s="1539"/>
    </row>
    <row r="31" spans="1:43" ht="75">
      <c r="A31" s="379" t="s">
        <v>3885</v>
      </c>
      <c r="B31" s="379" t="s">
        <v>3886</v>
      </c>
      <c r="C31" s="1281">
        <v>1</v>
      </c>
      <c r="D31" s="379" t="s">
        <v>52</v>
      </c>
      <c r="E31" s="379" t="s">
        <v>3884</v>
      </c>
      <c r="F31" s="379" t="s">
        <v>52</v>
      </c>
      <c r="G31" s="24">
        <f t="shared" si="0"/>
        <v>18.546829182624677</v>
      </c>
      <c r="H31" s="24"/>
      <c r="I31" s="24">
        <f>AH31/AH30*100</f>
        <v>100</v>
      </c>
      <c r="J31" s="23"/>
      <c r="K31" s="23"/>
      <c r="L31" s="23"/>
      <c r="M31" s="26"/>
      <c r="N31" s="26"/>
      <c r="O31" s="26"/>
      <c r="P31" s="23"/>
      <c r="Q31" s="23"/>
      <c r="R31" s="23"/>
      <c r="S31" s="26"/>
      <c r="T31" s="26"/>
      <c r="U31" s="26"/>
      <c r="V31" s="23"/>
      <c r="W31" s="23"/>
      <c r="X31" s="23"/>
      <c r="Y31" s="26"/>
      <c r="Z31" s="26"/>
      <c r="AA31" s="26"/>
      <c r="AB31" s="23"/>
      <c r="AC31" s="23"/>
      <c r="AD31" s="23">
        <v>1</v>
      </c>
      <c r="AE31" s="26"/>
      <c r="AF31" s="26"/>
      <c r="AG31" s="1283">
        <v>3136.56</v>
      </c>
      <c r="AH31" s="26">
        <f>SUM(AG31)</f>
        <v>3136.56</v>
      </c>
      <c r="AI31" s="26">
        <f>AH31</f>
        <v>3136.56</v>
      </c>
      <c r="AJ31" s="26"/>
      <c r="AK31" s="26"/>
      <c r="AL31" s="26"/>
      <c r="AM31" s="26"/>
      <c r="AN31" s="26"/>
      <c r="AO31" s="1532"/>
      <c r="AP31" s="1532"/>
      <c r="AQ31" s="1532"/>
    </row>
    <row r="32" spans="1:43" ht="45">
      <c r="A32" s="517" t="s">
        <v>300</v>
      </c>
      <c r="B32" s="517" t="s">
        <v>301</v>
      </c>
      <c r="C32" s="1654"/>
      <c r="D32" s="1655"/>
      <c r="E32" s="1655"/>
      <c r="F32" s="1656"/>
      <c r="G32" s="1661">
        <f t="shared" si="0"/>
        <v>1.478277889042827</v>
      </c>
      <c r="H32" s="1661">
        <f>G32</f>
        <v>1.478277889042827</v>
      </c>
      <c r="I32" s="1661">
        <f>AH32/AH31*100</f>
        <v>7.9705154691764228</v>
      </c>
      <c r="J32" s="274"/>
      <c r="K32" s="274"/>
      <c r="L32" s="274"/>
      <c r="M32" s="1662"/>
      <c r="N32" s="1662"/>
      <c r="O32" s="1662"/>
      <c r="P32" s="274"/>
      <c r="Q32" s="274"/>
      <c r="R32" s="274"/>
      <c r="S32" s="1662"/>
      <c r="T32" s="1662"/>
      <c r="U32" s="1662"/>
      <c r="V32" s="274"/>
      <c r="W32" s="274"/>
      <c r="X32" s="274"/>
      <c r="Y32" s="1662"/>
      <c r="Z32" s="1662"/>
      <c r="AA32" s="1662"/>
      <c r="AB32" s="274"/>
      <c r="AC32" s="274"/>
      <c r="AD32" s="274"/>
      <c r="AE32" s="1662">
        <f>AE33</f>
        <v>250</v>
      </c>
      <c r="AF32" s="1662"/>
      <c r="AG32" s="1662"/>
      <c r="AH32" s="1662">
        <f>AH33</f>
        <v>250</v>
      </c>
      <c r="AI32" s="1662">
        <f>AI33</f>
        <v>250</v>
      </c>
      <c r="AJ32" s="1662"/>
      <c r="AK32" s="1662"/>
      <c r="AL32" s="1662"/>
      <c r="AM32" s="1662"/>
      <c r="AN32" s="1662"/>
      <c r="AO32" s="1663" t="s">
        <v>1703</v>
      </c>
      <c r="AP32" s="1663" t="s">
        <v>3858</v>
      </c>
      <c r="AQ32" s="1664"/>
    </row>
    <row r="33" spans="1:43" ht="90">
      <c r="A33" s="371" t="s">
        <v>302</v>
      </c>
      <c r="B33" s="371" t="s">
        <v>303</v>
      </c>
      <c r="C33" s="372"/>
      <c r="D33" s="371" t="s">
        <v>52</v>
      </c>
      <c r="E33" s="371" t="s">
        <v>304</v>
      </c>
      <c r="F33" s="371"/>
      <c r="G33" s="20">
        <f t="shared" si="0"/>
        <v>1.478277889042827</v>
      </c>
      <c r="H33" s="20"/>
      <c r="I33" s="20"/>
      <c r="J33" s="19"/>
      <c r="K33" s="19"/>
      <c r="L33" s="19"/>
      <c r="M33" s="21"/>
      <c r="N33" s="21"/>
      <c r="O33" s="21"/>
      <c r="P33" s="19"/>
      <c r="Q33" s="19"/>
      <c r="R33" s="19"/>
      <c r="S33" s="21"/>
      <c r="T33" s="21"/>
      <c r="U33" s="21"/>
      <c r="V33" s="19"/>
      <c r="W33" s="19"/>
      <c r="X33" s="19"/>
      <c r="Y33" s="21"/>
      <c r="Z33" s="21"/>
      <c r="AA33" s="21"/>
      <c r="AB33" s="19"/>
      <c r="AC33" s="19"/>
      <c r="AD33" s="19"/>
      <c r="AE33" s="21">
        <f>AE34</f>
        <v>250</v>
      </c>
      <c r="AF33" s="21"/>
      <c r="AG33" s="21"/>
      <c r="AH33" s="21">
        <f>SUM(AH34)</f>
        <v>250</v>
      </c>
      <c r="AI33" s="21">
        <f>AI34</f>
        <v>250</v>
      </c>
      <c r="AJ33" s="21"/>
      <c r="AK33" s="21"/>
      <c r="AL33" s="21"/>
      <c r="AM33" s="21"/>
      <c r="AN33" s="21"/>
      <c r="AO33" s="1539"/>
      <c r="AP33" s="1539"/>
      <c r="AQ33" s="1539"/>
    </row>
    <row r="34" spans="1:43" ht="135">
      <c r="A34" s="22" t="s">
        <v>3887</v>
      </c>
      <c r="B34" s="1669" t="s">
        <v>3888</v>
      </c>
      <c r="C34" s="1670">
        <v>1</v>
      </c>
      <c r="D34" s="1671" t="s">
        <v>52</v>
      </c>
      <c r="E34" s="1671" t="s">
        <v>3889</v>
      </c>
      <c r="F34" s="1671" t="s">
        <v>52</v>
      </c>
      <c r="G34" s="24">
        <f t="shared" si="0"/>
        <v>1.478277889042827</v>
      </c>
      <c r="H34" s="24"/>
      <c r="I34" s="24">
        <f>AH34/AH33*100</f>
        <v>100</v>
      </c>
      <c r="J34" s="23"/>
      <c r="K34" s="23"/>
      <c r="L34" s="23"/>
      <c r="M34" s="26"/>
      <c r="N34" s="26"/>
      <c r="O34" s="26"/>
      <c r="P34" s="23"/>
      <c r="Q34" s="23"/>
      <c r="R34" s="23"/>
      <c r="S34" s="26"/>
      <c r="T34" s="26"/>
      <c r="U34" s="26"/>
      <c r="V34" s="23"/>
      <c r="W34" s="23"/>
      <c r="X34" s="23"/>
      <c r="Y34" s="1666"/>
      <c r="Z34" s="26"/>
      <c r="AA34" s="1666"/>
      <c r="AB34" s="23">
        <v>1</v>
      </c>
      <c r="AC34" s="23"/>
      <c r="AD34" s="23"/>
      <c r="AE34" s="1283">
        <v>250</v>
      </c>
      <c r="AF34" s="26"/>
      <c r="AG34" s="26"/>
      <c r="AH34" s="1666">
        <f>SUM(AE34)</f>
        <v>250</v>
      </c>
      <c r="AI34" s="1666">
        <f>AH34</f>
        <v>250</v>
      </c>
      <c r="AJ34" s="26"/>
      <c r="AK34" s="26"/>
      <c r="AL34" s="26"/>
      <c r="AM34" s="26"/>
      <c r="AN34" s="26"/>
      <c r="AO34" s="35" t="s">
        <v>1703</v>
      </c>
      <c r="AP34" s="35" t="s">
        <v>3855</v>
      </c>
      <c r="AQ34" s="1532"/>
    </row>
    <row r="35" spans="1:43" ht="30">
      <c r="A35" s="47" t="s">
        <v>349</v>
      </c>
      <c r="B35" s="47" t="s">
        <v>350</v>
      </c>
      <c r="C35" s="1639"/>
      <c r="D35" s="1511"/>
      <c r="E35" s="1511"/>
      <c r="F35" s="1640"/>
      <c r="G35" s="8">
        <f t="shared" si="0"/>
        <v>35.786446793526558</v>
      </c>
      <c r="H35" s="8"/>
      <c r="I35" s="8"/>
      <c r="J35" s="7"/>
      <c r="K35" s="7"/>
      <c r="L35" s="7"/>
      <c r="M35" s="9"/>
      <c r="N35" s="9"/>
      <c r="O35" s="9"/>
      <c r="P35" s="7"/>
      <c r="Q35" s="7"/>
      <c r="R35" s="7"/>
      <c r="S35" s="9"/>
      <c r="T35" s="9"/>
      <c r="U35" s="9"/>
      <c r="V35" s="7"/>
      <c r="W35" s="7"/>
      <c r="X35" s="7"/>
      <c r="Y35" s="1643"/>
      <c r="Z35" s="9"/>
      <c r="AA35" s="9">
        <f>SUM(AA36,AA42)</f>
        <v>2989.18</v>
      </c>
      <c r="AB35" s="7"/>
      <c r="AC35" s="7"/>
      <c r="AD35" s="7"/>
      <c r="AE35" s="9">
        <f>SUM(AE36,AE42)</f>
        <v>1494.59</v>
      </c>
      <c r="AF35" s="9">
        <f>SUM(AF36,AF42)</f>
        <v>1568.28</v>
      </c>
      <c r="AG35" s="1643"/>
      <c r="AH35" s="9">
        <f t="shared" ref="AH35:AI35" si="6">SUM(AH36,AH42)</f>
        <v>6052.0499999999993</v>
      </c>
      <c r="AI35" s="9">
        <f t="shared" si="6"/>
        <v>6052.0499999999993</v>
      </c>
      <c r="AJ35" s="9"/>
      <c r="AK35" s="9"/>
      <c r="AL35" s="9"/>
      <c r="AM35" s="9"/>
      <c r="AN35" s="9"/>
      <c r="AO35" s="1535"/>
      <c r="AP35" s="1535"/>
      <c r="AQ35" s="1535"/>
    </row>
    <row r="36" spans="1:43" ht="30">
      <c r="A36" s="355" t="s">
        <v>351</v>
      </c>
      <c r="B36" s="355" t="s">
        <v>352</v>
      </c>
      <c r="C36" s="1647"/>
      <c r="D36" s="1516"/>
      <c r="E36" s="1516"/>
      <c r="F36" s="1648"/>
      <c r="G36" s="1649">
        <f t="shared" si="0"/>
        <v>18.111091992050412</v>
      </c>
      <c r="H36" s="1649"/>
      <c r="I36" s="12"/>
      <c r="J36" s="11"/>
      <c r="K36" s="11"/>
      <c r="L36" s="11"/>
      <c r="M36" s="13"/>
      <c r="N36" s="13"/>
      <c r="O36" s="13"/>
      <c r="P36" s="11"/>
      <c r="Q36" s="11"/>
      <c r="R36" s="11"/>
      <c r="S36" s="13"/>
      <c r="T36" s="13"/>
      <c r="U36" s="13"/>
      <c r="V36" s="11"/>
      <c r="W36" s="11"/>
      <c r="X36" s="11"/>
      <c r="Y36" s="1651"/>
      <c r="Z36" s="13"/>
      <c r="AA36" s="13">
        <f>AA37</f>
        <v>1494.59</v>
      </c>
      <c r="AB36" s="11"/>
      <c r="AC36" s="11"/>
      <c r="AD36" s="11"/>
      <c r="AE36" s="13"/>
      <c r="AF36" s="13">
        <f>AF37</f>
        <v>1568.28</v>
      </c>
      <c r="AG36" s="1651"/>
      <c r="AH36" s="13">
        <f t="shared" ref="AH36:AI36" si="7">AH37</f>
        <v>3062.87</v>
      </c>
      <c r="AI36" s="13">
        <f t="shared" si="7"/>
        <v>3062.87</v>
      </c>
      <c r="AJ36" s="13"/>
      <c r="AK36" s="13"/>
      <c r="AL36" s="13"/>
      <c r="AM36" s="13"/>
      <c r="AN36" s="13"/>
      <c r="AO36" s="1538"/>
      <c r="AP36" s="1538"/>
      <c r="AQ36" s="1538"/>
    </row>
    <row r="37" spans="1:43" ht="30">
      <c r="A37" s="517" t="s">
        <v>353</v>
      </c>
      <c r="B37" s="517" t="s">
        <v>354</v>
      </c>
      <c r="C37" s="1654"/>
      <c r="D37" s="1655"/>
      <c r="E37" s="1655"/>
      <c r="F37" s="1656"/>
      <c r="G37" s="1661">
        <f t="shared" si="0"/>
        <v>18.111091992050412</v>
      </c>
      <c r="H37" s="1661">
        <f>G37</f>
        <v>18.111091992050412</v>
      </c>
      <c r="I37" s="1661"/>
      <c r="J37" s="274"/>
      <c r="K37" s="274"/>
      <c r="L37" s="274"/>
      <c r="M37" s="1662"/>
      <c r="N37" s="1662"/>
      <c r="O37" s="1662"/>
      <c r="P37" s="274"/>
      <c r="Q37" s="274"/>
      <c r="R37" s="274"/>
      <c r="S37" s="1662"/>
      <c r="T37" s="1662"/>
      <c r="U37" s="1662"/>
      <c r="V37" s="274"/>
      <c r="W37" s="274"/>
      <c r="X37" s="274"/>
      <c r="Y37" s="1662"/>
      <c r="Z37" s="1662"/>
      <c r="AA37" s="1662">
        <f>SUM(AA38,AA40)</f>
        <v>1494.59</v>
      </c>
      <c r="AB37" s="274"/>
      <c r="AC37" s="274"/>
      <c r="AD37" s="274"/>
      <c r="AE37" s="1662"/>
      <c r="AF37" s="1662">
        <f>SUM(AF38,AF40)</f>
        <v>1568.28</v>
      </c>
      <c r="AG37" s="1662"/>
      <c r="AH37" s="1662">
        <f t="shared" ref="AH37:AI37" si="8">SUM(AH38,AH40)</f>
        <v>3062.87</v>
      </c>
      <c r="AI37" s="1662">
        <f t="shared" si="8"/>
        <v>3062.87</v>
      </c>
      <c r="AJ37" s="1662"/>
      <c r="AK37" s="1662"/>
      <c r="AL37" s="1662"/>
      <c r="AM37" s="1662"/>
      <c r="AN37" s="1662"/>
      <c r="AO37" s="1664"/>
      <c r="AP37" s="1664"/>
      <c r="AQ37" s="1664"/>
    </row>
    <row r="38" spans="1:43" ht="90">
      <c r="A38" s="371" t="s">
        <v>355</v>
      </c>
      <c r="B38" s="371" t="s">
        <v>356</v>
      </c>
      <c r="C38" s="372"/>
      <c r="D38" s="371" t="s">
        <v>357</v>
      </c>
      <c r="E38" s="371" t="s">
        <v>358</v>
      </c>
      <c r="F38" s="371"/>
      <c r="G38" s="20">
        <f t="shared" si="0"/>
        <v>8.8376774007380732</v>
      </c>
      <c r="H38" s="20"/>
      <c r="I38" s="20"/>
      <c r="J38" s="19"/>
      <c r="K38" s="19"/>
      <c r="L38" s="19"/>
      <c r="M38" s="21"/>
      <c r="N38" s="21"/>
      <c r="O38" s="21"/>
      <c r="P38" s="19"/>
      <c r="Q38" s="19"/>
      <c r="R38" s="19"/>
      <c r="S38" s="21"/>
      <c r="T38" s="21"/>
      <c r="U38" s="21"/>
      <c r="V38" s="19"/>
      <c r="W38" s="19"/>
      <c r="X38" s="19"/>
      <c r="Y38" s="21"/>
      <c r="Z38" s="21"/>
      <c r="AA38" s="21">
        <f>AA39</f>
        <v>1494.59</v>
      </c>
      <c r="AB38" s="19"/>
      <c r="AC38" s="19"/>
      <c r="AD38" s="19"/>
      <c r="AE38" s="21"/>
      <c r="AF38" s="21"/>
      <c r="AG38" s="21"/>
      <c r="AH38" s="21">
        <f>AH39</f>
        <v>1494.59</v>
      </c>
      <c r="AI38" s="21">
        <f>AI39</f>
        <v>1494.59</v>
      </c>
      <c r="AJ38" s="21"/>
      <c r="AK38" s="21"/>
      <c r="AL38" s="21"/>
      <c r="AM38" s="21"/>
      <c r="AN38" s="21"/>
      <c r="AO38" s="1672" t="s">
        <v>1703</v>
      </c>
      <c r="AP38" s="1672" t="s">
        <v>3858</v>
      </c>
      <c r="AQ38" s="1539"/>
    </row>
    <row r="39" spans="1:43" ht="75">
      <c r="A39" s="22" t="s">
        <v>3890</v>
      </c>
      <c r="B39" s="379" t="s">
        <v>3891</v>
      </c>
      <c r="C39" s="1673">
        <v>1</v>
      </c>
      <c r="D39" s="1671" t="s">
        <v>1649</v>
      </c>
      <c r="E39" s="22" t="s">
        <v>3892</v>
      </c>
      <c r="F39" s="1674" t="s">
        <v>57</v>
      </c>
      <c r="G39" s="1629">
        <f t="shared" si="0"/>
        <v>8.8376774007380732</v>
      </c>
      <c r="H39" s="1629"/>
      <c r="I39" s="1629">
        <f>AH39/AH38*100</f>
        <v>100</v>
      </c>
      <c r="J39" s="1627"/>
      <c r="K39" s="1627"/>
      <c r="L39" s="1627"/>
      <c r="M39" s="1630"/>
      <c r="N39" s="1630"/>
      <c r="O39" s="1630"/>
      <c r="P39" s="1627"/>
      <c r="Q39" s="1627"/>
      <c r="R39" s="1627"/>
      <c r="S39" s="1630"/>
      <c r="T39" s="1630"/>
      <c r="U39" s="1630"/>
      <c r="V39" s="1627"/>
      <c r="W39" s="1627"/>
      <c r="X39" s="1627">
        <v>1</v>
      </c>
      <c r="Y39" s="1630"/>
      <c r="Z39" s="1630"/>
      <c r="AA39" s="1283">
        <v>1494.59</v>
      </c>
      <c r="AB39" s="1627"/>
      <c r="AC39" s="1627"/>
      <c r="AD39" s="1627"/>
      <c r="AE39" s="1630"/>
      <c r="AF39" s="1630"/>
      <c r="AG39" s="1630"/>
      <c r="AH39" s="1630">
        <f>AA39</f>
        <v>1494.59</v>
      </c>
      <c r="AI39" s="1630">
        <f>AH39</f>
        <v>1494.59</v>
      </c>
      <c r="AJ39" s="1630"/>
      <c r="AK39" s="1630"/>
      <c r="AL39" s="1630"/>
      <c r="AM39" s="1630"/>
      <c r="AN39" s="1630"/>
      <c r="AO39" s="35" t="s">
        <v>1703</v>
      </c>
      <c r="AP39" s="35" t="s">
        <v>3858</v>
      </c>
      <c r="AQ39" s="1660"/>
    </row>
    <row r="40" spans="1:43" ht="30">
      <c r="A40" s="371" t="s">
        <v>3893</v>
      </c>
      <c r="B40" s="371" t="s">
        <v>3894</v>
      </c>
      <c r="C40" s="372"/>
      <c r="D40" s="18" t="s">
        <v>963</v>
      </c>
      <c r="E40" s="371" t="s">
        <v>3895</v>
      </c>
      <c r="F40" s="371"/>
      <c r="G40" s="20">
        <f t="shared" si="0"/>
        <v>9.2734145913123385</v>
      </c>
      <c r="H40" s="20"/>
      <c r="I40" s="20"/>
      <c r="J40" s="19"/>
      <c r="K40" s="19"/>
      <c r="L40" s="19"/>
      <c r="M40" s="21"/>
      <c r="N40" s="21"/>
      <c r="O40" s="21"/>
      <c r="P40" s="19"/>
      <c r="Q40" s="19"/>
      <c r="R40" s="19"/>
      <c r="S40" s="21"/>
      <c r="T40" s="21"/>
      <c r="U40" s="21"/>
      <c r="V40" s="19"/>
      <c r="W40" s="19"/>
      <c r="X40" s="19"/>
      <c r="Y40" s="21"/>
      <c r="Z40" s="21"/>
      <c r="AA40" s="21"/>
      <c r="AB40" s="19"/>
      <c r="AC40" s="19"/>
      <c r="AD40" s="19"/>
      <c r="AE40" s="21"/>
      <c r="AF40" s="21">
        <f>AF41</f>
        <v>1568.28</v>
      </c>
      <c r="AG40" s="21"/>
      <c r="AH40" s="21">
        <f>SUM(AH41)</f>
        <v>1568.28</v>
      </c>
      <c r="AI40" s="21">
        <f>AI41</f>
        <v>1568.28</v>
      </c>
      <c r="AJ40" s="21"/>
      <c r="AK40" s="21"/>
      <c r="AL40" s="21"/>
      <c r="AM40" s="21"/>
      <c r="AN40" s="21"/>
      <c r="AO40" s="1672" t="s">
        <v>1703</v>
      </c>
      <c r="AP40" s="1672" t="s">
        <v>3858</v>
      </c>
      <c r="AQ40" s="1539"/>
    </row>
    <row r="41" spans="1:43" ht="75">
      <c r="A41" s="379" t="s">
        <v>3896</v>
      </c>
      <c r="B41" s="1675" t="s">
        <v>3897</v>
      </c>
      <c r="C41" s="23">
        <v>1</v>
      </c>
      <c r="D41" s="22" t="s">
        <v>361</v>
      </c>
      <c r="E41" s="22" t="s">
        <v>3898</v>
      </c>
      <c r="F41" s="22" t="s">
        <v>3899</v>
      </c>
      <c r="G41" s="24">
        <f t="shared" si="0"/>
        <v>9.2734145913123385</v>
      </c>
      <c r="H41" s="24"/>
      <c r="I41" s="24">
        <f>AH41/AH40*100</f>
        <v>100</v>
      </c>
      <c r="J41" s="23"/>
      <c r="K41" s="23"/>
      <c r="L41" s="23"/>
      <c r="M41" s="26"/>
      <c r="N41" s="26"/>
      <c r="O41" s="26"/>
      <c r="P41" s="23"/>
      <c r="Q41" s="23"/>
      <c r="R41" s="23"/>
      <c r="S41" s="26"/>
      <c r="T41" s="26"/>
      <c r="U41" s="26"/>
      <c r="V41" s="23"/>
      <c r="W41" s="23"/>
      <c r="X41" s="23"/>
      <c r="Y41" s="26"/>
      <c r="Z41" s="26"/>
      <c r="AA41" s="26"/>
      <c r="AB41" s="23"/>
      <c r="AC41" s="23">
        <v>1</v>
      </c>
      <c r="AD41" s="23"/>
      <c r="AE41" s="26"/>
      <c r="AF41" s="26">
        <v>1568.28</v>
      </c>
      <c r="AG41" s="26"/>
      <c r="AH41" s="26">
        <f>SUM(AF41)</f>
        <v>1568.28</v>
      </c>
      <c r="AI41" s="26">
        <f>AH41</f>
        <v>1568.28</v>
      </c>
      <c r="AJ41" s="26"/>
      <c r="AK41" s="26"/>
      <c r="AL41" s="26"/>
      <c r="AM41" s="26"/>
      <c r="AN41" s="26"/>
      <c r="AO41" s="35" t="s">
        <v>1703</v>
      </c>
      <c r="AP41" s="35" t="s">
        <v>3855</v>
      </c>
      <c r="AQ41" s="1532"/>
    </row>
    <row r="42" spans="1:43" ht="30">
      <c r="A42" s="355" t="s">
        <v>2905</v>
      </c>
      <c r="B42" s="355" t="s">
        <v>798</v>
      </c>
      <c r="C42" s="1647"/>
      <c r="D42" s="1516"/>
      <c r="E42" s="1516"/>
      <c r="F42" s="1648"/>
      <c r="G42" s="12">
        <f t="shared" si="0"/>
        <v>17.675354801476146</v>
      </c>
      <c r="H42" s="12"/>
      <c r="I42" s="12"/>
      <c r="J42" s="11"/>
      <c r="K42" s="11"/>
      <c r="L42" s="11"/>
      <c r="M42" s="13"/>
      <c r="N42" s="13"/>
      <c r="O42" s="13"/>
      <c r="P42" s="11"/>
      <c r="Q42" s="11"/>
      <c r="R42" s="11"/>
      <c r="S42" s="13"/>
      <c r="T42" s="13"/>
      <c r="U42" s="13"/>
      <c r="V42" s="11"/>
      <c r="W42" s="11"/>
      <c r="X42" s="11"/>
      <c r="Y42" s="13"/>
      <c r="Z42" s="13"/>
      <c r="AA42" s="13">
        <f>AA43</f>
        <v>1494.59</v>
      </c>
      <c r="AB42" s="11"/>
      <c r="AC42" s="11"/>
      <c r="AD42" s="11"/>
      <c r="AE42" s="13">
        <f>AE43</f>
        <v>1494.59</v>
      </c>
      <c r="AF42" s="13"/>
      <c r="AG42" s="13"/>
      <c r="AH42" s="13">
        <f>AH43</f>
        <v>2989.18</v>
      </c>
      <c r="AI42" s="13">
        <f>AI43</f>
        <v>2989.18</v>
      </c>
      <c r="AJ42" s="13"/>
      <c r="AK42" s="13"/>
      <c r="AL42" s="13"/>
      <c r="AM42" s="13"/>
      <c r="AN42" s="13"/>
      <c r="AO42" s="1538"/>
      <c r="AP42" s="1538"/>
      <c r="AQ42" s="1538"/>
    </row>
    <row r="43" spans="1:43" ht="30">
      <c r="A43" s="517" t="s">
        <v>2906</v>
      </c>
      <c r="B43" s="517" t="s">
        <v>800</v>
      </c>
      <c r="C43" s="1654"/>
      <c r="D43" s="1655"/>
      <c r="E43" s="1655"/>
      <c r="F43" s="1656"/>
      <c r="G43" s="1661">
        <f t="shared" si="0"/>
        <v>17.675354801476146</v>
      </c>
      <c r="H43" s="1661">
        <f>G43</f>
        <v>17.675354801476146</v>
      </c>
      <c r="I43" s="1661"/>
      <c r="J43" s="274"/>
      <c r="K43" s="274"/>
      <c r="L43" s="274"/>
      <c r="M43" s="1662"/>
      <c r="N43" s="1662"/>
      <c r="O43" s="1662"/>
      <c r="P43" s="274"/>
      <c r="Q43" s="274"/>
      <c r="R43" s="274"/>
      <c r="S43" s="1662"/>
      <c r="T43" s="1662"/>
      <c r="U43" s="1662"/>
      <c r="V43" s="274"/>
      <c r="W43" s="274"/>
      <c r="X43" s="274"/>
      <c r="Y43" s="1662"/>
      <c r="Z43" s="1662"/>
      <c r="AA43" s="1662">
        <f>SUM(AA45,AA46)</f>
        <v>1494.59</v>
      </c>
      <c r="AB43" s="274"/>
      <c r="AC43" s="274"/>
      <c r="AD43" s="274"/>
      <c r="AE43" s="1662">
        <f>SUM(AE45,AE46)</f>
        <v>1494.59</v>
      </c>
      <c r="AF43" s="1662"/>
      <c r="AG43" s="1662"/>
      <c r="AH43" s="1662">
        <f>SUM(AH45,AH46)</f>
        <v>2989.18</v>
      </c>
      <c r="AI43" s="1662">
        <f>SUM(AI45,AI46)</f>
        <v>2989.18</v>
      </c>
      <c r="AJ43" s="1662"/>
      <c r="AK43" s="1662"/>
      <c r="AL43" s="1662"/>
      <c r="AM43" s="1662"/>
      <c r="AN43" s="1662"/>
      <c r="AO43" s="1664"/>
      <c r="AP43" s="1664"/>
      <c r="AQ43" s="1664"/>
    </row>
    <row r="44" spans="1:43" ht="45">
      <c r="A44" s="371" t="s">
        <v>2907</v>
      </c>
      <c r="B44" s="371" t="s">
        <v>802</v>
      </c>
      <c r="C44" s="372"/>
      <c r="D44" s="371" t="s">
        <v>2908</v>
      </c>
      <c r="E44" s="371" t="s">
        <v>2909</v>
      </c>
      <c r="F44" s="371"/>
      <c r="G44" s="20">
        <f t="shared" si="0"/>
        <v>8.8376774007380732</v>
      </c>
      <c r="H44" s="20"/>
      <c r="I44" s="20"/>
      <c r="J44" s="19"/>
      <c r="K44" s="19"/>
      <c r="L44" s="19"/>
      <c r="M44" s="21"/>
      <c r="N44" s="21"/>
      <c r="O44" s="21"/>
      <c r="P44" s="19"/>
      <c r="Q44" s="19"/>
      <c r="R44" s="19"/>
      <c r="S44" s="21"/>
      <c r="T44" s="21"/>
      <c r="U44" s="21"/>
      <c r="V44" s="19"/>
      <c r="W44" s="19"/>
      <c r="X44" s="19"/>
      <c r="Y44" s="21"/>
      <c r="Z44" s="21"/>
      <c r="AA44" s="21">
        <f>AA45</f>
        <v>1494.59</v>
      </c>
      <c r="AB44" s="19"/>
      <c r="AC44" s="19"/>
      <c r="AD44" s="19"/>
      <c r="AE44" s="21"/>
      <c r="AF44" s="21"/>
      <c r="AG44" s="21"/>
      <c r="AH44" s="21">
        <f>SUM(AH45)</f>
        <v>1494.59</v>
      </c>
      <c r="AI44" s="21">
        <f>SUM(AI45)</f>
        <v>1494.59</v>
      </c>
      <c r="AJ44" s="21"/>
      <c r="AK44" s="21"/>
      <c r="AL44" s="21"/>
      <c r="AM44" s="21"/>
      <c r="AN44" s="21"/>
      <c r="AO44" s="1539"/>
      <c r="AP44" s="1539"/>
      <c r="AQ44" s="1539"/>
    </row>
    <row r="45" spans="1:43" ht="45">
      <c r="A45" s="22" t="s">
        <v>3900</v>
      </c>
      <c r="B45" s="22" t="s">
        <v>3901</v>
      </c>
      <c r="C45" s="1676">
        <v>1</v>
      </c>
      <c r="D45" s="22" t="s">
        <v>52</v>
      </c>
      <c r="E45" s="22" t="s">
        <v>3902</v>
      </c>
      <c r="F45" s="22" t="s">
        <v>3903</v>
      </c>
      <c r="G45" s="1629">
        <f t="shared" si="0"/>
        <v>8.8376774007380732</v>
      </c>
      <c r="H45" s="1629"/>
      <c r="I45" s="1629">
        <f>AH45/AH44*100</f>
        <v>100</v>
      </c>
      <c r="J45" s="1627"/>
      <c r="K45" s="1627"/>
      <c r="L45" s="1627"/>
      <c r="M45" s="1630"/>
      <c r="N45" s="1630"/>
      <c r="O45" s="1630"/>
      <c r="P45" s="1627"/>
      <c r="Q45" s="1627"/>
      <c r="R45" s="1627"/>
      <c r="S45" s="1630"/>
      <c r="T45" s="1630"/>
      <c r="U45" s="1630"/>
      <c r="V45" s="1627"/>
      <c r="W45" s="1627"/>
      <c r="X45" s="1627">
        <v>1</v>
      </c>
      <c r="Y45" s="1630"/>
      <c r="Z45" s="1630"/>
      <c r="AA45" s="1283">
        <v>1494.59</v>
      </c>
      <c r="AB45" s="1627"/>
      <c r="AC45" s="1627"/>
      <c r="AD45" s="1627"/>
      <c r="AE45" s="1630"/>
      <c r="AF45" s="1630"/>
      <c r="AG45" s="1630"/>
      <c r="AH45" s="1630">
        <f>SUM(AA45)</f>
        <v>1494.59</v>
      </c>
      <c r="AI45" s="1630">
        <f>AH45</f>
        <v>1494.59</v>
      </c>
      <c r="AJ45" s="1630"/>
      <c r="AK45" s="1630"/>
      <c r="AL45" s="1630"/>
      <c r="AM45" s="1630"/>
      <c r="AN45" s="1630"/>
      <c r="AO45" s="35" t="s">
        <v>1703</v>
      </c>
      <c r="AP45" s="35" t="s">
        <v>3855</v>
      </c>
      <c r="AQ45" s="1660"/>
    </row>
    <row r="46" spans="1:43" ht="45">
      <c r="A46" s="371" t="s">
        <v>2915</v>
      </c>
      <c r="B46" s="371" t="s">
        <v>2916</v>
      </c>
      <c r="C46" s="372"/>
      <c r="D46" s="18" t="s">
        <v>2917</v>
      </c>
      <c r="E46" s="371" t="s">
        <v>2918</v>
      </c>
      <c r="F46" s="371"/>
      <c r="G46" s="20">
        <f t="shared" si="0"/>
        <v>8.8376774007380732</v>
      </c>
      <c r="H46" s="20"/>
      <c r="I46" s="20"/>
      <c r="J46" s="19"/>
      <c r="K46" s="19"/>
      <c r="L46" s="19"/>
      <c r="M46" s="21"/>
      <c r="N46" s="21"/>
      <c r="O46" s="21"/>
      <c r="P46" s="19"/>
      <c r="Q46" s="19"/>
      <c r="R46" s="19"/>
      <c r="S46" s="21"/>
      <c r="T46" s="21"/>
      <c r="U46" s="21"/>
      <c r="V46" s="19"/>
      <c r="W46" s="19"/>
      <c r="X46" s="19"/>
      <c r="Y46" s="21"/>
      <c r="Z46" s="21"/>
      <c r="AA46" s="21"/>
      <c r="AB46" s="19"/>
      <c r="AC46" s="19"/>
      <c r="AD46" s="19"/>
      <c r="AE46" s="21">
        <f>AE47</f>
        <v>1494.59</v>
      </c>
      <c r="AF46" s="21"/>
      <c r="AG46" s="21"/>
      <c r="AH46" s="21">
        <f>SUM(AH47)</f>
        <v>1494.59</v>
      </c>
      <c r="AI46" s="21">
        <f>SUM(AI47)</f>
        <v>1494.59</v>
      </c>
      <c r="AJ46" s="21"/>
      <c r="AK46" s="21"/>
      <c r="AL46" s="21"/>
      <c r="AM46" s="21"/>
      <c r="AN46" s="21"/>
      <c r="AO46" s="1539"/>
      <c r="AP46" s="1539"/>
      <c r="AQ46" s="1539"/>
    </row>
    <row r="47" spans="1:43" ht="45">
      <c r="A47" s="22" t="s">
        <v>3904</v>
      </c>
      <c r="B47" s="22" t="s">
        <v>3905</v>
      </c>
      <c r="C47" s="1676">
        <v>1</v>
      </c>
      <c r="D47" s="22" t="s">
        <v>2908</v>
      </c>
      <c r="E47" s="22" t="s">
        <v>3906</v>
      </c>
      <c r="F47" s="22" t="s">
        <v>3361</v>
      </c>
      <c r="G47" s="24">
        <f t="shared" si="0"/>
        <v>8.8376774007380732</v>
      </c>
      <c r="H47" s="24"/>
      <c r="I47" s="1629">
        <f>AH47/AH46*100</f>
        <v>100</v>
      </c>
      <c r="J47" s="1627"/>
      <c r="K47" s="1627"/>
      <c r="L47" s="1627"/>
      <c r="M47" s="1630"/>
      <c r="N47" s="1630"/>
      <c r="O47" s="1630"/>
      <c r="P47" s="1627"/>
      <c r="Q47" s="1627"/>
      <c r="R47" s="1627"/>
      <c r="S47" s="1630"/>
      <c r="T47" s="1630"/>
      <c r="U47" s="1630"/>
      <c r="V47" s="23"/>
      <c r="W47" s="23"/>
      <c r="X47" s="23"/>
      <c r="Y47" s="26"/>
      <c r="Z47" s="26"/>
      <c r="AA47" s="26"/>
      <c r="AB47" s="23">
        <v>1</v>
      </c>
      <c r="AC47" s="23"/>
      <c r="AD47" s="23"/>
      <c r="AE47" s="1283">
        <v>1494.59</v>
      </c>
      <c r="AF47" s="26"/>
      <c r="AG47" s="26"/>
      <c r="AH47" s="26">
        <f>SUM(AE47)</f>
        <v>1494.59</v>
      </c>
      <c r="AI47" s="26">
        <f>AH47</f>
        <v>1494.59</v>
      </c>
      <c r="AJ47" s="26"/>
      <c r="AK47" s="26"/>
      <c r="AL47" s="26"/>
      <c r="AM47" s="26"/>
      <c r="AN47" s="26"/>
      <c r="AO47" s="35" t="s">
        <v>1703</v>
      </c>
      <c r="AP47" s="35" t="s">
        <v>3855</v>
      </c>
      <c r="AQ47" s="1532"/>
    </row>
    <row r="48" spans="1:43" ht="15.6">
      <c r="A48" s="1677"/>
      <c r="B48" s="1299"/>
      <c r="C48" s="1588"/>
      <c r="D48" s="14"/>
      <c r="E48" s="14"/>
      <c r="F48" s="14"/>
      <c r="G48" s="16"/>
      <c r="H48" s="16">
        <f>SUM(H11:H47)</f>
        <v>100</v>
      </c>
      <c r="I48" s="16"/>
      <c r="J48" s="15"/>
      <c r="K48" s="15"/>
      <c r="L48" s="15"/>
      <c r="M48" s="17"/>
      <c r="N48" s="17"/>
      <c r="O48" s="17"/>
      <c r="P48" s="15"/>
      <c r="Q48" s="15"/>
      <c r="R48" s="15"/>
      <c r="S48" s="17"/>
      <c r="T48" s="17"/>
      <c r="U48" s="17"/>
      <c r="V48" s="15"/>
      <c r="W48" s="15"/>
      <c r="X48" s="15"/>
      <c r="Y48" s="17"/>
      <c r="Z48" s="17"/>
      <c r="AA48" s="17">
        <f>SUM(AA35,AA25,AA11)</f>
        <v>2989.18</v>
      </c>
      <c r="AB48" s="15"/>
      <c r="AC48" s="15"/>
      <c r="AD48" s="15"/>
      <c r="AE48" s="17">
        <f>SUM(AE35,AE25,AE11)</f>
        <v>3239.18</v>
      </c>
      <c r="AF48" s="17">
        <f>SUM(AF35,AF25,AF11)</f>
        <v>3810.17</v>
      </c>
      <c r="AG48" s="17">
        <f>SUM(AG35,AG25,AG11)</f>
        <v>6873.0399999999991</v>
      </c>
      <c r="AH48" s="17">
        <f>SUM(AH35,AH25,AH11)</f>
        <v>16911.57</v>
      </c>
      <c r="AI48" s="17">
        <f>SUM(AI35,AI25,AI11)</f>
        <v>16911.57</v>
      </c>
      <c r="AJ48" s="17"/>
      <c r="AK48" s="17"/>
      <c r="AL48" s="17"/>
      <c r="AM48" s="17"/>
      <c r="AN48" s="17"/>
      <c r="AO48" s="1299"/>
      <c r="AP48" s="1299"/>
      <c r="AQ48" s="1299"/>
    </row>
  </sheetData>
  <sheetProtection algorithmName="SHA-512" hashValue="xhNJUvU4KML+X+xOcNFzkt76rAz78XTGhaQ+CT2V0iePN4K1KuX/Rtc1u3lmR0IKF4HlRjSAbMubsLOcbhryeA==" saltValue="KztJ0ARz3WaQtdd89XzkAw==" spinCount="100000" sheet="1" objects="1" scenarios="1"/>
  <mergeCells count="36">
    <mergeCell ref="V9:X9"/>
    <mergeCell ref="Y9:AA9"/>
    <mergeCell ref="AB9:AD9"/>
    <mergeCell ref="AN8:AN10"/>
    <mergeCell ref="J9:L9"/>
    <mergeCell ref="M9:O9"/>
    <mergeCell ref="AE9:AG9"/>
    <mergeCell ref="AQ7:AQ10"/>
    <mergeCell ref="J8:O8"/>
    <mergeCell ref="P8:U8"/>
    <mergeCell ref="V8:AA8"/>
    <mergeCell ref="AB8:AG8"/>
    <mergeCell ref="AH8:AH10"/>
    <mergeCell ref="AI8:AI10"/>
    <mergeCell ref="AJ8:AJ10"/>
    <mergeCell ref="AK8:AK10"/>
    <mergeCell ref="AL8:AL10"/>
    <mergeCell ref="AP7:AP10"/>
    <mergeCell ref="P9:R9"/>
    <mergeCell ref="S9:U9"/>
    <mergeCell ref="A1:AQ1"/>
    <mergeCell ref="A2:AQ2"/>
    <mergeCell ref="A3:AQ3"/>
    <mergeCell ref="A7:A10"/>
    <mergeCell ref="B7:B10"/>
    <mergeCell ref="C7:C10"/>
    <mergeCell ref="D7:D10"/>
    <mergeCell ref="E7:E10"/>
    <mergeCell ref="F7:F10"/>
    <mergeCell ref="G7:G10"/>
    <mergeCell ref="H7:H10"/>
    <mergeCell ref="I7:I10"/>
    <mergeCell ref="J7:AG7"/>
    <mergeCell ref="AI7:AN7"/>
    <mergeCell ref="AO7:AO10"/>
    <mergeCell ref="AM8:AM1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5"/>
  <sheetViews>
    <sheetView workbookViewId="0">
      <selection activeCell="I13" sqref="I13"/>
    </sheetView>
  </sheetViews>
  <sheetFormatPr baseColWidth="10" defaultRowHeight="14.4"/>
  <cols>
    <col min="1" max="1" width="17.33203125" customWidth="1"/>
    <col min="2" max="2" width="20.5546875" customWidth="1"/>
    <col min="3" max="3" width="7.88671875" customWidth="1"/>
    <col min="4" max="4" width="14.33203125" bestFit="1" customWidth="1"/>
    <col min="5" max="5" width="14.6640625" customWidth="1"/>
    <col min="6" max="6" width="18.44140625" customWidth="1"/>
    <col min="7" max="7" width="8.109375" customWidth="1"/>
    <col min="8" max="8" width="10.33203125" customWidth="1"/>
    <col min="9" max="9" width="9.44140625" customWidth="1"/>
    <col min="10" max="11" width="5.109375" customWidth="1"/>
    <col min="12" max="12" width="7" customWidth="1"/>
    <col min="13" max="13" width="11.44140625" bestFit="1" customWidth="1"/>
    <col min="14" max="14" width="12.6640625" bestFit="1" customWidth="1"/>
    <col min="15" max="15" width="11.44140625" bestFit="1" customWidth="1"/>
    <col min="16" max="18" width="7" customWidth="1"/>
    <col min="19" max="21" width="11.44140625" bestFit="1" customWidth="1"/>
    <col min="22" max="24" width="7" customWidth="1"/>
    <col min="25" max="27" width="11.44140625" bestFit="1" customWidth="1"/>
    <col min="28" max="30" width="7" customWidth="1"/>
    <col min="31" max="33" width="11.44140625" bestFit="1" customWidth="1"/>
    <col min="34" max="35" width="12.6640625" bestFit="1" customWidth="1"/>
    <col min="36" max="37" width="8.6640625" customWidth="1"/>
    <col min="38" max="38" width="11.44140625" bestFit="1" customWidth="1"/>
    <col min="39" max="39" width="8.44140625" customWidth="1"/>
    <col min="40" max="40" width="12.109375" customWidth="1"/>
    <col min="41" max="41" width="13.6640625" customWidth="1"/>
    <col min="42" max="43" width="14.33203125" customWidth="1"/>
  </cols>
  <sheetData>
    <row r="1" spans="1:43" ht="15.6">
      <c r="A1" s="2206" t="s">
        <v>3907</v>
      </c>
      <c r="B1" s="2206"/>
      <c r="C1" s="2206"/>
      <c r="D1" s="2206"/>
      <c r="E1" s="2206"/>
      <c r="F1" s="2206"/>
      <c r="G1" s="2206"/>
      <c r="H1" s="2206"/>
      <c r="I1" s="2206"/>
      <c r="J1" s="2206"/>
      <c r="K1" s="2206"/>
      <c r="L1" s="2206"/>
      <c r="M1" s="2206"/>
      <c r="N1" s="2206"/>
      <c r="O1" s="2206"/>
      <c r="P1" s="2206"/>
      <c r="Q1" s="2206"/>
      <c r="R1" s="2206"/>
      <c r="S1" s="2206"/>
      <c r="T1" s="2206"/>
      <c r="U1" s="2206"/>
      <c r="V1" s="2206"/>
      <c r="W1" s="2206"/>
      <c r="X1" s="2206"/>
      <c r="Y1" s="2206"/>
      <c r="Z1" s="2206"/>
      <c r="AA1" s="2206"/>
      <c r="AB1" s="2206"/>
      <c r="AC1" s="2206"/>
      <c r="AD1" s="2206"/>
      <c r="AE1" s="2206"/>
      <c r="AF1" s="2206"/>
      <c r="AG1" s="2206"/>
      <c r="AH1" s="2206"/>
      <c r="AI1" s="2206"/>
      <c r="AJ1" s="2206"/>
      <c r="AK1" s="2206"/>
      <c r="AL1" s="2206"/>
      <c r="AM1" s="2206"/>
      <c r="AN1" s="2206"/>
      <c r="AO1" s="2206"/>
      <c r="AP1" s="2206"/>
      <c r="AQ1" s="2206"/>
    </row>
    <row r="2" spans="1:43" ht="15.6">
      <c r="A2" s="1678"/>
      <c r="B2" s="1679" t="s">
        <v>1390</v>
      </c>
      <c r="C2" s="1679"/>
      <c r="D2" s="1679"/>
      <c r="E2" s="1678"/>
      <c r="F2" s="1678"/>
      <c r="G2" s="1678"/>
      <c r="H2" s="1678"/>
      <c r="I2" s="1678"/>
      <c r="J2" s="1678"/>
      <c r="K2" s="1678"/>
      <c r="L2" s="1680"/>
      <c r="M2" s="1680"/>
      <c r="N2" s="1680"/>
      <c r="O2" s="1680"/>
      <c r="P2" s="1680"/>
      <c r="Q2" s="1680"/>
      <c r="R2" s="1680"/>
      <c r="S2" s="1680"/>
      <c r="T2" s="1680"/>
      <c r="U2" s="1680"/>
      <c r="V2" s="1678"/>
      <c r="W2" s="1678"/>
      <c r="X2" s="1678"/>
      <c r="Y2" s="1678"/>
      <c r="Z2" s="1678"/>
      <c r="AA2" s="1678"/>
      <c r="AB2" s="1678"/>
      <c r="AC2" s="1678"/>
      <c r="AD2" s="1678"/>
      <c r="AE2" s="1678"/>
      <c r="AF2" s="1678"/>
      <c r="AG2" s="1678"/>
      <c r="AH2" s="1678"/>
      <c r="AI2" s="1680"/>
      <c r="AJ2" s="1678"/>
      <c r="AK2" s="1678"/>
      <c r="AL2" s="1678"/>
      <c r="AM2" s="1678"/>
      <c r="AN2" s="1678"/>
      <c r="AO2" s="1678"/>
      <c r="AP2" s="2207"/>
      <c r="AQ2" s="2207"/>
    </row>
    <row r="3" spans="1:43" ht="15.6">
      <c r="A3" s="1678"/>
      <c r="B3" s="1681" t="s">
        <v>3908</v>
      </c>
      <c r="C3" s="1681"/>
      <c r="D3" s="1681"/>
      <c r="E3" s="1682"/>
      <c r="F3" s="1682"/>
      <c r="G3" s="1678"/>
      <c r="H3" s="1678"/>
      <c r="I3" s="1678"/>
      <c r="J3" s="1678"/>
      <c r="K3" s="1678"/>
      <c r="L3" s="1680"/>
      <c r="M3" s="1680"/>
      <c r="N3" s="1680"/>
      <c r="O3" s="1680"/>
      <c r="P3" s="1680"/>
      <c r="Q3" s="1680"/>
      <c r="R3" s="1680"/>
      <c r="S3" s="1680"/>
      <c r="T3" s="1680"/>
      <c r="U3" s="1680"/>
      <c r="V3" s="1678"/>
      <c r="W3" s="1678"/>
      <c r="X3" s="1678"/>
      <c r="Y3" s="1678"/>
      <c r="Z3" s="1678"/>
      <c r="AA3" s="1678"/>
      <c r="AB3" s="1678"/>
      <c r="AC3" s="1678"/>
      <c r="AD3" s="1678"/>
      <c r="AE3" s="1678"/>
      <c r="AF3" s="1678"/>
      <c r="AG3" s="1678"/>
      <c r="AH3" s="1678"/>
      <c r="AI3" s="1680"/>
      <c r="AJ3" s="1678"/>
      <c r="AK3" s="1678"/>
      <c r="AL3" s="1678"/>
      <c r="AM3" s="1678"/>
      <c r="AN3" s="1678"/>
      <c r="AO3" s="1678"/>
      <c r="AP3" s="1683"/>
      <c r="AQ3" s="1683"/>
    </row>
    <row r="4" spans="1:43" ht="15.6">
      <c r="A4" s="1682"/>
      <c r="B4" s="1681" t="s">
        <v>4</v>
      </c>
      <c r="C4" s="1684"/>
      <c r="D4" s="1685"/>
      <c r="E4" s="1685"/>
      <c r="F4" s="1685"/>
      <c r="G4" s="1682"/>
      <c r="H4" s="1682"/>
      <c r="I4" s="1682"/>
      <c r="J4" s="1682"/>
      <c r="K4" s="1682"/>
      <c r="L4" s="1686"/>
      <c r="M4" s="1686"/>
      <c r="N4" s="1686"/>
      <c r="O4" s="1686"/>
      <c r="P4" s="1686"/>
      <c r="Q4" s="1686"/>
      <c r="R4" s="1686"/>
      <c r="S4" s="1686"/>
      <c r="T4" s="1686"/>
      <c r="U4" s="1686"/>
      <c r="V4" s="1682"/>
      <c r="W4" s="1682"/>
      <c r="X4" s="1682"/>
      <c r="Y4" s="1682"/>
      <c r="Z4" s="1682"/>
      <c r="AA4" s="1682"/>
      <c r="AB4" s="1682"/>
      <c r="AC4" s="1682"/>
      <c r="AD4" s="1682"/>
      <c r="AE4" s="1682"/>
      <c r="AF4" s="1682"/>
      <c r="AG4" s="1682"/>
      <c r="AH4" s="1682"/>
      <c r="AI4" s="1686"/>
      <c r="AJ4" s="1682"/>
      <c r="AK4" s="1682"/>
      <c r="AL4" s="1682"/>
      <c r="AM4" s="1682"/>
      <c r="AN4" s="1682"/>
      <c r="AO4" s="1682"/>
      <c r="AP4" s="1682"/>
      <c r="AQ4" s="1682"/>
    </row>
    <row r="5" spans="1:43">
      <c r="A5" s="1687" t="s">
        <v>5</v>
      </c>
      <c r="B5" s="2208" t="s">
        <v>3404</v>
      </c>
      <c r="C5" s="2209" t="s">
        <v>7</v>
      </c>
      <c r="D5" s="2209" t="s">
        <v>8</v>
      </c>
      <c r="E5" s="2209" t="s">
        <v>9</v>
      </c>
      <c r="F5" s="2209" t="s">
        <v>10</v>
      </c>
      <c r="G5" s="2210" t="s">
        <v>3909</v>
      </c>
      <c r="H5" s="2210" t="s">
        <v>3910</v>
      </c>
      <c r="I5" s="2210" t="s">
        <v>3911</v>
      </c>
      <c r="J5" s="2208" t="s">
        <v>14</v>
      </c>
      <c r="K5" s="2208"/>
      <c r="L5" s="2208"/>
      <c r="M5" s="2208"/>
      <c r="N5" s="2208"/>
      <c r="O5" s="2208"/>
      <c r="P5" s="2208"/>
      <c r="Q5" s="2208"/>
      <c r="R5" s="2208"/>
      <c r="S5" s="2208"/>
      <c r="T5" s="2208"/>
      <c r="U5" s="2208"/>
      <c r="V5" s="2208"/>
      <c r="W5" s="2208"/>
      <c r="X5" s="2208"/>
      <c r="Y5" s="2208"/>
      <c r="Z5" s="2208"/>
      <c r="AA5" s="2208"/>
      <c r="AB5" s="2208"/>
      <c r="AC5" s="2208"/>
      <c r="AD5" s="2208"/>
      <c r="AE5" s="2208"/>
      <c r="AF5" s="2208"/>
      <c r="AG5" s="2208"/>
      <c r="AH5" s="2208"/>
      <c r="AI5" s="2209" t="s">
        <v>15</v>
      </c>
      <c r="AJ5" s="2209"/>
      <c r="AK5" s="2209"/>
      <c r="AL5" s="2209"/>
      <c r="AM5" s="2209"/>
      <c r="AN5" s="2209"/>
      <c r="AO5" s="2209" t="s">
        <v>16</v>
      </c>
      <c r="AP5" s="2209" t="s">
        <v>17</v>
      </c>
      <c r="AQ5" s="2209" t="s">
        <v>18</v>
      </c>
    </row>
    <row r="6" spans="1:43">
      <c r="A6" s="2211" t="s">
        <v>1395</v>
      </c>
      <c r="B6" s="2208"/>
      <c r="C6" s="2209"/>
      <c r="D6" s="2209"/>
      <c r="E6" s="2209"/>
      <c r="F6" s="2209"/>
      <c r="G6" s="2210"/>
      <c r="H6" s="2210"/>
      <c r="I6" s="2210"/>
      <c r="J6" s="2212" t="s">
        <v>19</v>
      </c>
      <c r="K6" s="2212"/>
      <c r="L6" s="2212"/>
      <c r="M6" s="2212"/>
      <c r="N6" s="2212"/>
      <c r="O6" s="2212"/>
      <c r="P6" s="2212" t="s">
        <v>20</v>
      </c>
      <c r="Q6" s="2212"/>
      <c r="R6" s="2212"/>
      <c r="S6" s="2212"/>
      <c r="T6" s="2212"/>
      <c r="U6" s="2212"/>
      <c r="V6" s="2212" t="s">
        <v>21</v>
      </c>
      <c r="W6" s="2212"/>
      <c r="X6" s="2212"/>
      <c r="Y6" s="2212"/>
      <c r="Z6" s="2212"/>
      <c r="AA6" s="2212"/>
      <c r="AB6" s="2212" t="s">
        <v>22</v>
      </c>
      <c r="AC6" s="2212"/>
      <c r="AD6" s="2212"/>
      <c r="AE6" s="2212"/>
      <c r="AF6" s="2212"/>
      <c r="AG6" s="2212"/>
      <c r="AH6" s="2209" t="s">
        <v>3912</v>
      </c>
      <c r="AI6" s="2211" t="s">
        <v>24</v>
      </c>
      <c r="AJ6" s="2211" t="s">
        <v>3913</v>
      </c>
      <c r="AK6" s="2211" t="s">
        <v>3914</v>
      </c>
      <c r="AL6" s="2211" t="s">
        <v>3915</v>
      </c>
      <c r="AM6" s="2211" t="s">
        <v>3916</v>
      </c>
      <c r="AN6" s="2211" t="s">
        <v>3917</v>
      </c>
      <c r="AO6" s="2209"/>
      <c r="AP6" s="2209"/>
      <c r="AQ6" s="2209"/>
    </row>
    <row r="7" spans="1:43">
      <c r="A7" s="2211"/>
      <c r="B7" s="2208"/>
      <c r="C7" s="2209"/>
      <c r="D7" s="2209"/>
      <c r="E7" s="2209"/>
      <c r="F7" s="2209"/>
      <c r="G7" s="2210"/>
      <c r="H7" s="2210"/>
      <c r="I7" s="2210"/>
      <c r="J7" s="2212" t="s">
        <v>3918</v>
      </c>
      <c r="K7" s="2212"/>
      <c r="L7" s="2212"/>
      <c r="M7" s="2212" t="s">
        <v>3919</v>
      </c>
      <c r="N7" s="2212"/>
      <c r="O7" s="2212"/>
      <c r="P7" s="2212" t="s">
        <v>3918</v>
      </c>
      <c r="Q7" s="2212"/>
      <c r="R7" s="2212"/>
      <c r="S7" s="2212" t="s">
        <v>3919</v>
      </c>
      <c r="T7" s="2212"/>
      <c r="U7" s="2212"/>
      <c r="V7" s="2212" t="s">
        <v>3918</v>
      </c>
      <c r="W7" s="2212"/>
      <c r="X7" s="2212"/>
      <c r="Y7" s="2212" t="s">
        <v>3919</v>
      </c>
      <c r="Z7" s="2212"/>
      <c r="AA7" s="2212"/>
      <c r="AB7" s="2212" t="s">
        <v>3918</v>
      </c>
      <c r="AC7" s="2212"/>
      <c r="AD7" s="2212"/>
      <c r="AE7" s="2212" t="s">
        <v>3919</v>
      </c>
      <c r="AF7" s="2212"/>
      <c r="AG7" s="2212"/>
      <c r="AH7" s="2209"/>
      <c r="AI7" s="2211"/>
      <c r="AJ7" s="2211"/>
      <c r="AK7" s="2211"/>
      <c r="AL7" s="2211"/>
      <c r="AM7" s="2211"/>
      <c r="AN7" s="2211"/>
      <c r="AO7" s="2209"/>
      <c r="AP7" s="2209"/>
      <c r="AQ7" s="2209"/>
    </row>
    <row r="8" spans="1:43">
      <c r="A8" s="2211"/>
      <c r="B8" s="2208"/>
      <c r="C8" s="2209"/>
      <c r="D8" s="2209"/>
      <c r="E8" s="2209"/>
      <c r="F8" s="2209"/>
      <c r="G8" s="2210"/>
      <c r="H8" s="2210"/>
      <c r="I8" s="2210"/>
      <c r="J8" s="1688" t="s">
        <v>32</v>
      </c>
      <c r="K8" s="1688" t="s">
        <v>33</v>
      </c>
      <c r="L8" s="1688" t="s">
        <v>34</v>
      </c>
      <c r="M8" s="1688" t="s">
        <v>32</v>
      </c>
      <c r="N8" s="1688" t="s">
        <v>33</v>
      </c>
      <c r="O8" s="1688" t="s">
        <v>34</v>
      </c>
      <c r="P8" s="1688" t="s">
        <v>35</v>
      </c>
      <c r="Q8" s="1688" t="s">
        <v>34</v>
      </c>
      <c r="R8" s="1688" t="s">
        <v>36</v>
      </c>
      <c r="S8" s="1688" t="s">
        <v>35</v>
      </c>
      <c r="T8" s="1688" t="s">
        <v>34</v>
      </c>
      <c r="U8" s="1688" t="s">
        <v>36</v>
      </c>
      <c r="V8" s="1688" t="s">
        <v>36</v>
      </c>
      <c r="W8" s="1688" t="s">
        <v>35</v>
      </c>
      <c r="X8" s="1688" t="s">
        <v>37</v>
      </c>
      <c r="Y8" s="1688" t="s">
        <v>36</v>
      </c>
      <c r="Z8" s="1688" t="s">
        <v>35</v>
      </c>
      <c r="AA8" s="1688" t="s">
        <v>37</v>
      </c>
      <c r="AB8" s="1688" t="s">
        <v>38</v>
      </c>
      <c r="AC8" s="1688" t="s">
        <v>39</v>
      </c>
      <c r="AD8" s="1688" t="s">
        <v>40</v>
      </c>
      <c r="AE8" s="1688" t="s">
        <v>38</v>
      </c>
      <c r="AF8" s="1688" t="s">
        <v>39</v>
      </c>
      <c r="AG8" s="1688" t="s">
        <v>40</v>
      </c>
      <c r="AH8" s="2209"/>
      <c r="AI8" s="2211"/>
      <c r="AJ8" s="2211"/>
      <c r="AK8" s="2211"/>
      <c r="AL8" s="2211"/>
      <c r="AM8" s="2211"/>
      <c r="AN8" s="2211"/>
      <c r="AO8" s="2209"/>
      <c r="AP8" s="2209"/>
      <c r="AQ8" s="2209"/>
    </row>
    <row r="9" spans="1:43" ht="45">
      <c r="A9" s="47" t="s">
        <v>349</v>
      </c>
      <c r="B9" s="47" t="s">
        <v>350</v>
      </c>
      <c r="C9" s="349"/>
      <c r="D9" s="47"/>
      <c r="E9" s="47"/>
      <c r="F9" s="47"/>
      <c r="G9" s="1689">
        <f>AH9/AH$35*100</f>
        <v>1.4687336789676828</v>
      </c>
      <c r="H9" s="1690"/>
      <c r="I9" s="1690"/>
      <c r="J9" s="1691"/>
      <c r="K9" s="1691"/>
      <c r="L9" s="1691"/>
      <c r="M9" s="1692"/>
      <c r="N9" s="1692"/>
      <c r="O9" s="1692"/>
      <c r="P9" s="1691"/>
      <c r="Q9" s="1691"/>
      <c r="R9" s="1691"/>
      <c r="S9" s="1692">
        <f>SUM(S10)</f>
        <v>2305</v>
      </c>
      <c r="T9" s="1692"/>
      <c r="U9" s="1692">
        <f>SUM(U10)</f>
        <v>2305</v>
      </c>
      <c r="V9" s="1691"/>
      <c r="W9" s="1691"/>
      <c r="X9" s="1691"/>
      <c r="Y9" s="1692">
        <f>SUM(Y10)</f>
        <v>2305</v>
      </c>
      <c r="Z9" s="1692"/>
      <c r="AA9" s="1692">
        <f>SUM(AA10)</f>
        <v>2305</v>
      </c>
      <c r="AB9" s="1691"/>
      <c r="AC9" s="1691"/>
      <c r="AD9" s="1691"/>
      <c r="AE9" s="1692">
        <f>SUM(AE10)</f>
        <v>2310</v>
      </c>
      <c r="AF9" s="1692"/>
      <c r="AG9" s="1692"/>
      <c r="AH9" s="1692">
        <f t="shared" ref="AH9:AI12" si="0">SUM(AH10)</f>
        <v>11530</v>
      </c>
      <c r="AI9" s="1692">
        <f t="shared" si="0"/>
        <v>11530</v>
      </c>
      <c r="AJ9" s="1692"/>
      <c r="AK9" s="1692"/>
      <c r="AL9" s="1692"/>
      <c r="AM9" s="1693"/>
      <c r="AN9" s="1693"/>
      <c r="AO9" s="1694"/>
      <c r="AP9" s="1694" t="s">
        <v>3920</v>
      </c>
      <c r="AQ9" s="1694"/>
    </row>
    <row r="10" spans="1:43" ht="30">
      <c r="A10" s="355" t="s">
        <v>2905</v>
      </c>
      <c r="B10" s="355" t="s">
        <v>798</v>
      </c>
      <c r="C10" s="356"/>
      <c r="D10" s="355"/>
      <c r="E10" s="355"/>
      <c r="F10" s="355"/>
      <c r="G10" s="1695">
        <f t="shared" ref="G10:G34" si="1">AH10/AH$35*100</f>
        <v>1.4687336789676828</v>
      </c>
      <c r="H10" s="1696"/>
      <c r="I10" s="1696"/>
      <c r="J10" s="1697"/>
      <c r="K10" s="1697"/>
      <c r="L10" s="1697"/>
      <c r="M10" s="1698"/>
      <c r="N10" s="1698"/>
      <c r="O10" s="1698"/>
      <c r="P10" s="1697"/>
      <c r="Q10" s="1697"/>
      <c r="R10" s="1697"/>
      <c r="S10" s="1698">
        <f>SUM(S11)</f>
        <v>2305</v>
      </c>
      <c r="T10" s="1698"/>
      <c r="U10" s="1698">
        <f>SUM(U11)</f>
        <v>2305</v>
      </c>
      <c r="V10" s="1697"/>
      <c r="W10" s="1697"/>
      <c r="X10" s="1697"/>
      <c r="Y10" s="1698">
        <f>SUM(Y11)</f>
        <v>2305</v>
      </c>
      <c r="Z10" s="1698"/>
      <c r="AA10" s="1698">
        <f>SUM(AA11)</f>
        <v>2305</v>
      </c>
      <c r="AB10" s="1697"/>
      <c r="AC10" s="1697"/>
      <c r="AD10" s="1697"/>
      <c r="AE10" s="1698">
        <f>SUM(AE11)</f>
        <v>2310</v>
      </c>
      <c r="AF10" s="1698"/>
      <c r="AG10" s="1698"/>
      <c r="AH10" s="1698">
        <f t="shared" si="0"/>
        <v>11530</v>
      </c>
      <c r="AI10" s="1698">
        <f t="shared" si="0"/>
        <v>11530</v>
      </c>
      <c r="AJ10" s="1698"/>
      <c r="AK10" s="1698"/>
      <c r="AL10" s="1698"/>
      <c r="AM10" s="1696"/>
      <c r="AN10" s="1696"/>
      <c r="AO10" s="1699"/>
      <c r="AP10" s="1699" t="s">
        <v>3920</v>
      </c>
      <c r="AQ10" s="1699"/>
    </row>
    <row r="11" spans="1:43" ht="30">
      <c r="A11" s="363" t="s">
        <v>2906</v>
      </c>
      <c r="B11" s="363" t="s">
        <v>800</v>
      </c>
      <c r="C11" s="364"/>
      <c r="D11" s="363"/>
      <c r="E11" s="363"/>
      <c r="F11" s="363"/>
      <c r="G11" s="1700">
        <f t="shared" si="1"/>
        <v>1.4687336789676828</v>
      </c>
      <c r="H11" s="1701">
        <f>G11</f>
        <v>1.4687336789676828</v>
      </c>
      <c r="I11" s="1702"/>
      <c r="J11" s="1703"/>
      <c r="K11" s="1703"/>
      <c r="L11" s="1703"/>
      <c r="M11" s="1704"/>
      <c r="N11" s="1704"/>
      <c r="O11" s="1704"/>
      <c r="P11" s="1703"/>
      <c r="Q11" s="1703"/>
      <c r="R11" s="1703"/>
      <c r="S11" s="1704">
        <f>SUM(S12)</f>
        <v>2305</v>
      </c>
      <c r="T11" s="1704"/>
      <c r="U11" s="1704">
        <f>SUM(U12)</f>
        <v>2305</v>
      </c>
      <c r="V11" s="1703"/>
      <c r="W11" s="1703"/>
      <c r="X11" s="1703"/>
      <c r="Y11" s="1704">
        <f>SUM(Y12)</f>
        <v>2305</v>
      </c>
      <c r="Z11" s="1704"/>
      <c r="AA11" s="1704">
        <f>SUM(AA12)</f>
        <v>2305</v>
      </c>
      <c r="AB11" s="1703"/>
      <c r="AC11" s="1703"/>
      <c r="AD11" s="1703"/>
      <c r="AE11" s="1704">
        <f>SUM(AE12)</f>
        <v>2310</v>
      </c>
      <c r="AF11" s="1704"/>
      <c r="AG11" s="1704"/>
      <c r="AH11" s="1704">
        <f t="shared" si="0"/>
        <v>11530</v>
      </c>
      <c r="AI11" s="1704">
        <f t="shared" si="0"/>
        <v>11530</v>
      </c>
      <c r="AJ11" s="1704"/>
      <c r="AK11" s="1704"/>
      <c r="AL11" s="1704"/>
      <c r="AM11" s="1702"/>
      <c r="AN11" s="1702"/>
      <c r="AO11" s="1705"/>
      <c r="AP11" s="1705" t="s">
        <v>3920</v>
      </c>
      <c r="AQ11" s="1705"/>
    </row>
    <row r="12" spans="1:43" ht="75">
      <c r="A12" s="371" t="s">
        <v>2907</v>
      </c>
      <c r="B12" s="371" t="s">
        <v>802</v>
      </c>
      <c r="C12" s="372"/>
      <c r="D12" s="371" t="s">
        <v>2908</v>
      </c>
      <c r="E12" s="371" t="s">
        <v>2909</v>
      </c>
      <c r="F12" s="371"/>
      <c r="G12" s="1706">
        <f t="shared" si="1"/>
        <v>1.4687336789676828</v>
      </c>
      <c r="H12" s="1707"/>
      <c r="I12" s="1707"/>
      <c r="J12" s="1708"/>
      <c r="K12" s="1708"/>
      <c r="L12" s="1708"/>
      <c r="M12" s="1709"/>
      <c r="N12" s="1709"/>
      <c r="O12" s="1709"/>
      <c r="P12" s="1708"/>
      <c r="Q12" s="1708"/>
      <c r="R12" s="1708"/>
      <c r="S12" s="1709">
        <f>SUM(S13)</f>
        <v>2305</v>
      </c>
      <c r="T12" s="1709"/>
      <c r="U12" s="1709">
        <f>SUM(U13)</f>
        <v>2305</v>
      </c>
      <c r="V12" s="1708"/>
      <c r="W12" s="1708"/>
      <c r="X12" s="1708"/>
      <c r="Y12" s="1709">
        <f>SUM(Y13)</f>
        <v>2305</v>
      </c>
      <c r="Z12" s="1709"/>
      <c r="AA12" s="1709">
        <f>SUM(AA13)</f>
        <v>2305</v>
      </c>
      <c r="AB12" s="1708"/>
      <c r="AC12" s="1708"/>
      <c r="AD12" s="1708"/>
      <c r="AE12" s="1709">
        <f>SUM(AE13)</f>
        <v>2310</v>
      </c>
      <c r="AF12" s="1709"/>
      <c r="AG12" s="1709"/>
      <c r="AH12" s="1709">
        <f t="shared" si="0"/>
        <v>11530</v>
      </c>
      <c r="AI12" s="1709">
        <f t="shared" si="0"/>
        <v>11530</v>
      </c>
      <c r="AJ12" s="1709"/>
      <c r="AK12" s="1709"/>
      <c r="AL12" s="1709"/>
      <c r="AM12" s="1707"/>
      <c r="AN12" s="1707"/>
      <c r="AO12" s="1710"/>
      <c r="AP12" s="1710" t="s">
        <v>3920</v>
      </c>
      <c r="AQ12" s="1710"/>
    </row>
    <row r="13" spans="1:43" ht="135">
      <c r="A13" s="379" t="s">
        <v>3921</v>
      </c>
      <c r="B13" s="1614" t="s">
        <v>3922</v>
      </c>
      <c r="C13" s="1711">
        <v>5</v>
      </c>
      <c r="D13" s="22" t="s">
        <v>2908</v>
      </c>
      <c r="E13" s="1614" t="s">
        <v>2909</v>
      </c>
      <c r="F13" s="1614" t="s">
        <v>3923</v>
      </c>
      <c r="G13" s="1712">
        <f t="shared" si="1"/>
        <v>1.4687336789676828</v>
      </c>
      <c r="H13" s="1713"/>
      <c r="I13" s="1713">
        <v>100</v>
      </c>
      <c r="J13" s="1714"/>
      <c r="K13" s="1714"/>
      <c r="L13" s="1714"/>
      <c r="M13" s="1715"/>
      <c r="N13" s="1715"/>
      <c r="O13" s="1715"/>
      <c r="P13" s="1714">
        <v>1</v>
      </c>
      <c r="Q13" s="1714"/>
      <c r="R13" s="1714">
        <v>1</v>
      </c>
      <c r="S13" s="1715">
        <v>2305</v>
      </c>
      <c r="T13" s="1715"/>
      <c r="U13" s="1715">
        <v>2305</v>
      </c>
      <c r="V13" s="1714">
        <v>1</v>
      </c>
      <c r="W13" s="1714"/>
      <c r="X13" s="1714">
        <v>1</v>
      </c>
      <c r="Y13" s="1715">
        <v>2305</v>
      </c>
      <c r="Z13" s="1715"/>
      <c r="AA13" s="1715">
        <v>2305</v>
      </c>
      <c r="AB13" s="1714">
        <v>1</v>
      </c>
      <c r="AC13" s="1714"/>
      <c r="AD13" s="1714"/>
      <c r="AE13" s="1715">
        <v>2310</v>
      </c>
      <c r="AF13" s="1715"/>
      <c r="AG13" s="1715"/>
      <c r="AH13" s="1715">
        <f>M13+N13+O13+S13+T13+U13+Y13+Z13+AA13+AE13+AF13+AG13</f>
        <v>11530</v>
      </c>
      <c r="AI13" s="1715">
        <f>+AH13</f>
        <v>11530</v>
      </c>
      <c r="AJ13" s="1715"/>
      <c r="AK13" s="1715"/>
      <c r="AL13" s="1715"/>
      <c r="AM13" s="1713"/>
      <c r="AN13" s="1713"/>
      <c r="AO13" s="1716" t="s">
        <v>3924</v>
      </c>
      <c r="AP13" s="1713" t="s">
        <v>3925</v>
      </c>
      <c r="AQ13" s="1713"/>
    </row>
    <row r="14" spans="1:43" ht="30">
      <c r="A14" s="1717" t="s">
        <v>379</v>
      </c>
      <c r="B14" s="1718" t="s">
        <v>808</v>
      </c>
      <c r="C14" s="1719"/>
      <c r="D14" s="1720"/>
      <c r="E14" s="1720"/>
      <c r="F14" s="1720"/>
      <c r="G14" s="1689">
        <f t="shared" si="1"/>
        <v>98.531266321032319</v>
      </c>
      <c r="H14" s="1721"/>
      <c r="I14" s="1721"/>
      <c r="J14" s="1722"/>
      <c r="K14" s="1722"/>
      <c r="L14" s="1722"/>
      <c r="M14" s="1723">
        <f>M15</f>
        <v>66795</v>
      </c>
      <c r="N14" s="1723">
        <f>N15</f>
        <v>131375</v>
      </c>
      <c r="O14" s="1723">
        <f>O15</f>
        <v>55205</v>
      </c>
      <c r="P14" s="1722"/>
      <c r="Q14" s="1722"/>
      <c r="R14" s="1722"/>
      <c r="S14" s="1723">
        <f>S15</f>
        <v>55205</v>
      </c>
      <c r="T14" s="1723">
        <f>T15</f>
        <v>55205</v>
      </c>
      <c r="U14" s="1723">
        <f>U15</f>
        <v>55205</v>
      </c>
      <c r="V14" s="1722"/>
      <c r="W14" s="1722"/>
      <c r="X14" s="1722"/>
      <c r="Y14" s="1723">
        <f>Y15</f>
        <v>55205</v>
      </c>
      <c r="Z14" s="1723">
        <f>Z15</f>
        <v>78470</v>
      </c>
      <c r="AA14" s="1723">
        <f>AA15</f>
        <v>55205</v>
      </c>
      <c r="AB14" s="1722"/>
      <c r="AC14" s="1722"/>
      <c r="AD14" s="1722"/>
      <c r="AE14" s="1723">
        <f t="shared" ref="AE14:AM14" si="2">AE15</f>
        <v>55205</v>
      </c>
      <c r="AF14" s="1723">
        <f t="shared" si="2"/>
        <v>55205</v>
      </c>
      <c r="AG14" s="1723">
        <f t="shared" si="2"/>
        <v>55220</v>
      </c>
      <c r="AH14" s="1723">
        <f t="shared" si="2"/>
        <v>773500</v>
      </c>
      <c r="AI14" s="1723">
        <f t="shared" si="2"/>
        <v>748615</v>
      </c>
      <c r="AJ14" s="1723">
        <f t="shared" si="2"/>
        <v>0</v>
      </c>
      <c r="AK14" s="1723">
        <f t="shared" si="2"/>
        <v>0</v>
      </c>
      <c r="AL14" s="1723">
        <f t="shared" si="2"/>
        <v>24885</v>
      </c>
      <c r="AM14" s="1722">
        <f t="shared" si="2"/>
        <v>0</v>
      </c>
      <c r="AN14" s="1724"/>
      <c r="AO14" s="1725"/>
      <c r="AP14" s="1724"/>
      <c r="AQ14" s="1694"/>
    </row>
    <row r="15" spans="1:43" ht="30">
      <c r="A15" s="1726" t="s">
        <v>3926</v>
      </c>
      <c r="B15" s="1727" t="s">
        <v>3927</v>
      </c>
      <c r="C15" s="1728"/>
      <c r="D15" s="1729"/>
      <c r="E15" s="1729"/>
      <c r="F15" s="1729"/>
      <c r="G15" s="1695">
        <f t="shared" si="1"/>
        <v>98.531266321032319</v>
      </c>
      <c r="H15" s="1696"/>
      <c r="I15" s="1696"/>
      <c r="J15" s="1697"/>
      <c r="K15" s="1697"/>
      <c r="L15" s="1697"/>
      <c r="M15" s="1698">
        <f>M16+M24+M29</f>
        <v>66795</v>
      </c>
      <c r="N15" s="1698">
        <f>N16+N24+N29</f>
        <v>131375</v>
      </c>
      <c r="O15" s="1698">
        <f>O16+O24+O29</f>
        <v>55205</v>
      </c>
      <c r="P15" s="1697"/>
      <c r="Q15" s="1697"/>
      <c r="R15" s="1697"/>
      <c r="S15" s="1698">
        <f>S16+S24+S29</f>
        <v>55205</v>
      </c>
      <c r="T15" s="1698">
        <f>T16+T24+T29</f>
        <v>55205</v>
      </c>
      <c r="U15" s="1698">
        <f>U16+U24+U29</f>
        <v>55205</v>
      </c>
      <c r="V15" s="1697"/>
      <c r="W15" s="1697"/>
      <c r="X15" s="1697"/>
      <c r="Y15" s="1698">
        <f>Y16+Y24+Y29</f>
        <v>55205</v>
      </c>
      <c r="Z15" s="1698">
        <f>Z16+Z24+Z29</f>
        <v>78470</v>
      </c>
      <c r="AA15" s="1698">
        <f>AA16+AA24+AA29</f>
        <v>55205</v>
      </c>
      <c r="AB15" s="1697"/>
      <c r="AC15" s="1697"/>
      <c r="AD15" s="1697"/>
      <c r="AE15" s="1698">
        <f t="shared" ref="AE15:AM15" si="3">AE16+AE24+AE29</f>
        <v>55205</v>
      </c>
      <c r="AF15" s="1698">
        <f t="shared" si="3"/>
        <v>55205</v>
      </c>
      <c r="AG15" s="1698">
        <f t="shared" si="3"/>
        <v>55220</v>
      </c>
      <c r="AH15" s="1698">
        <f t="shared" si="3"/>
        <v>773500</v>
      </c>
      <c r="AI15" s="1698">
        <f t="shared" si="3"/>
        <v>748615</v>
      </c>
      <c r="AJ15" s="1698">
        <f t="shared" si="3"/>
        <v>0</v>
      </c>
      <c r="AK15" s="1698">
        <f t="shared" si="3"/>
        <v>0</v>
      </c>
      <c r="AL15" s="1698">
        <f t="shared" si="3"/>
        <v>24885</v>
      </c>
      <c r="AM15" s="1697">
        <f t="shared" si="3"/>
        <v>0</v>
      </c>
      <c r="AN15" s="1696"/>
      <c r="AO15" s="1699"/>
      <c r="AP15" s="1696"/>
      <c r="AQ15" s="1699"/>
    </row>
    <row r="16" spans="1:43" ht="30">
      <c r="A16" s="637" t="s">
        <v>3928</v>
      </c>
      <c r="B16" s="1730" t="s">
        <v>3929</v>
      </c>
      <c r="C16" s="1702"/>
      <c r="D16" s="1705"/>
      <c r="E16" s="1702"/>
      <c r="F16" s="1702"/>
      <c r="G16" s="1731">
        <f t="shared" si="1"/>
        <v>14.81917888488338</v>
      </c>
      <c r="H16" s="1732">
        <f>G16</f>
        <v>14.81917888488338</v>
      </c>
      <c r="I16" s="1702"/>
      <c r="J16" s="1703"/>
      <c r="K16" s="1703"/>
      <c r="L16" s="1703"/>
      <c r="M16" s="1704">
        <f>M17</f>
        <v>18400</v>
      </c>
      <c r="N16" s="1704">
        <f>N17</f>
        <v>6790</v>
      </c>
      <c r="O16" s="1704">
        <f>O17</f>
        <v>6790</v>
      </c>
      <c r="P16" s="1703"/>
      <c r="Q16" s="1703"/>
      <c r="R16" s="1703"/>
      <c r="S16" s="1704">
        <f>S17</f>
        <v>6790</v>
      </c>
      <c r="T16" s="1704">
        <f>T17</f>
        <v>6790</v>
      </c>
      <c r="U16" s="1704">
        <f>U17</f>
        <v>6790</v>
      </c>
      <c r="V16" s="1703"/>
      <c r="W16" s="1703"/>
      <c r="X16" s="1703"/>
      <c r="Y16" s="1704">
        <f>Y17</f>
        <v>6790</v>
      </c>
      <c r="Z16" s="1704">
        <f>Z17</f>
        <v>30055</v>
      </c>
      <c r="AA16" s="1704">
        <f>AA17</f>
        <v>6790</v>
      </c>
      <c r="AB16" s="1703"/>
      <c r="AC16" s="1703"/>
      <c r="AD16" s="1703"/>
      <c r="AE16" s="1704">
        <f>AE17</f>
        <v>6790</v>
      </c>
      <c r="AF16" s="1704">
        <f>AF17</f>
        <v>6790</v>
      </c>
      <c r="AG16" s="1704">
        <f>AG17</f>
        <v>6770</v>
      </c>
      <c r="AH16" s="1704">
        <f>AH17</f>
        <v>116335</v>
      </c>
      <c r="AI16" s="1704">
        <f>AI17</f>
        <v>116335</v>
      </c>
      <c r="AJ16" s="1704"/>
      <c r="AK16" s="1704"/>
      <c r="AL16" s="1704"/>
      <c r="AM16" s="1702"/>
      <c r="AN16" s="1702"/>
      <c r="AO16" s="1702"/>
      <c r="AP16" s="1702"/>
      <c r="AQ16" s="1705"/>
    </row>
    <row r="17" spans="1:43" ht="60">
      <c r="A17" s="641" t="s">
        <v>3930</v>
      </c>
      <c r="B17" s="1710" t="s">
        <v>3931</v>
      </c>
      <c r="C17" s="1733"/>
      <c r="D17" s="1734"/>
      <c r="E17" s="1734"/>
      <c r="F17" s="1735"/>
      <c r="G17" s="1706">
        <f t="shared" si="1"/>
        <v>14.81917888488338</v>
      </c>
      <c r="H17" s="1733"/>
      <c r="I17" s="1736"/>
      <c r="J17" s="1737"/>
      <c r="K17" s="1737"/>
      <c r="L17" s="1737"/>
      <c r="M17" s="1738">
        <f>M18+M19+M20+M22+M21+M23</f>
        <v>18400</v>
      </c>
      <c r="N17" s="1738">
        <f>N18+N19+N20+N22+N21+N23</f>
        <v>6790</v>
      </c>
      <c r="O17" s="1738">
        <f>O18+O19+O20+O22+O21+O23</f>
        <v>6790</v>
      </c>
      <c r="P17" s="1737"/>
      <c r="Q17" s="1737"/>
      <c r="R17" s="1737"/>
      <c r="S17" s="1738">
        <f>S18+S19+S20+S22+S21+S23</f>
        <v>6790</v>
      </c>
      <c r="T17" s="1738">
        <f>T18+T19+T20+T22+T21+T23</f>
        <v>6790</v>
      </c>
      <c r="U17" s="1738">
        <f>U18+U19+U20+U22+U21+U23</f>
        <v>6790</v>
      </c>
      <c r="V17" s="1737"/>
      <c r="W17" s="1737"/>
      <c r="X17" s="1737"/>
      <c r="Y17" s="1738">
        <f>Y18+Y19+Y20+Y22+Y21+Y23</f>
        <v>6790</v>
      </c>
      <c r="Z17" s="1738">
        <f>Z18+Z19+Z20+Z22+Z21+Z23</f>
        <v>30055</v>
      </c>
      <c r="AA17" s="1738">
        <f>AA18+AA19+AA20+AA22+AA21+AA23</f>
        <v>6790</v>
      </c>
      <c r="AB17" s="1737"/>
      <c r="AC17" s="1737"/>
      <c r="AD17" s="1737"/>
      <c r="AE17" s="1738">
        <f>AE18+AE19+AE20+AE22+AE21+AE23</f>
        <v>6790</v>
      </c>
      <c r="AF17" s="1738">
        <f>AF18+AF19+AF20+AF22+AF21+AF23</f>
        <v>6790</v>
      </c>
      <c r="AG17" s="1738">
        <f>AG18+AG19+AG20+AG22+AG21+AG23</f>
        <v>6770</v>
      </c>
      <c r="AH17" s="1738">
        <f>AH18+AH19+AH20+AH22+AH21+AH23</f>
        <v>116335</v>
      </c>
      <c r="AI17" s="1738">
        <f>AI18+AI19+AI20+AI22+AI21+AI23</f>
        <v>116335</v>
      </c>
      <c r="AJ17" s="1738"/>
      <c r="AK17" s="1738"/>
      <c r="AL17" s="1738"/>
      <c r="AM17" s="1709"/>
      <c r="AN17" s="1709"/>
      <c r="AO17" s="1710" t="s">
        <v>3924</v>
      </c>
      <c r="AP17" s="1735" t="s">
        <v>3932</v>
      </c>
      <c r="AQ17" s="1739"/>
    </row>
    <row r="18" spans="1:43" ht="105">
      <c r="A18" s="644" t="s">
        <v>3933</v>
      </c>
      <c r="B18" s="1740" t="s">
        <v>3934</v>
      </c>
      <c r="C18" s="1741">
        <f t="shared" ref="C18:C23" si="4">+J18+K18+L18+P18+Q18+R18+V18+W18+X18+AB18+AC18+AD18</f>
        <v>1</v>
      </c>
      <c r="D18" s="1740" t="s">
        <v>57</v>
      </c>
      <c r="E18" s="1742" t="s">
        <v>3935</v>
      </c>
      <c r="F18" s="1743" t="s">
        <v>3936</v>
      </c>
      <c r="G18" s="1744">
        <f t="shared" si="1"/>
        <v>2.9635810096429438</v>
      </c>
      <c r="H18" s="1741"/>
      <c r="I18" s="1741">
        <f>0.2*100</f>
        <v>20</v>
      </c>
      <c r="J18" s="1745"/>
      <c r="K18" s="1745"/>
      <c r="L18" s="1745"/>
      <c r="M18" s="1746"/>
      <c r="N18" s="1746"/>
      <c r="O18" s="1746"/>
      <c r="P18" s="1745"/>
      <c r="Q18" s="1745"/>
      <c r="R18" s="1745"/>
      <c r="S18" s="1746"/>
      <c r="T18" s="1746"/>
      <c r="U18" s="1746"/>
      <c r="V18" s="1745"/>
      <c r="W18" s="1745">
        <v>1</v>
      </c>
      <c r="X18" s="1745"/>
      <c r="Y18" s="1746"/>
      <c r="Z18" s="1746">
        <v>23265</v>
      </c>
      <c r="AA18" s="1746"/>
      <c r="AB18" s="1745"/>
      <c r="AC18" s="1745"/>
      <c r="AD18" s="1745"/>
      <c r="AE18" s="1746"/>
      <c r="AF18" s="1746"/>
      <c r="AG18" s="1746"/>
      <c r="AH18" s="1746">
        <f t="shared" ref="AH18:AH23" si="5">M18+N18+O18+S18+T18+U18+Y18+Z18+AA18+AE18+AF18+AG18</f>
        <v>23265</v>
      </c>
      <c r="AI18" s="1746">
        <f t="shared" ref="AI18:AI23" si="6">+AH18</f>
        <v>23265</v>
      </c>
      <c r="AJ18" s="1746"/>
      <c r="AK18" s="1746"/>
      <c r="AL18" s="1746"/>
      <c r="AM18" s="1747"/>
      <c r="AN18" s="1747"/>
      <c r="AO18" s="1716" t="s">
        <v>3924</v>
      </c>
      <c r="AP18" s="1743" t="s">
        <v>3932</v>
      </c>
      <c r="AQ18" s="1748"/>
    </row>
    <row r="19" spans="1:43" ht="90">
      <c r="A19" s="644" t="s">
        <v>3937</v>
      </c>
      <c r="B19" s="1740" t="s">
        <v>3938</v>
      </c>
      <c r="C19" s="1741">
        <f t="shared" si="4"/>
        <v>1</v>
      </c>
      <c r="D19" s="1740" t="s">
        <v>57</v>
      </c>
      <c r="E19" s="1742" t="s">
        <v>3939</v>
      </c>
      <c r="F19" s="1742" t="s">
        <v>3940</v>
      </c>
      <c r="G19" s="1744">
        <f t="shared" si="1"/>
        <v>1.4814720456543062</v>
      </c>
      <c r="H19" s="1741"/>
      <c r="I19" s="1741">
        <v>10</v>
      </c>
      <c r="J19" s="1745">
        <v>1</v>
      </c>
      <c r="K19" s="1745"/>
      <c r="L19" s="1745"/>
      <c r="M19" s="1746">
        <v>11630</v>
      </c>
      <c r="N19" s="1746"/>
      <c r="O19" s="1746"/>
      <c r="P19" s="1745"/>
      <c r="Q19" s="1745"/>
      <c r="R19" s="1745"/>
      <c r="S19" s="1746"/>
      <c r="T19" s="1746"/>
      <c r="U19" s="1746"/>
      <c r="V19" s="1745"/>
      <c r="W19" s="1745"/>
      <c r="X19" s="1745"/>
      <c r="Y19" s="1746"/>
      <c r="Z19" s="1746"/>
      <c r="AA19" s="1746"/>
      <c r="AB19" s="1745"/>
      <c r="AC19" s="1745"/>
      <c r="AD19" s="1745"/>
      <c r="AE19" s="1746"/>
      <c r="AF19" s="1746"/>
      <c r="AG19" s="1746"/>
      <c r="AH19" s="1746">
        <f t="shared" si="5"/>
        <v>11630</v>
      </c>
      <c r="AI19" s="1746">
        <f t="shared" si="6"/>
        <v>11630</v>
      </c>
      <c r="AJ19" s="1746"/>
      <c r="AK19" s="1746"/>
      <c r="AL19" s="1746"/>
      <c r="AM19" s="1747"/>
      <c r="AN19" s="1747"/>
      <c r="AO19" s="1716" t="s">
        <v>3924</v>
      </c>
      <c r="AP19" s="1743" t="s">
        <v>3932</v>
      </c>
      <c r="AQ19" s="1748"/>
    </row>
    <row r="20" spans="1:43" ht="75">
      <c r="A20" s="644" t="s">
        <v>3941</v>
      </c>
      <c r="B20" s="1740" t="s">
        <v>3942</v>
      </c>
      <c r="C20" s="1741">
        <f t="shared" si="4"/>
        <v>12</v>
      </c>
      <c r="D20" s="1740" t="s">
        <v>52</v>
      </c>
      <c r="E20" s="1743" t="s">
        <v>3943</v>
      </c>
      <c r="F20" s="1743" t="s">
        <v>3944</v>
      </c>
      <c r="G20" s="1744">
        <f t="shared" si="1"/>
        <v>2.2234819051501216</v>
      </c>
      <c r="H20" s="1741"/>
      <c r="I20" s="1741">
        <v>15</v>
      </c>
      <c r="J20" s="1745">
        <v>1</v>
      </c>
      <c r="K20" s="1745">
        <v>1</v>
      </c>
      <c r="L20" s="1745">
        <v>1</v>
      </c>
      <c r="M20" s="1746">
        <v>1455</v>
      </c>
      <c r="N20" s="1746">
        <v>1455</v>
      </c>
      <c r="O20" s="1746">
        <v>1455</v>
      </c>
      <c r="P20" s="1745">
        <v>1</v>
      </c>
      <c r="Q20" s="1745">
        <v>1</v>
      </c>
      <c r="R20" s="1745">
        <v>1</v>
      </c>
      <c r="S20" s="1746">
        <v>1455</v>
      </c>
      <c r="T20" s="1746">
        <v>1455</v>
      </c>
      <c r="U20" s="1746">
        <v>1455</v>
      </c>
      <c r="V20" s="1745">
        <v>1</v>
      </c>
      <c r="W20" s="1745">
        <v>1</v>
      </c>
      <c r="X20" s="1745">
        <v>1</v>
      </c>
      <c r="Y20" s="1746">
        <v>1455</v>
      </c>
      <c r="Z20" s="1746">
        <v>1455</v>
      </c>
      <c r="AA20" s="1746">
        <v>1455</v>
      </c>
      <c r="AB20" s="1745">
        <v>1</v>
      </c>
      <c r="AC20" s="1745">
        <v>1</v>
      </c>
      <c r="AD20" s="1745">
        <v>1</v>
      </c>
      <c r="AE20" s="1746">
        <v>1455</v>
      </c>
      <c r="AF20" s="1746">
        <v>1455</v>
      </c>
      <c r="AG20" s="1746">
        <v>1450</v>
      </c>
      <c r="AH20" s="1746">
        <f t="shared" si="5"/>
        <v>17455</v>
      </c>
      <c r="AI20" s="1746">
        <f t="shared" si="6"/>
        <v>17455</v>
      </c>
      <c r="AJ20" s="1746"/>
      <c r="AK20" s="1746"/>
      <c r="AL20" s="1746"/>
      <c r="AM20" s="1747"/>
      <c r="AN20" s="1747"/>
      <c r="AO20" s="1716" t="s">
        <v>3924</v>
      </c>
      <c r="AP20" s="1743" t="s">
        <v>3932</v>
      </c>
      <c r="AQ20" s="1748"/>
    </row>
    <row r="21" spans="1:43" ht="75">
      <c r="A21" s="644" t="s">
        <v>3945</v>
      </c>
      <c r="B21" s="1740" t="s">
        <v>3946</v>
      </c>
      <c r="C21" s="1741">
        <f t="shared" si="4"/>
        <v>12</v>
      </c>
      <c r="D21" s="1740" t="s">
        <v>52</v>
      </c>
      <c r="E21" s="1743" t="s">
        <v>3947</v>
      </c>
      <c r="F21" s="1743" t="s">
        <v>3944</v>
      </c>
      <c r="G21" s="1744">
        <f t="shared" si="1"/>
        <v>2.2234819051501216</v>
      </c>
      <c r="H21" s="1741"/>
      <c r="I21" s="1741">
        <v>15</v>
      </c>
      <c r="J21" s="1745">
        <v>1</v>
      </c>
      <c r="K21" s="1745">
        <v>1</v>
      </c>
      <c r="L21" s="1745">
        <v>1</v>
      </c>
      <c r="M21" s="1746">
        <v>1455</v>
      </c>
      <c r="N21" s="1746">
        <v>1455</v>
      </c>
      <c r="O21" s="1746">
        <v>1455</v>
      </c>
      <c r="P21" s="1745">
        <v>1</v>
      </c>
      <c r="Q21" s="1745">
        <v>1</v>
      </c>
      <c r="R21" s="1745">
        <v>1</v>
      </c>
      <c r="S21" s="1746">
        <v>1455</v>
      </c>
      <c r="T21" s="1746">
        <v>1455</v>
      </c>
      <c r="U21" s="1746">
        <v>1455</v>
      </c>
      <c r="V21" s="1745">
        <v>1</v>
      </c>
      <c r="W21" s="1745">
        <v>1</v>
      </c>
      <c r="X21" s="1745">
        <v>1</v>
      </c>
      <c r="Y21" s="1746">
        <v>1455</v>
      </c>
      <c r="Z21" s="1746">
        <v>1455</v>
      </c>
      <c r="AA21" s="1746">
        <v>1455</v>
      </c>
      <c r="AB21" s="1745">
        <v>1</v>
      </c>
      <c r="AC21" s="1745">
        <v>1</v>
      </c>
      <c r="AD21" s="1745">
        <v>1</v>
      </c>
      <c r="AE21" s="1746">
        <v>1455</v>
      </c>
      <c r="AF21" s="1746">
        <v>1455</v>
      </c>
      <c r="AG21" s="1746">
        <v>1450</v>
      </c>
      <c r="AH21" s="1746">
        <f t="shared" si="5"/>
        <v>17455</v>
      </c>
      <c r="AI21" s="1746">
        <f t="shared" si="6"/>
        <v>17455</v>
      </c>
      <c r="AJ21" s="1746"/>
      <c r="AK21" s="1746"/>
      <c r="AL21" s="1746"/>
      <c r="AM21" s="1747"/>
      <c r="AN21" s="1747"/>
      <c r="AO21" s="1716" t="s">
        <v>3924</v>
      </c>
      <c r="AP21" s="1743" t="s">
        <v>3932</v>
      </c>
      <c r="AQ21" s="1748"/>
    </row>
    <row r="22" spans="1:43" ht="90">
      <c r="A22" s="644" t="s">
        <v>3948</v>
      </c>
      <c r="B22" s="1740" t="s">
        <v>3949</v>
      </c>
      <c r="C22" s="1741">
        <f t="shared" si="4"/>
        <v>43</v>
      </c>
      <c r="D22" s="1740" t="s">
        <v>52</v>
      </c>
      <c r="E22" s="1743" t="s">
        <v>3950</v>
      </c>
      <c r="F22" s="1743" t="s">
        <v>3951</v>
      </c>
      <c r="G22" s="1744">
        <f t="shared" si="1"/>
        <v>2.9635810096429438</v>
      </c>
      <c r="H22" s="1741"/>
      <c r="I22" s="1741">
        <v>20</v>
      </c>
      <c r="J22" s="1745">
        <v>2</v>
      </c>
      <c r="K22" s="1745">
        <v>4</v>
      </c>
      <c r="L22" s="1745">
        <v>4</v>
      </c>
      <c r="M22" s="1746">
        <v>1930</v>
      </c>
      <c r="N22" s="1746">
        <v>1940</v>
      </c>
      <c r="O22" s="1746">
        <v>1940</v>
      </c>
      <c r="P22" s="1745">
        <v>3</v>
      </c>
      <c r="Q22" s="1745">
        <v>4</v>
      </c>
      <c r="R22" s="1745">
        <v>4</v>
      </c>
      <c r="S22" s="1746">
        <v>1940</v>
      </c>
      <c r="T22" s="1746">
        <v>1940</v>
      </c>
      <c r="U22" s="1746">
        <v>1940</v>
      </c>
      <c r="V22" s="1745">
        <v>4</v>
      </c>
      <c r="W22" s="1745">
        <v>3</v>
      </c>
      <c r="X22" s="1745">
        <v>4</v>
      </c>
      <c r="Y22" s="1746">
        <v>1940</v>
      </c>
      <c r="Z22" s="1746">
        <v>1940</v>
      </c>
      <c r="AA22" s="1746">
        <v>1940</v>
      </c>
      <c r="AB22" s="1745">
        <v>4</v>
      </c>
      <c r="AC22" s="1745">
        <v>4</v>
      </c>
      <c r="AD22" s="1745">
        <v>3</v>
      </c>
      <c r="AE22" s="1746">
        <v>1940</v>
      </c>
      <c r="AF22" s="1746">
        <v>1940</v>
      </c>
      <c r="AG22" s="1746">
        <v>1935</v>
      </c>
      <c r="AH22" s="1746">
        <f t="shared" si="5"/>
        <v>23265</v>
      </c>
      <c r="AI22" s="1746">
        <f t="shared" si="6"/>
        <v>23265</v>
      </c>
      <c r="AJ22" s="1746"/>
      <c r="AK22" s="1746"/>
      <c r="AL22" s="1746"/>
      <c r="AM22" s="1747"/>
      <c r="AN22" s="1747"/>
      <c r="AO22" s="1716" t="s">
        <v>3924</v>
      </c>
      <c r="AP22" s="1743" t="s">
        <v>3932</v>
      </c>
      <c r="AQ22" s="1748"/>
    </row>
    <row r="23" spans="1:43" ht="75">
      <c r="A23" s="644" t="s">
        <v>3952</v>
      </c>
      <c r="B23" s="1740" t="s">
        <v>3953</v>
      </c>
      <c r="C23" s="1741">
        <f t="shared" si="4"/>
        <v>43</v>
      </c>
      <c r="D23" s="1740" t="s">
        <v>52</v>
      </c>
      <c r="E23" s="1743" t="s">
        <v>3954</v>
      </c>
      <c r="F23" s="1743" t="s">
        <v>3951</v>
      </c>
      <c r="G23" s="1744">
        <f t="shared" si="1"/>
        <v>2.9635810096429438</v>
      </c>
      <c r="H23" s="1741"/>
      <c r="I23" s="1741">
        <v>20</v>
      </c>
      <c r="J23" s="1745">
        <v>2</v>
      </c>
      <c r="K23" s="1745">
        <v>4</v>
      </c>
      <c r="L23" s="1745">
        <v>4</v>
      </c>
      <c r="M23" s="1746">
        <v>1930</v>
      </c>
      <c r="N23" s="1746">
        <v>1940</v>
      </c>
      <c r="O23" s="1746">
        <v>1940</v>
      </c>
      <c r="P23" s="1745">
        <v>3</v>
      </c>
      <c r="Q23" s="1745">
        <v>4</v>
      </c>
      <c r="R23" s="1745">
        <v>4</v>
      </c>
      <c r="S23" s="1746">
        <v>1940</v>
      </c>
      <c r="T23" s="1746">
        <v>1940</v>
      </c>
      <c r="U23" s="1746">
        <v>1940</v>
      </c>
      <c r="V23" s="1745">
        <v>4</v>
      </c>
      <c r="W23" s="1745">
        <v>3</v>
      </c>
      <c r="X23" s="1745">
        <v>4</v>
      </c>
      <c r="Y23" s="1746">
        <v>1940</v>
      </c>
      <c r="Z23" s="1746">
        <v>1940</v>
      </c>
      <c r="AA23" s="1746">
        <v>1940</v>
      </c>
      <c r="AB23" s="1745">
        <v>4</v>
      </c>
      <c r="AC23" s="1745">
        <v>4</v>
      </c>
      <c r="AD23" s="1745">
        <v>3</v>
      </c>
      <c r="AE23" s="1746">
        <v>1940</v>
      </c>
      <c r="AF23" s="1746">
        <v>1940</v>
      </c>
      <c r="AG23" s="1746">
        <v>1935</v>
      </c>
      <c r="AH23" s="1746">
        <f t="shared" si="5"/>
        <v>23265</v>
      </c>
      <c r="AI23" s="1746">
        <f t="shared" si="6"/>
        <v>23265</v>
      </c>
      <c r="AJ23" s="1746"/>
      <c r="AK23" s="1746"/>
      <c r="AL23" s="1746"/>
      <c r="AM23" s="1747"/>
      <c r="AN23" s="1747"/>
      <c r="AO23" s="1716" t="s">
        <v>3924</v>
      </c>
      <c r="AP23" s="1743" t="s">
        <v>3932</v>
      </c>
      <c r="AQ23" s="1748"/>
    </row>
    <row r="24" spans="1:43" ht="30">
      <c r="A24" s="637" t="s">
        <v>3955</v>
      </c>
      <c r="B24" s="1749" t="s">
        <v>3956</v>
      </c>
      <c r="C24" s="1750"/>
      <c r="D24" s="1749"/>
      <c r="E24" s="1751"/>
      <c r="F24" s="1751"/>
      <c r="G24" s="1731">
        <f t="shared" si="1"/>
        <v>59.452504999808923</v>
      </c>
      <c r="H24" s="1731"/>
      <c r="I24" s="1750"/>
      <c r="J24" s="1752"/>
      <c r="K24" s="1752"/>
      <c r="L24" s="1752"/>
      <c r="M24" s="1753">
        <f>M25</f>
        <v>38875</v>
      </c>
      <c r="N24" s="1753">
        <f>N25</f>
        <v>38895</v>
      </c>
      <c r="O24" s="1753">
        <f>O25</f>
        <v>38895</v>
      </c>
      <c r="P24" s="1752"/>
      <c r="Q24" s="1752"/>
      <c r="R24" s="1752"/>
      <c r="S24" s="1753">
        <f>S25</f>
        <v>38895</v>
      </c>
      <c r="T24" s="1753">
        <f>T25</f>
        <v>38895</v>
      </c>
      <c r="U24" s="1753">
        <f>U25</f>
        <v>38895</v>
      </c>
      <c r="V24" s="1752"/>
      <c r="W24" s="1752"/>
      <c r="X24" s="1752"/>
      <c r="Y24" s="1753">
        <f>Y25</f>
        <v>38895</v>
      </c>
      <c r="Z24" s="1753">
        <f>Z25</f>
        <v>38895</v>
      </c>
      <c r="AA24" s="1753">
        <f>AA25</f>
        <v>38895</v>
      </c>
      <c r="AB24" s="1752"/>
      <c r="AC24" s="1752"/>
      <c r="AD24" s="1752"/>
      <c r="AE24" s="1753">
        <f>AE25</f>
        <v>38895</v>
      </c>
      <c r="AF24" s="1753">
        <f>AF25</f>
        <v>38895</v>
      </c>
      <c r="AG24" s="1753">
        <f>AG25</f>
        <v>38895</v>
      </c>
      <c r="AH24" s="1753">
        <f>AH25</f>
        <v>466720</v>
      </c>
      <c r="AI24" s="1753">
        <f>AI25</f>
        <v>441835</v>
      </c>
      <c r="AJ24" s="1753"/>
      <c r="AK24" s="1753"/>
      <c r="AL24" s="1753">
        <f>AL25</f>
        <v>24885</v>
      </c>
      <c r="AM24" s="1704"/>
      <c r="AN24" s="1704"/>
      <c r="AO24" s="1705"/>
      <c r="AP24" s="1751"/>
      <c r="AQ24" s="1754"/>
    </row>
    <row r="25" spans="1:43" ht="45">
      <c r="A25" s="641" t="s">
        <v>3957</v>
      </c>
      <c r="B25" s="1710" t="s">
        <v>3958</v>
      </c>
      <c r="C25" s="1733"/>
      <c r="D25" s="1734"/>
      <c r="E25" s="1734"/>
      <c r="F25" s="1735"/>
      <c r="G25" s="1706">
        <f t="shared" si="1"/>
        <v>59.452504999808923</v>
      </c>
      <c r="H25" s="1733"/>
      <c r="I25" s="1736"/>
      <c r="J25" s="1737"/>
      <c r="K25" s="1737"/>
      <c r="L25" s="1737"/>
      <c r="M25" s="1738">
        <f>M26+M28+M27</f>
        <v>38875</v>
      </c>
      <c r="N25" s="1738">
        <f>N26+N28+N27</f>
        <v>38895</v>
      </c>
      <c r="O25" s="1738">
        <f>O26+O28+O27</f>
        <v>38895</v>
      </c>
      <c r="P25" s="1737"/>
      <c r="Q25" s="1737"/>
      <c r="R25" s="1737"/>
      <c r="S25" s="1738">
        <f>S26+S28+S27</f>
        <v>38895</v>
      </c>
      <c r="T25" s="1738">
        <f>T26+T28+T27</f>
        <v>38895</v>
      </c>
      <c r="U25" s="1738">
        <f>U26+U28+U27</f>
        <v>38895</v>
      </c>
      <c r="V25" s="1737"/>
      <c r="W25" s="1737"/>
      <c r="X25" s="1737"/>
      <c r="Y25" s="1738">
        <f>Y26+Y28+Y27</f>
        <v>38895</v>
      </c>
      <c r="Z25" s="1738">
        <f>Z26+Z28+Z27</f>
        <v>38895</v>
      </c>
      <c r="AA25" s="1738">
        <f>AA26+AA28+AA27</f>
        <v>38895</v>
      </c>
      <c r="AB25" s="1737"/>
      <c r="AC25" s="1737"/>
      <c r="AD25" s="1737"/>
      <c r="AE25" s="1738">
        <f>AE26+AE28+AE27</f>
        <v>38895</v>
      </c>
      <c r="AF25" s="1738">
        <f>AF26+AF28+AF27</f>
        <v>38895</v>
      </c>
      <c r="AG25" s="1738">
        <f>AG26+AG28+AG27</f>
        <v>38895</v>
      </c>
      <c r="AH25" s="1738">
        <f>AH26+AH28+AH27</f>
        <v>466720</v>
      </c>
      <c r="AI25" s="1738">
        <f>AI26+AI28+AI27</f>
        <v>441835</v>
      </c>
      <c r="AJ25" s="1738"/>
      <c r="AK25" s="1738"/>
      <c r="AL25" s="1738">
        <f>AL26+AL28+AL27</f>
        <v>24885</v>
      </c>
      <c r="AM25" s="1709"/>
      <c r="AN25" s="1709"/>
      <c r="AO25" s="1710" t="s">
        <v>3924</v>
      </c>
      <c r="AP25" s="1735" t="s">
        <v>3956</v>
      </c>
      <c r="AQ25" s="1739"/>
    </row>
    <row r="26" spans="1:43" ht="45">
      <c r="A26" s="644" t="s">
        <v>3959</v>
      </c>
      <c r="B26" s="1755" t="s">
        <v>3958</v>
      </c>
      <c r="C26" s="1756">
        <f>+J26+K26+L26+P26+Q26+R26+V26+W26+X26+AB26+AC26+AD26</f>
        <v>12</v>
      </c>
      <c r="D26" s="1755" t="s">
        <v>52</v>
      </c>
      <c r="E26" s="1755" t="s">
        <v>3960</v>
      </c>
      <c r="F26" s="1757" t="s">
        <v>52</v>
      </c>
      <c r="G26" s="1712">
        <f t="shared" si="1"/>
        <v>2.973134784657911</v>
      </c>
      <c r="H26" s="1756"/>
      <c r="I26" s="1756">
        <v>5</v>
      </c>
      <c r="J26" s="1758">
        <v>1</v>
      </c>
      <c r="K26" s="1758">
        <v>1</v>
      </c>
      <c r="L26" s="1758">
        <v>1</v>
      </c>
      <c r="M26" s="1759">
        <v>1945</v>
      </c>
      <c r="N26" s="1759">
        <v>1945</v>
      </c>
      <c r="O26" s="1759">
        <v>1945</v>
      </c>
      <c r="P26" s="1758">
        <v>1</v>
      </c>
      <c r="Q26" s="1758">
        <v>1</v>
      </c>
      <c r="R26" s="1758">
        <v>1</v>
      </c>
      <c r="S26" s="1759">
        <v>1945</v>
      </c>
      <c r="T26" s="1759">
        <v>1945</v>
      </c>
      <c r="U26" s="1759">
        <v>1945</v>
      </c>
      <c r="V26" s="1758">
        <v>1</v>
      </c>
      <c r="W26" s="1758">
        <v>1</v>
      </c>
      <c r="X26" s="1758">
        <v>1</v>
      </c>
      <c r="Y26" s="1759">
        <v>1945</v>
      </c>
      <c r="Z26" s="1759">
        <v>1945</v>
      </c>
      <c r="AA26" s="1759">
        <v>1945</v>
      </c>
      <c r="AB26" s="1758">
        <v>1</v>
      </c>
      <c r="AC26" s="1758">
        <v>1</v>
      </c>
      <c r="AD26" s="1758">
        <v>1</v>
      </c>
      <c r="AE26" s="1759">
        <v>1945</v>
      </c>
      <c r="AF26" s="1759">
        <v>1945</v>
      </c>
      <c r="AG26" s="1759">
        <v>1945</v>
      </c>
      <c r="AH26" s="1759">
        <f>M26+N26+O26+S26+T26+U26+Y26+Z26+AA26+AE26+AF26+AG26</f>
        <v>23340</v>
      </c>
      <c r="AI26" s="1759">
        <f>+AH26</f>
        <v>23340</v>
      </c>
      <c r="AJ26" s="1759"/>
      <c r="AK26" s="1759"/>
      <c r="AL26" s="1759"/>
      <c r="AM26" s="1715"/>
      <c r="AN26" s="1715"/>
      <c r="AO26" s="1760" t="s">
        <v>3924</v>
      </c>
      <c r="AP26" s="1757" t="s">
        <v>3956</v>
      </c>
      <c r="AQ26" s="1761"/>
    </row>
    <row r="27" spans="1:43" ht="60">
      <c r="A27" s="644" t="s">
        <v>3961</v>
      </c>
      <c r="B27" s="1740" t="s">
        <v>3962</v>
      </c>
      <c r="C27" s="1741">
        <f>+J27+K27+L27+P27+Q27+R27+V27+W27+X27+AB27+AC27+AD27</f>
        <v>1040</v>
      </c>
      <c r="D27" s="1740" t="s">
        <v>52</v>
      </c>
      <c r="E27" s="1740" t="s">
        <v>3960</v>
      </c>
      <c r="F27" s="1743" t="s">
        <v>52</v>
      </c>
      <c r="G27" s="1744">
        <f t="shared" si="1"/>
        <v>41.616243965198784</v>
      </c>
      <c r="H27" s="1741"/>
      <c r="I27" s="1741">
        <f>0.7*100</f>
        <v>70</v>
      </c>
      <c r="J27" s="1758">
        <v>60</v>
      </c>
      <c r="K27" s="1758">
        <v>70</v>
      </c>
      <c r="L27" s="1758">
        <v>90</v>
      </c>
      <c r="M27" s="1759">
        <v>27225</v>
      </c>
      <c r="N27" s="1759">
        <v>27225</v>
      </c>
      <c r="O27" s="1759">
        <v>27225</v>
      </c>
      <c r="P27" s="1758">
        <v>75</v>
      </c>
      <c r="Q27" s="1758">
        <v>85</v>
      </c>
      <c r="R27" s="1758">
        <v>100</v>
      </c>
      <c r="S27" s="1759">
        <v>27225</v>
      </c>
      <c r="T27" s="1759">
        <v>27225</v>
      </c>
      <c r="U27" s="1759">
        <v>27225</v>
      </c>
      <c r="V27" s="1758">
        <v>100</v>
      </c>
      <c r="W27" s="1758">
        <v>80</v>
      </c>
      <c r="X27" s="1758">
        <v>100</v>
      </c>
      <c r="Y27" s="1759">
        <v>27225</v>
      </c>
      <c r="Z27" s="1759">
        <v>27225</v>
      </c>
      <c r="AA27" s="1759">
        <v>27225</v>
      </c>
      <c r="AB27" s="1758">
        <v>100</v>
      </c>
      <c r="AC27" s="1758">
        <v>100</v>
      </c>
      <c r="AD27" s="1758">
        <v>80</v>
      </c>
      <c r="AE27" s="1759">
        <v>27225</v>
      </c>
      <c r="AF27" s="1759">
        <v>27225</v>
      </c>
      <c r="AG27" s="1759">
        <v>27225</v>
      </c>
      <c r="AH27" s="1759">
        <f>M27+N27+O27+S27+T27+U27+Y27+Z27+AA27+AE27+AF27+AG27</f>
        <v>326700</v>
      </c>
      <c r="AI27" s="1759">
        <f>+AH27-24885</f>
        <v>301815</v>
      </c>
      <c r="AJ27" s="1759"/>
      <c r="AK27" s="1759"/>
      <c r="AL27" s="1759">
        <v>24885</v>
      </c>
      <c r="AM27" s="1762"/>
      <c r="AN27" s="1747"/>
      <c r="AO27" s="1716" t="s">
        <v>3924</v>
      </c>
      <c r="AP27" s="1743" t="s">
        <v>3956</v>
      </c>
      <c r="AQ27" s="1761"/>
    </row>
    <row r="28" spans="1:43" ht="60">
      <c r="A28" s="644" t="s">
        <v>3963</v>
      </c>
      <c r="B28" s="1740" t="s">
        <v>3964</v>
      </c>
      <c r="C28" s="1741">
        <f>+J28+K28+L28+P28+Q28+R28+V28+W28+X28+AB28+AC28+AD28</f>
        <v>9050</v>
      </c>
      <c r="D28" s="1740" t="s">
        <v>1057</v>
      </c>
      <c r="E28" s="1740" t="s">
        <v>3965</v>
      </c>
      <c r="F28" s="1743" t="s">
        <v>3966</v>
      </c>
      <c r="G28" s="1744">
        <f t="shared" si="1"/>
        <v>14.863126249952231</v>
      </c>
      <c r="H28" s="1741"/>
      <c r="I28" s="1741">
        <v>25</v>
      </c>
      <c r="J28" s="1758">
        <v>600</v>
      </c>
      <c r="K28" s="1758">
        <v>700</v>
      </c>
      <c r="L28" s="1758">
        <v>700</v>
      </c>
      <c r="M28" s="1759">
        <v>9705</v>
      </c>
      <c r="N28" s="1759">
        <v>9725</v>
      </c>
      <c r="O28" s="1759">
        <v>9725</v>
      </c>
      <c r="P28" s="1758">
        <v>700</v>
      </c>
      <c r="Q28" s="1758">
        <v>800</v>
      </c>
      <c r="R28" s="1758">
        <v>800</v>
      </c>
      <c r="S28" s="1759">
        <v>9725</v>
      </c>
      <c r="T28" s="1759">
        <v>9725</v>
      </c>
      <c r="U28" s="1759">
        <v>9725</v>
      </c>
      <c r="V28" s="1758">
        <v>800</v>
      </c>
      <c r="W28" s="1758">
        <v>800</v>
      </c>
      <c r="X28" s="1758">
        <v>900</v>
      </c>
      <c r="Y28" s="1759">
        <v>9725</v>
      </c>
      <c r="Z28" s="1759">
        <v>9725</v>
      </c>
      <c r="AA28" s="1759">
        <v>9725</v>
      </c>
      <c r="AB28" s="1758">
        <v>800</v>
      </c>
      <c r="AC28" s="1758">
        <v>800</v>
      </c>
      <c r="AD28" s="1758">
        <v>650</v>
      </c>
      <c r="AE28" s="1759">
        <v>9725</v>
      </c>
      <c r="AF28" s="1759">
        <v>9725</v>
      </c>
      <c r="AG28" s="1759">
        <v>9725</v>
      </c>
      <c r="AH28" s="1759">
        <f>M28+N28+O28+S28+T28+U28+Y28+Z28+AA28+AE28+AF28+AG28</f>
        <v>116680</v>
      </c>
      <c r="AI28" s="1759">
        <f>+AH28</f>
        <v>116680</v>
      </c>
      <c r="AJ28" s="1759"/>
      <c r="AK28" s="1759"/>
      <c r="AL28" s="1759"/>
      <c r="AM28" s="1747"/>
      <c r="AN28" s="1747"/>
      <c r="AO28" s="1716" t="s">
        <v>3924</v>
      </c>
      <c r="AP28" s="1743" t="s">
        <v>3956</v>
      </c>
      <c r="AQ28" s="1761"/>
    </row>
    <row r="29" spans="1:43" ht="30">
      <c r="A29" s="637" t="s">
        <v>3967</v>
      </c>
      <c r="B29" s="1749" t="s">
        <v>3968</v>
      </c>
      <c r="C29" s="1750"/>
      <c r="D29" s="1749"/>
      <c r="E29" s="1749"/>
      <c r="F29" s="1751"/>
      <c r="G29" s="1731">
        <f t="shared" si="1"/>
        <v>24.259582436340015</v>
      </c>
      <c r="H29" s="1731"/>
      <c r="I29" s="1750"/>
      <c r="J29" s="1763"/>
      <c r="K29" s="1763"/>
      <c r="L29" s="1763"/>
      <c r="M29" s="1764">
        <f>M30</f>
        <v>9520</v>
      </c>
      <c r="N29" s="1764">
        <f>N30</f>
        <v>85690</v>
      </c>
      <c r="O29" s="1764">
        <f>O30</f>
        <v>9520</v>
      </c>
      <c r="P29" s="1763"/>
      <c r="Q29" s="1763"/>
      <c r="R29" s="1763"/>
      <c r="S29" s="1764">
        <f>S30</f>
        <v>9520</v>
      </c>
      <c r="T29" s="1764">
        <f>T30</f>
        <v>9520</v>
      </c>
      <c r="U29" s="1764">
        <f>U30</f>
        <v>9520</v>
      </c>
      <c r="V29" s="1763"/>
      <c r="W29" s="1763"/>
      <c r="X29" s="1763"/>
      <c r="Y29" s="1764">
        <f>Y30</f>
        <v>9520</v>
      </c>
      <c r="Z29" s="1764">
        <f>Z30</f>
        <v>9520</v>
      </c>
      <c r="AA29" s="1764">
        <f>AA30</f>
        <v>9520</v>
      </c>
      <c r="AB29" s="1763"/>
      <c r="AC29" s="1763"/>
      <c r="AD29" s="1763"/>
      <c r="AE29" s="1764">
        <f>AE30</f>
        <v>9520</v>
      </c>
      <c r="AF29" s="1764">
        <f>AF30</f>
        <v>9520</v>
      </c>
      <c r="AG29" s="1764">
        <f>AG30</f>
        <v>9555</v>
      </c>
      <c r="AH29" s="1764">
        <f>AH30</f>
        <v>190445</v>
      </c>
      <c r="AI29" s="1764">
        <f>AI30</f>
        <v>190445</v>
      </c>
      <c r="AJ29" s="1764"/>
      <c r="AK29" s="1764"/>
      <c r="AL29" s="1764"/>
      <c r="AM29" s="1704"/>
      <c r="AN29" s="1704"/>
      <c r="AO29" s="1705"/>
      <c r="AP29" s="1751"/>
      <c r="AQ29" s="1765"/>
    </row>
    <row r="30" spans="1:43" ht="75">
      <c r="A30" s="641" t="s">
        <v>3969</v>
      </c>
      <c r="B30" s="1710" t="s">
        <v>3970</v>
      </c>
      <c r="C30" s="1733"/>
      <c r="D30" s="1766"/>
      <c r="E30" s="1734"/>
      <c r="F30" s="1735"/>
      <c r="G30" s="1706">
        <f t="shared" si="1"/>
        <v>24.259582436340015</v>
      </c>
      <c r="H30" s="1733"/>
      <c r="I30" s="1736"/>
      <c r="J30" s="1737"/>
      <c r="K30" s="1737"/>
      <c r="L30" s="1737"/>
      <c r="M30" s="1738">
        <f>M31+M32+M33+M34</f>
        <v>9520</v>
      </c>
      <c r="N30" s="1738">
        <f>N31+N32+N33+N34</f>
        <v>85690</v>
      </c>
      <c r="O30" s="1738">
        <f>O31+O32+O33+O34</f>
        <v>9520</v>
      </c>
      <c r="P30" s="1737"/>
      <c r="Q30" s="1737"/>
      <c r="R30" s="1737"/>
      <c r="S30" s="1738">
        <f>S31+S32+S33+S34</f>
        <v>9520</v>
      </c>
      <c r="T30" s="1738">
        <f>T31+T32+T33+T34</f>
        <v>9520</v>
      </c>
      <c r="U30" s="1738">
        <f>U31+U32+U33+U34</f>
        <v>9520</v>
      </c>
      <c r="V30" s="1737"/>
      <c r="W30" s="1737"/>
      <c r="X30" s="1737"/>
      <c r="Y30" s="1738">
        <f>Y31+Y32+Y33+Y34</f>
        <v>9520</v>
      </c>
      <c r="Z30" s="1738">
        <f>Z31+Z32+Z33+Z34</f>
        <v>9520</v>
      </c>
      <c r="AA30" s="1738">
        <f>AA31+AA32+AA33+AA34</f>
        <v>9520</v>
      </c>
      <c r="AB30" s="1737"/>
      <c r="AC30" s="1737"/>
      <c r="AD30" s="1737"/>
      <c r="AE30" s="1738">
        <f>AE31+AE32+AE33+AE34</f>
        <v>9520</v>
      </c>
      <c r="AF30" s="1738">
        <f>AF31+AF32+AF33+AF34</f>
        <v>9520</v>
      </c>
      <c r="AG30" s="1738">
        <f>AG31+AG32+AG33+AG34</f>
        <v>9555</v>
      </c>
      <c r="AH30" s="1738">
        <f>AH31+AH32+AH33+AH34</f>
        <v>190445</v>
      </c>
      <c r="AI30" s="1738">
        <f>AI31+AI32+AI33+AI34</f>
        <v>190445</v>
      </c>
      <c r="AJ30" s="1738"/>
      <c r="AK30" s="1738"/>
      <c r="AL30" s="1738"/>
      <c r="AM30" s="1709"/>
      <c r="AN30" s="1709"/>
      <c r="AO30" s="1710" t="s">
        <v>3924</v>
      </c>
      <c r="AP30" s="1735" t="s">
        <v>3971</v>
      </c>
      <c r="AQ30" s="1739"/>
    </row>
    <row r="31" spans="1:43" ht="60">
      <c r="A31" s="644" t="s">
        <v>3972</v>
      </c>
      <c r="B31" s="1716" t="s">
        <v>3973</v>
      </c>
      <c r="C31" s="1741">
        <f>+J31+K31+L31+P31+Q31+R31+V31+W31+X31+AB31+AC31+AD31</f>
        <v>10900</v>
      </c>
      <c r="D31" s="1740" t="s">
        <v>52</v>
      </c>
      <c r="E31" s="1742" t="s">
        <v>3974</v>
      </c>
      <c r="F31" s="1743" t="s">
        <v>3975</v>
      </c>
      <c r="G31" s="1744">
        <f t="shared" si="1"/>
        <v>4.853317707603531</v>
      </c>
      <c r="H31" s="1741"/>
      <c r="I31" s="1741">
        <v>20</v>
      </c>
      <c r="J31" s="1745">
        <v>500</v>
      </c>
      <c r="K31" s="1745">
        <v>600</v>
      </c>
      <c r="L31" s="1745">
        <v>700</v>
      </c>
      <c r="M31" s="1746">
        <v>3175</v>
      </c>
      <c r="N31" s="1746">
        <v>3175</v>
      </c>
      <c r="O31" s="1746">
        <v>3175</v>
      </c>
      <c r="P31" s="1745">
        <v>700</v>
      </c>
      <c r="Q31" s="1745">
        <v>800</v>
      </c>
      <c r="R31" s="1745">
        <v>700</v>
      </c>
      <c r="S31" s="1746">
        <v>3175</v>
      </c>
      <c r="T31" s="1746">
        <v>3175</v>
      </c>
      <c r="U31" s="1746">
        <v>3175</v>
      </c>
      <c r="V31" s="1745">
        <v>900</v>
      </c>
      <c r="W31" s="1745">
        <v>700</v>
      </c>
      <c r="X31" s="1745">
        <v>900</v>
      </c>
      <c r="Y31" s="1746">
        <v>3175</v>
      </c>
      <c r="Z31" s="1746">
        <v>3175</v>
      </c>
      <c r="AA31" s="1746">
        <v>3175</v>
      </c>
      <c r="AB31" s="1745">
        <v>1000</v>
      </c>
      <c r="AC31" s="1745">
        <v>900</v>
      </c>
      <c r="AD31" s="1745">
        <v>2500</v>
      </c>
      <c r="AE31" s="1746">
        <v>3175</v>
      </c>
      <c r="AF31" s="1746">
        <v>3175</v>
      </c>
      <c r="AG31" s="1746">
        <v>3175</v>
      </c>
      <c r="AH31" s="1746">
        <f>M31+N31+O31+S31+T31+U31+Y31+Z31+AA31+AE31+AF31+AG31</f>
        <v>38100</v>
      </c>
      <c r="AI31" s="1746">
        <f>+AH31</f>
        <v>38100</v>
      </c>
      <c r="AJ31" s="1746"/>
      <c r="AK31" s="1746"/>
      <c r="AL31" s="1746"/>
      <c r="AM31" s="1747"/>
      <c r="AN31" s="1747"/>
      <c r="AO31" s="1716" t="s">
        <v>3924</v>
      </c>
      <c r="AP31" s="1743" t="s">
        <v>3971</v>
      </c>
      <c r="AQ31" s="1767"/>
    </row>
    <row r="32" spans="1:43" ht="150">
      <c r="A32" s="644" t="s">
        <v>3976</v>
      </c>
      <c r="B32" s="1760" t="s">
        <v>3977</v>
      </c>
      <c r="C32" s="1756">
        <f>+J32+K32+L32+P32+Q32+R32+V32+W32+X32+AB32+AC32+AD32</f>
        <v>72</v>
      </c>
      <c r="D32" s="1755" t="s">
        <v>57</v>
      </c>
      <c r="E32" s="1757" t="s">
        <v>3978</v>
      </c>
      <c r="F32" s="1757" t="s">
        <v>3979</v>
      </c>
      <c r="G32" s="1712">
        <f t="shared" si="1"/>
        <v>9.7034508235354053</v>
      </c>
      <c r="H32" s="1756"/>
      <c r="I32" s="1756">
        <f>0.4*100</f>
        <v>40</v>
      </c>
      <c r="J32" s="1768">
        <v>6</v>
      </c>
      <c r="K32" s="1768">
        <v>6</v>
      </c>
      <c r="L32" s="1768">
        <v>6</v>
      </c>
      <c r="M32" s="1769">
        <v>6345</v>
      </c>
      <c r="N32" s="1769">
        <v>6345</v>
      </c>
      <c r="O32" s="1769">
        <v>6345</v>
      </c>
      <c r="P32" s="1768">
        <v>6</v>
      </c>
      <c r="Q32" s="1768">
        <v>6</v>
      </c>
      <c r="R32" s="1768">
        <v>6</v>
      </c>
      <c r="S32" s="1769">
        <v>6345</v>
      </c>
      <c r="T32" s="1769">
        <v>6345</v>
      </c>
      <c r="U32" s="1769">
        <v>6345</v>
      </c>
      <c r="V32" s="1768">
        <v>6</v>
      </c>
      <c r="W32" s="1768">
        <v>6</v>
      </c>
      <c r="X32" s="1768">
        <v>6</v>
      </c>
      <c r="Y32" s="1769">
        <v>6345</v>
      </c>
      <c r="Z32" s="1769">
        <v>6345</v>
      </c>
      <c r="AA32" s="1769">
        <v>6345</v>
      </c>
      <c r="AB32" s="1768">
        <v>6</v>
      </c>
      <c r="AC32" s="1768">
        <v>6</v>
      </c>
      <c r="AD32" s="1768">
        <v>6</v>
      </c>
      <c r="AE32" s="1769">
        <v>6345</v>
      </c>
      <c r="AF32" s="1769">
        <v>6345</v>
      </c>
      <c r="AG32" s="1769">
        <v>6380</v>
      </c>
      <c r="AH32" s="1769">
        <f>M32+N32+O32+S32+T32+U32+Y32+Z32+AA32+AE32+AF32+AG32</f>
        <v>76175</v>
      </c>
      <c r="AI32" s="1769">
        <f>+AH32</f>
        <v>76175</v>
      </c>
      <c r="AJ32" s="1769"/>
      <c r="AK32" s="1769"/>
      <c r="AL32" s="1769"/>
      <c r="AM32" s="1715"/>
      <c r="AN32" s="1715"/>
      <c r="AO32" s="1760" t="s">
        <v>3924</v>
      </c>
      <c r="AP32" s="1757" t="s">
        <v>3971</v>
      </c>
      <c r="AQ32" s="1770"/>
    </row>
    <row r="33" spans="1:43" ht="150">
      <c r="A33" s="644" t="s">
        <v>3980</v>
      </c>
      <c r="B33" s="1760" t="s">
        <v>3981</v>
      </c>
      <c r="C33" s="1756">
        <f>+J33+K33+L33+P33+Q33+R33+V33+W33+X33+AB33+AC33+AD33</f>
        <v>1</v>
      </c>
      <c r="D33" s="1755" t="s">
        <v>52</v>
      </c>
      <c r="E33" s="1771" t="s">
        <v>3982</v>
      </c>
      <c r="F33" s="1757" t="s">
        <v>3983</v>
      </c>
      <c r="G33" s="1712">
        <f t="shared" si="1"/>
        <v>2.4253850171331033</v>
      </c>
      <c r="H33" s="1756"/>
      <c r="I33" s="1756">
        <v>10</v>
      </c>
      <c r="J33" s="1768"/>
      <c r="K33" s="1768">
        <v>1</v>
      </c>
      <c r="L33" s="1768"/>
      <c r="M33" s="1769"/>
      <c r="N33" s="1769">
        <v>19040</v>
      </c>
      <c r="O33" s="1769"/>
      <c r="P33" s="1768"/>
      <c r="Q33" s="1768"/>
      <c r="R33" s="1768"/>
      <c r="S33" s="1769"/>
      <c r="T33" s="1769"/>
      <c r="U33" s="1769"/>
      <c r="V33" s="1768"/>
      <c r="W33" s="1768"/>
      <c r="X33" s="1768"/>
      <c r="Y33" s="1769"/>
      <c r="Z33" s="1769"/>
      <c r="AA33" s="1769"/>
      <c r="AB33" s="1768"/>
      <c r="AC33" s="1768"/>
      <c r="AD33" s="1768"/>
      <c r="AE33" s="1769"/>
      <c r="AF33" s="1769"/>
      <c r="AG33" s="1769"/>
      <c r="AH33" s="1769">
        <f>M33+N33+O33+S33+T33+U33+Y33+Z33+AA33+AE33+AF33+AG33</f>
        <v>19040</v>
      </c>
      <c r="AI33" s="1769">
        <f>+AH33</f>
        <v>19040</v>
      </c>
      <c r="AJ33" s="1769"/>
      <c r="AK33" s="1769"/>
      <c r="AL33" s="1769"/>
      <c r="AM33" s="1715"/>
      <c r="AN33" s="1715"/>
      <c r="AO33" s="1760" t="s">
        <v>3924</v>
      </c>
      <c r="AP33" s="1757" t="s">
        <v>3971</v>
      </c>
      <c r="AQ33" s="1770"/>
    </row>
    <row r="34" spans="1:43" ht="150">
      <c r="A34" s="644" t="s">
        <v>3984</v>
      </c>
      <c r="B34" s="1760" t="s">
        <v>3985</v>
      </c>
      <c r="C34" s="1756">
        <f>+J34+K34+L34+P34+Q34+R34+V34+W34+X34+AB34+AC34+AD34</f>
        <v>12</v>
      </c>
      <c r="D34" s="1755" t="s">
        <v>52</v>
      </c>
      <c r="E34" s="1771" t="s">
        <v>3986</v>
      </c>
      <c r="F34" s="1757" t="s">
        <v>3983</v>
      </c>
      <c r="G34" s="1712">
        <f t="shared" si="1"/>
        <v>7.2774288880679716</v>
      </c>
      <c r="H34" s="1756"/>
      <c r="I34" s="1756">
        <v>30</v>
      </c>
      <c r="J34" s="1768"/>
      <c r="K34" s="1768">
        <v>12</v>
      </c>
      <c r="L34" s="1768"/>
      <c r="M34" s="1769"/>
      <c r="N34" s="1769">
        <v>57130</v>
      </c>
      <c r="O34" s="1769"/>
      <c r="P34" s="1768"/>
      <c r="Q34" s="1768"/>
      <c r="R34" s="1768"/>
      <c r="S34" s="1769"/>
      <c r="T34" s="1769"/>
      <c r="U34" s="1769"/>
      <c r="V34" s="1768"/>
      <c r="W34" s="1768"/>
      <c r="X34" s="1768"/>
      <c r="Y34" s="1769"/>
      <c r="Z34" s="1769"/>
      <c r="AA34" s="1769"/>
      <c r="AB34" s="1768"/>
      <c r="AC34" s="1768"/>
      <c r="AD34" s="1768"/>
      <c r="AE34" s="1769"/>
      <c r="AF34" s="1769"/>
      <c r="AG34" s="1769"/>
      <c r="AH34" s="1769">
        <f>M34+N34+O34+S34+T34+U34+Y34+Z34+AA34+AE34+AF34+AG34</f>
        <v>57130</v>
      </c>
      <c r="AI34" s="1769">
        <f>+AH34</f>
        <v>57130</v>
      </c>
      <c r="AJ34" s="1769"/>
      <c r="AK34" s="1769"/>
      <c r="AL34" s="1769"/>
      <c r="AM34" s="1715"/>
      <c r="AN34" s="1715"/>
      <c r="AO34" s="1760" t="s">
        <v>3924</v>
      </c>
      <c r="AP34" s="1757" t="s">
        <v>3971</v>
      </c>
      <c r="AQ34" s="1770"/>
    </row>
    <row r="35" spans="1:43" ht="15.6">
      <c r="A35" s="1772"/>
      <c r="B35" s="1773"/>
      <c r="C35" s="1774"/>
      <c r="D35" s="1775"/>
      <c r="E35" s="1776"/>
      <c r="F35" s="1776"/>
      <c r="G35" s="1777">
        <f>G9+G14</f>
        <v>100</v>
      </c>
      <c r="H35" s="1777">
        <f>H30+H25+H17</f>
        <v>0</v>
      </c>
      <c r="I35" s="1774"/>
      <c r="J35" s="1778"/>
      <c r="K35" s="1778"/>
      <c r="L35" s="1778"/>
      <c r="M35" s="1779">
        <f>M9+M14</f>
        <v>66795</v>
      </c>
      <c r="N35" s="1779">
        <f>N9+N14</f>
        <v>131375</v>
      </c>
      <c r="O35" s="1779">
        <f>O9+O14</f>
        <v>55205</v>
      </c>
      <c r="P35" s="1778"/>
      <c r="Q35" s="1778"/>
      <c r="R35" s="1778"/>
      <c r="S35" s="1779">
        <f>S9+S14</f>
        <v>57510</v>
      </c>
      <c r="T35" s="1779">
        <f>T9+T14</f>
        <v>55205</v>
      </c>
      <c r="U35" s="1779">
        <f>U9+U14</f>
        <v>57510</v>
      </c>
      <c r="V35" s="1778"/>
      <c r="W35" s="1778"/>
      <c r="X35" s="1778"/>
      <c r="Y35" s="1779">
        <f>Y9+Y14</f>
        <v>57510</v>
      </c>
      <c r="Z35" s="1779">
        <f>Z9+Z14</f>
        <v>78470</v>
      </c>
      <c r="AA35" s="1779">
        <f>AA9+AA14</f>
        <v>57510</v>
      </c>
      <c r="AB35" s="1778"/>
      <c r="AC35" s="1778"/>
      <c r="AD35" s="1778"/>
      <c r="AE35" s="1779">
        <f t="shared" ref="AE35:AM35" si="7">AE9+AE14</f>
        <v>57515</v>
      </c>
      <c r="AF35" s="1779">
        <f t="shared" si="7"/>
        <v>55205</v>
      </c>
      <c r="AG35" s="1779">
        <f t="shared" si="7"/>
        <v>55220</v>
      </c>
      <c r="AH35" s="1779">
        <f t="shared" si="7"/>
        <v>785030</v>
      </c>
      <c r="AI35" s="1779">
        <f t="shared" si="7"/>
        <v>760145</v>
      </c>
      <c r="AJ35" s="1779">
        <f t="shared" si="7"/>
        <v>0</v>
      </c>
      <c r="AK35" s="1779">
        <f t="shared" si="7"/>
        <v>0</v>
      </c>
      <c r="AL35" s="1779">
        <f t="shared" si="7"/>
        <v>24885</v>
      </c>
      <c r="AM35" s="1778">
        <f t="shared" si="7"/>
        <v>0</v>
      </c>
      <c r="AN35" s="1780"/>
      <c r="AO35" s="1775"/>
      <c r="AP35" s="1781"/>
      <c r="AQ35" s="1782"/>
    </row>
  </sheetData>
  <sheetProtection algorithmName="SHA-512" hashValue="uUHKtTe94uEXaFLb17J9EPK9DHKVXr+p4LOCiZCSOdTRja+v56cyHBe2zAjHqoU9dMGU2yRhyj9PdKuAYW+9PQ==" saltValue="hnpHMJd+/7yTMrYm0/id9w==" spinCount="100000" sheet="1" objects="1" scenarios="1"/>
  <mergeCells count="35">
    <mergeCell ref="Y7:AA7"/>
    <mergeCell ref="AB7:AD7"/>
    <mergeCell ref="AE7:AG7"/>
    <mergeCell ref="AH6:AH8"/>
    <mergeCell ref="AI6:AI8"/>
    <mergeCell ref="J7:L7"/>
    <mergeCell ref="M7:O7"/>
    <mergeCell ref="P7:R7"/>
    <mergeCell ref="S7:U7"/>
    <mergeCell ref="V7:X7"/>
    <mergeCell ref="AI5:AN5"/>
    <mergeCell ref="AO5:AO8"/>
    <mergeCell ref="AP5:AP8"/>
    <mergeCell ref="AQ5:AQ8"/>
    <mergeCell ref="AN6:AN8"/>
    <mergeCell ref="AJ6:AJ8"/>
    <mergeCell ref="AK6:AK8"/>
    <mergeCell ref="AL6:AL8"/>
    <mergeCell ref="AM6:AM8"/>
    <mergeCell ref="A1:AQ1"/>
    <mergeCell ref="AP2:AQ2"/>
    <mergeCell ref="B5:B8"/>
    <mergeCell ref="C5:C8"/>
    <mergeCell ref="D5:D8"/>
    <mergeCell ref="E5:E8"/>
    <mergeCell ref="F5:F8"/>
    <mergeCell ref="G5:G8"/>
    <mergeCell ref="H5:H8"/>
    <mergeCell ref="I5:I8"/>
    <mergeCell ref="A6:A8"/>
    <mergeCell ref="J6:O6"/>
    <mergeCell ref="P6:U6"/>
    <mergeCell ref="V6:AA6"/>
    <mergeCell ref="AB6:AG6"/>
    <mergeCell ref="J5:AH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9"/>
  <sheetViews>
    <sheetView workbookViewId="0">
      <selection activeCell="D14" sqref="D14"/>
    </sheetView>
  </sheetViews>
  <sheetFormatPr baseColWidth="10" defaultRowHeight="14.4"/>
  <cols>
    <col min="1" max="1" width="17.44140625" bestFit="1" customWidth="1"/>
    <col min="2" max="2" width="29.88671875" customWidth="1"/>
    <col min="3" max="3" width="10.33203125" customWidth="1"/>
    <col min="4" max="4" width="16.44140625" customWidth="1"/>
    <col min="5" max="5" width="31.6640625" customWidth="1"/>
    <col min="6" max="6" width="19.5546875" customWidth="1"/>
    <col min="7" max="7" width="11" customWidth="1"/>
    <col min="8" max="8" width="8.44140625" customWidth="1"/>
    <col min="9" max="9" width="9.109375" customWidth="1"/>
    <col min="10" max="12" width="5.5546875" bestFit="1" customWidth="1"/>
    <col min="13" max="15" width="15.109375" bestFit="1" customWidth="1"/>
    <col min="16" max="18" width="5.5546875" bestFit="1" customWidth="1"/>
    <col min="19" max="20" width="13.6640625" bestFit="1" customWidth="1"/>
    <col min="21" max="21" width="15.109375" bestFit="1" customWidth="1"/>
    <col min="22" max="24" width="5.5546875" bestFit="1" customWidth="1"/>
    <col min="25" max="26" width="13.6640625" bestFit="1" customWidth="1"/>
    <col min="27" max="27" width="15.109375" bestFit="1" customWidth="1"/>
    <col min="28" max="30" width="5.5546875" bestFit="1" customWidth="1"/>
    <col min="31" max="31" width="13.6640625" bestFit="1" customWidth="1"/>
    <col min="32" max="32" width="13.33203125" bestFit="1" customWidth="1"/>
    <col min="33" max="33" width="15.88671875" bestFit="1" customWidth="1"/>
    <col min="34" max="34" width="16.5546875" bestFit="1" customWidth="1"/>
    <col min="35" max="35" width="18.5546875" bestFit="1" customWidth="1"/>
    <col min="36" max="36" width="7.44140625" customWidth="1"/>
    <col min="37" max="37" width="4.5546875" customWidth="1"/>
    <col min="38" max="38" width="19.44140625" customWidth="1"/>
    <col min="39" max="39" width="8.44140625" customWidth="1"/>
    <col min="40" max="40" width="6.44140625" customWidth="1"/>
    <col min="41" max="41" width="17.109375" customWidth="1"/>
    <col min="42" max="42" width="18.5546875" customWidth="1"/>
    <col min="43" max="43" width="7.33203125" customWidth="1"/>
  </cols>
  <sheetData>
    <row r="1" spans="1:43" ht="17.399999999999999">
      <c r="A1" s="2038" t="s">
        <v>0</v>
      </c>
      <c r="B1" s="2038"/>
      <c r="C1" s="2038"/>
      <c r="D1" s="2038"/>
      <c r="E1" s="2038"/>
      <c r="F1" s="2038"/>
      <c r="G1" s="2038"/>
      <c r="H1" s="2038"/>
      <c r="I1" s="2038"/>
      <c r="J1" s="2038"/>
      <c r="K1" s="2038"/>
      <c r="L1" s="2038"/>
      <c r="M1" s="2038"/>
      <c r="N1" s="2038"/>
      <c r="O1" s="2038"/>
      <c r="P1" s="2038"/>
      <c r="Q1" s="2038"/>
      <c r="R1" s="2038"/>
      <c r="S1" s="2038"/>
      <c r="T1" s="2038"/>
      <c r="U1" s="2038"/>
      <c r="V1" s="2038"/>
      <c r="W1" s="2038"/>
      <c r="X1" s="2038"/>
      <c r="Y1" s="2038"/>
      <c r="Z1" s="2038"/>
      <c r="AA1" s="2038"/>
      <c r="AB1" s="2038"/>
      <c r="AC1" s="2038"/>
      <c r="AD1" s="2038"/>
      <c r="AE1" s="2038"/>
      <c r="AF1" s="2038"/>
      <c r="AG1" s="2038"/>
      <c r="AH1" s="2038"/>
      <c r="AI1" s="2038"/>
      <c r="AJ1" s="2038"/>
      <c r="AK1" s="2038"/>
      <c r="AL1" s="2038"/>
      <c r="AM1" s="2038"/>
      <c r="AN1" s="2038"/>
      <c r="AO1" s="2038"/>
      <c r="AP1" s="2038"/>
      <c r="AQ1" s="2038"/>
    </row>
    <row r="2" spans="1:43" ht="17.399999999999999">
      <c r="A2" s="2038" t="s">
        <v>1</v>
      </c>
      <c r="B2" s="2038"/>
      <c r="C2" s="2038"/>
      <c r="D2" s="2038"/>
      <c r="E2" s="2038"/>
      <c r="F2" s="2038"/>
      <c r="G2" s="2038"/>
      <c r="H2" s="2038"/>
      <c r="I2" s="2038"/>
      <c r="J2" s="2038"/>
      <c r="K2" s="2038"/>
      <c r="L2" s="2038"/>
      <c r="M2" s="2038"/>
      <c r="N2" s="2038"/>
      <c r="O2" s="2038"/>
      <c r="P2" s="2038"/>
      <c r="Q2" s="2038"/>
      <c r="R2" s="2038"/>
      <c r="S2" s="2038"/>
      <c r="T2" s="2038"/>
      <c r="U2" s="2038"/>
      <c r="V2" s="2038"/>
      <c r="W2" s="2038"/>
      <c r="X2" s="2038"/>
      <c r="Y2" s="2038"/>
      <c r="Z2" s="2038"/>
      <c r="AA2" s="2038"/>
      <c r="AB2" s="2038"/>
      <c r="AC2" s="2038"/>
      <c r="AD2" s="2038"/>
      <c r="AE2" s="2038"/>
      <c r="AF2" s="2038"/>
      <c r="AG2" s="2038"/>
      <c r="AH2" s="2038"/>
      <c r="AI2" s="2038"/>
      <c r="AJ2" s="2038"/>
      <c r="AK2" s="2038"/>
      <c r="AL2" s="2038"/>
      <c r="AM2" s="2038"/>
      <c r="AN2" s="2038"/>
      <c r="AO2" s="2038"/>
      <c r="AP2" s="2038"/>
      <c r="AQ2" s="2038"/>
    </row>
    <row r="3" spans="1:43" ht="17.399999999999999">
      <c r="A3" s="2039"/>
      <c r="B3" s="2039"/>
      <c r="C3" s="2039"/>
      <c r="D3" s="2039"/>
      <c r="E3" s="2039"/>
      <c r="F3" s="2039"/>
      <c r="G3" s="2039"/>
      <c r="H3" s="2039"/>
      <c r="I3" s="2039"/>
      <c r="J3" s="2039"/>
      <c r="K3" s="2039"/>
      <c r="L3" s="2039"/>
      <c r="M3" s="2039"/>
      <c r="N3" s="2039"/>
      <c r="O3" s="2039"/>
      <c r="P3" s="2039"/>
      <c r="Q3" s="2039"/>
      <c r="R3" s="2039"/>
      <c r="S3" s="2039"/>
      <c r="T3" s="2039"/>
      <c r="U3" s="2039"/>
      <c r="V3" s="2039"/>
      <c r="W3" s="2039"/>
      <c r="X3" s="2039"/>
      <c r="Y3" s="2039"/>
      <c r="Z3" s="2039"/>
      <c r="AA3" s="2039"/>
      <c r="AB3" s="2039"/>
      <c r="AC3" s="2039"/>
      <c r="AD3" s="2039"/>
      <c r="AE3" s="2039"/>
      <c r="AF3" s="2039"/>
      <c r="AG3" s="2039"/>
      <c r="AH3" s="2039"/>
      <c r="AI3" s="2039"/>
      <c r="AJ3" s="2039"/>
      <c r="AK3" s="2039"/>
      <c r="AL3" s="2039"/>
      <c r="AM3" s="2039"/>
      <c r="AN3" s="2039"/>
      <c r="AO3" s="2039"/>
      <c r="AP3" s="2039"/>
      <c r="AQ3" s="2039"/>
    </row>
    <row r="4" spans="1:43" ht="17.399999999999999">
      <c r="A4" s="503"/>
      <c r="B4" s="1504" t="s">
        <v>3987</v>
      </c>
      <c r="C4" s="505"/>
      <c r="D4" s="505"/>
      <c r="E4" s="506"/>
      <c r="F4" s="507"/>
      <c r="G4" s="505"/>
      <c r="H4" s="508"/>
      <c r="I4" s="505"/>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7"/>
    </row>
    <row r="5" spans="1:43" ht="17.399999999999999">
      <c r="A5" s="503"/>
      <c r="B5" s="1504" t="s">
        <v>3988</v>
      </c>
      <c r="C5" s="505"/>
      <c r="D5" s="505"/>
      <c r="E5" s="506"/>
      <c r="F5" s="507"/>
      <c r="G5" s="505"/>
      <c r="H5" s="508"/>
      <c r="I5" s="505"/>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507"/>
      <c r="AL5" s="507"/>
      <c r="AM5" s="507"/>
      <c r="AN5" s="507"/>
      <c r="AO5" s="507"/>
      <c r="AP5" s="507"/>
      <c r="AQ5" s="507"/>
    </row>
    <row r="6" spans="1:43" ht="17.399999999999999">
      <c r="A6" s="503"/>
      <c r="B6" s="1504" t="s">
        <v>1392</v>
      </c>
      <c r="C6" s="505"/>
      <c r="D6" s="505"/>
      <c r="E6" s="503"/>
      <c r="F6" s="509"/>
      <c r="G6" s="510"/>
      <c r="H6" s="511"/>
      <c r="I6" s="512"/>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513"/>
      <c r="AK6" s="513"/>
      <c r="AL6" s="513"/>
      <c r="AM6" s="513"/>
      <c r="AN6" s="513"/>
      <c r="AO6" s="513"/>
      <c r="AP6" s="513"/>
      <c r="AQ6" s="513"/>
    </row>
    <row r="7" spans="1:43" ht="15.6">
      <c r="A7" s="80" t="s">
        <v>5</v>
      </c>
      <c r="B7" s="2040" t="s">
        <v>1393</v>
      </c>
      <c r="C7" s="2042" t="s">
        <v>7</v>
      </c>
      <c r="D7" s="1957" t="s">
        <v>8</v>
      </c>
      <c r="E7" s="1957" t="s">
        <v>9</v>
      </c>
      <c r="F7" s="1957" t="s">
        <v>10</v>
      </c>
      <c r="G7" s="2044" t="s">
        <v>11</v>
      </c>
      <c r="H7" s="2044" t="s">
        <v>12</v>
      </c>
      <c r="I7" s="2044" t="s">
        <v>401</v>
      </c>
      <c r="J7" s="2042" t="s">
        <v>14</v>
      </c>
      <c r="K7" s="2042"/>
      <c r="L7" s="2042"/>
      <c r="M7" s="2042"/>
      <c r="N7" s="2042"/>
      <c r="O7" s="2042"/>
      <c r="P7" s="2042"/>
      <c r="Q7" s="2042"/>
      <c r="R7" s="2042"/>
      <c r="S7" s="2042"/>
      <c r="T7" s="2042"/>
      <c r="U7" s="2042"/>
      <c r="V7" s="2042"/>
      <c r="W7" s="2042"/>
      <c r="X7" s="2042"/>
      <c r="Y7" s="2042"/>
      <c r="Z7" s="2042"/>
      <c r="AA7" s="2042"/>
      <c r="AB7" s="2042"/>
      <c r="AC7" s="2042"/>
      <c r="AD7" s="2042"/>
      <c r="AE7" s="2042"/>
      <c r="AF7" s="2042"/>
      <c r="AG7" s="2042"/>
      <c r="AH7" s="2042"/>
      <c r="AI7" s="1957" t="s">
        <v>15</v>
      </c>
      <c r="AJ7" s="1957"/>
      <c r="AK7" s="1957"/>
      <c r="AL7" s="1957"/>
      <c r="AM7" s="1957"/>
      <c r="AN7" s="1957"/>
      <c r="AO7" s="1957" t="s">
        <v>16</v>
      </c>
      <c r="AP7" s="1957" t="s">
        <v>17</v>
      </c>
      <c r="AQ7" s="2044" t="s">
        <v>18</v>
      </c>
    </row>
    <row r="8" spans="1:43" ht="15.6">
      <c r="A8" s="1958" t="s">
        <v>1395</v>
      </c>
      <c r="B8" s="2040"/>
      <c r="C8" s="2042"/>
      <c r="D8" s="1957"/>
      <c r="E8" s="1957"/>
      <c r="F8" s="1957"/>
      <c r="G8" s="2044"/>
      <c r="H8" s="2044"/>
      <c r="I8" s="2044"/>
      <c r="J8" s="2048" t="s">
        <v>19</v>
      </c>
      <c r="K8" s="2048"/>
      <c r="L8" s="2048"/>
      <c r="M8" s="2048"/>
      <c r="N8" s="2048"/>
      <c r="O8" s="2048"/>
      <c r="P8" s="2048" t="s">
        <v>20</v>
      </c>
      <c r="Q8" s="2048"/>
      <c r="R8" s="2048"/>
      <c r="S8" s="2048"/>
      <c r="T8" s="2048"/>
      <c r="U8" s="2048"/>
      <c r="V8" s="2049" t="s">
        <v>21</v>
      </c>
      <c r="W8" s="2049"/>
      <c r="X8" s="2049"/>
      <c r="Y8" s="2049"/>
      <c r="Z8" s="2049"/>
      <c r="AA8" s="2049"/>
      <c r="AB8" s="2048" t="s">
        <v>22</v>
      </c>
      <c r="AC8" s="2048"/>
      <c r="AD8" s="2048"/>
      <c r="AE8" s="2048"/>
      <c r="AF8" s="2048"/>
      <c r="AG8" s="2048"/>
      <c r="AH8" s="2042" t="s">
        <v>403</v>
      </c>
      <c r="AI8" s="1957" t="s">
        <v>24</v>
      </c>
      <c r="AJ8" s="1954" t="s">
        <v>25</v>
      </c>
      <c r="AK8" s="2131" t="s">
        <v>916</v>
      </c>
      <c r="AL8" s="1957" t="s">
        <v>27</v>
      </c>
      <c r="AM8" s="1954" t="s">
        <v>28</v>
      </c>
      <c r="AN8" s="1954" t="s">
        <v>29</v>
      </c>
      <c r="AO8" s="1957"/>
      <c r="AP8" s="1957"/>
      <c r="AQ8" s="2044"/>
    </row>
    <row r="9" spans="1:43" ht="15.6">
      <c r="A9" s="1959"/>
      <c r="B9" s="2040"/>
      <c r="C9" s="2042"/>
      <c r="D9" s="1957"/>
      <c r="E9" s="1957"/>
      <c r="F9" s="1957"/>
      <c r="G9" s="2044"/>
      <c r="H9" s="2044"/>
      <c r="I9" s="2044"/>
      <c r="J9" s="2048" t="s">
        <v>1396</v>
      </c>
      <c r="K9" s="2048"/>
      <c r="L9" s="2048"/>
      <c r="M9" s="2048" t="s">
        <v>31</v>
      </c>
      <c r="N9" s="2048"/>
      <c r="O9" s="2048"/>
      <c r="P9" s="2048" t="s">
        <v>1396</v>
      </c>
      <c r="Q9" s="2048"/>
      <c r="R9" s="2048"/>
      <c r="S9" s="2048" t="s">
        <v>31</v>
      </c>
      <c r="T9" s="2048"/>
      <c r="U9" s="2048"/>
      <c r="V9" s="2048" t="s">
        <v>1396</v>
      </c>
      <c r="W9" s="2048"/>
      <c r="X9" s="2048"/>
      <c r="Y9" s="2048" t="s">
        <v>31</v>
      </c>
      <c r="Z9" s="2048"/>
      <c r="AA9" s="2048"/>
      <c r="AB9" s="2048" t="s">
        <v>1396</v>
      </c>
      <c r="AC9" s="2048"/>
      <c r="AD9" s="2048"/>
      <c r="AE9" s="2048" t="s">
        <v>31</v>
      </c>
      <c r="AF9" s="2048"/>
      <c r="AG9" s="2048"/>
      <c r="AH9" s="2042"/>
      <c r="AI9" s="1957"/>
      <c r="AJ9" s="1955"/>
      <c r="AK9" s="2132"/>
      <c r="AL9" s="1957"/>
      <c r="AM9" s="1955"/>
      <c r="AN9" s="1955"/>
      <c r="AO9" s="1957"/>
      <c r="AP9" s="1957"/>
      <c r="AQ9" s="2044"/>
    </row>
    <row r="10" spans="1:43" ht="15.6">
      <c r="A10" s="2045"/>
      <c r="B10" s="2040"/>
      <c r="C10" s="2042"/>
      <c r="D10" s="1957"/>
      <c r="E10" s="1957"/>
      <c r="F10" s="1957"/>
      <c r="G10" s="2044"/>
      <c r="H10" s="2044"/>
      <c r="I10" s="2044"/>
      <c r="J10" s="1210" t="s">
        <v>32</v>
      </c>
      <c r="K10" s="1210" t="s">
        <v>33</v>
      </c>
      <c r="L10" s="1210" t="s">
        <v>34</v>
      </c>
      <c r="M10" s="1210" t="s">
        <v>32</v>
      </c>
      <c r="N10" s="1210" t="s">
        <v>33</v>
      </c>
      <c r="O10" s="1210" t="s">
        <v>34</v>
      </c>
      <c r="P10" s="1210" t="s">
        <v>35</v>
      </c>
      <c r="Q10" s="1210" t="s">
        <v>34</v>
      </c>
      <c r="R10" s="1210" t="s">
        <v>36</v>
      </c>
      <c r="S10" s="1210" t="s">
        <v>35</v>
      </c>
      <c r="T10" s="1210" t="s">
        <v>34</v>
      </c>
      <c r="U10" s="1210" t="s">
        <v>36</v>
      </c>
      <c r="V10" s="1210" t="s">
        <v>36</v>
      </c>
      <c r="W10" s="1210" t="s">
        <v>35</v>
      </c>
      <c r="X10" s="1210" t="s">
        <v>37</v>
      </c>
      <c r="Y10" s="1210" t="s">
        <v>36</v>
      </c>
      <c r="Z10" s="1210" t="s">
        <v>35</v>
      </c>
      <c r="AA10" s="1210" t="s">
        <v>37</v>
      </c>
      <c r="AB10" s="1210" t="s">
        <v>38</v>
      </c>
      <c r="AC10" s="1210" t="s">
        <v>39</v>
      </c>
      <c r="AD10" s="1210" t="s">
        <v>40</v>
      </c>
      <c r="AE10" s="1210" t="s">
        <v>38</v>
      </c>
      <c r="AF10" s="1210" t="s">
        <v>39</v>
      </c>
      <c r="AG10" s="1210" t="s">
        <v>40</v>
      </c>
      <c r="AH10" s="2042"/>
      <c r="AI10" s="1957"/>
      <c r="AJ10" s="1956"/>
      <c r="AK10" s="2133"/>
      <c r="AL10" s="1957"/>
      <c r="AM10" s="1956"/>
      <c r="AN10" s="1956"/>
      <c r="AO10" s="1957"/>
      <c r="AP10" s="1957"/>
      <c r="AQ10" s="2044"/>
    </row>
    <row r="11" spans="1:43" ht="30">
      <c r="A11" s="47" t="s">
        <v>349</v>
      </c>
      <c r="B11" s="47" t="s">
        <v>350</v>
      </c>
      <c r="C11" s="349"/>
      <c r="D11" s="47"/>
      <c r="E11" s="47"/>
      <c r="F11" s="47"/>
      <c r="G11" s="1337">
        <f t="shared" ref="G11:G74" si="0">AH11/$AH$79*100</f>
        <v>1.3397680799493143</v>
      </c>
      <c r="H11" s="1338"/>
      <c r="I11" s="1339"/>
      <c r="J11" s="1340"/>
      <c r="K11" s="1340"/>
      <c r="L11" s="1340"/>
      <c r="M11" s="1341">
        <f>M12</f>
        <v>3645</v>
      </c>
      <c r="N11" s="1341">
        <f t="shared" ref="N11:O12" si="1">N12</f>
        <v>3645</v>
      </c>
      <c r="O11" s="1341">
        <f t="shared" si="1"/>
        <v>3645</v>
      </c>
      <c r="P11" s="1340"/>
      <c r="Q11" s="1340"/>
      <c r="R11" s="1340"/>
      <c r="S11" s="1341">
        <f t="shared" ref="S11:U12" si="2">S12</f>
        <v>4665</v>
      </c>
      <c r="T11" s="1341">
        <f t="shared" si="2"/>
        <v>4665</v>
      </c>
      <c r="U11" s="1341">
        <f t="shared" si="2"/>
        <v>4665</v>
      </c>
      <c r="V11" s="1340"/>
      <c r="W11" s="1340"/>
      <c r="X11" s="1340"/>
      <c r="Y11" s="1341">
        <f t="shared" ref="Y11:AA12" si="3">Y12</f>
        <v>4645</v>
      </c>
      <c r="Z11" s="1341">
        <f t="shared" si="3"/>
        <v>4645</v>
      </c>
      <c r="AA11" s="1341">
        <f t="shared" si="3"/>
        <v>4645</v>
      </c>
      <c r="AB11" s="1340"/>
      <c r="AC11" s="1340"/>
      <c r="AD11" s="1340"/>
      <c r="AE11" s="1341">
        <f t="shared" ref="AE11:AI12" si="4">AE12</f>
        <v>4645</v>
      </c>
      <c r="AF11" s="1341">
        <f t="shared" si="4"/>
        <v>4645</v>
      </c>
      <c r="AG11" s="1341">
        <f t="shared" si="4"/>
        <v>4605</v>
      </c>
      <c r="AH11" s="1341">
        <f t="shared" si="4"/>
        <v>52760</v>
      </c>
      <c r="AI11" s="1341">
        <f t="shared" si="4"/>
        <v>52760</v>
      </c>
      <c r="AJ11" s="1341"/>
      <c r="AK11" s="1341"/>
      <c r="AL11" s="1341"/>
      <c r="AM11" s="1341"/>
      <c r="AN11" s="1341"/>
      <c r="AO11" s="1336"/>
      <c r="AP11" s="6" t="s">
        <v>3989</v>
      </c>
      <c r="AQ11" s="1339"/>
    </row>
    <row r="12" spans="1:43" ht="30">
      <c r="A12" s="355" t="s">
        <v>1050</v>
      </c>
      <c r="B12" s="355" t="s">
        <v>1051</v>
      </c>
      <c r="C12" s="356"/>
      <c r="D12" s="355"/>
      <c r="E12" s="355"/>
      <c r="F12" s="355"/>
      <c r="G12" s="1345">
        <f t="shared" si="0"/>
        <v>1.3397680799493143</v>
      </c>
      <c r="H12" s="1346"/>
      <c r="I12" s="1384"/>
      <c r="J12" s="1385"/>
      <c r="K12" s="1385"/>
      <c r="L12" s="1385"/>
      <c r="M12" s="1349">
        <f>M13</f>
        <v>3645</v>
      </c>
      <c r="N12" s="1349">
        <f t="shared" si="1"/>
        <v>3645</v>
      </c>
      <c r="O12" s="1349">
        <f t="shared" si="1"/>
        <v>3645</v>
      </c>
      <c r="P12" s="1385"/>
      <c r="Q12" s="1385"/>
      <c r="R12" s="1385"/>
      <c r="S12" s="1349">
        <f t="shared" si="2"/>
        <v>4665</v>
      </c>
      <c r="T12" s="1349">
        <f t="shared" si="2"/>
        <v>4665</v>
      </c>
      <c r="U12" s="1349">
        <f t="shared" si="2"/>
        <v>4665</v>
      </c>
      <c r="V12" s="1385"/>
      <c r="W12" s="1385"/>
      <c r="X12" s="1385"/>
      <c r="Y12" s="1349">
        <f t="shared" si="3"/>
        <v>4645</v>
      </c>
      <c r="Z12" s="1349">
        <f t="shared" si="3"/>
        <v>4645</v>
      </c>
      <c r="AA12" s="1349">
        <f t="shared" si="3"/>
        <v>4645</v>
      </c>
      <c r="AB12" s="1385"/>
      <c r="AC12" s="1385"/>
      <c r="AD12" s="1385"/>
      <c r="AE12" s="1349">
        <f t="shared" si="4"/>
        <v>4645</v>
      </c>
      <c r="AF12" s="1349">
        <f t="shared" si="4"/>
        <v>4645</v>
      </c>
      <c r="AG12" s="1349">
        <f t="shared" si="4"/>
        <v>4605</v>
      </c>
      <c r="AH12" s="1349">
        <f t="shared" si="4"/>
        <v>52760</v>
      </c>
      <c r="AI12" s="1349">
        <f t="shared" si="4"/>
        <v>52760</v>
      </c>
      <c r="AJ12" s="1349"/>
      <c r="AK12" s="1349"/>
      <c r="AL12" s="1349"/>
      <c r="AM12" s="1349"/>
      <c r="AN12" s="1349"/>
      <c r="AO12" s="1386"/>
      <c r="AP12" s="355" t="s">
        <v>3989</v>
      </c>
      <c r="AQ12" s="593"/>
    </row>
    <row r="13" spans="1:43" ht="45">
      <c r="A13" s="363" t="s">
        <v>1052</v>
      </c>
      <c r="B13" s="363" t="s">
        <v>1053</v>
      </c>
      <c r="C13" s="364"/>
      <c r="D13" s="363"/>
      <c r="E13" s="363"/>
      <c r="F13" s="363"/>
      <c r="G13" s="1355">
        <f t="shared" si="0"/>
        <v>1.3397680799493143</v>
      </c>
      <c r="H13" s="1356"/>
      <c r="I13" s="1391"/>
      <c r="J13" s="1392"/>
      <c r="K13" s="1392"/>
      <c r="L13" s="1392"/>
      <c r="M13" s="1359">
        <f t="shared" ref="M13:O13" si="5">SUM(M14+M19+M22)</f>
        <v>3645</v>
      </c>
      <c r="N13" s="1359">
        <f t="shared" si="5"/>
        <v>3645</v>
      </c>
      <c r="O13" s="1359">
        <f t="shared" si="5"/>
        <v>3645</v>
      </c>
      <c r="P13" s="1392"/>
      <c r="Q13" s="1392"/>
      <c r="R13" s="1392"/>
      <c r="S13" s="1359">
        <f>SUM(S14+S19+S22)</f>
        <v>4665</v>
      </c>
      <c r="T13" s="1359">
        <f t="shared" ref="T13:U13" si="6">SUM(T14+T19+T22)</f>
        <v>4665</v>
      </c>
      <c r="U13" s="1359">
        <f t="shared" si="6"/>
        <v>4665</v>
      </c>
      <c r="V13" s="1392"/>
      <c r="W13" s="1392"/>
      <c r="X13" s="1392"/>
      <c r="Y13" s="1359">
        <f t="shared" ref="Y13:AA13" si="7">SUM(Y14+Y19+Y22)</f>
        <v>4645</v>
      </c>
      <c r="Z13" s="1359">
        <f t="shared" si="7"/>
        <v>4645</v>
      </c>
      <c r="AA13" s="1359">
        <f t="shared" si="7"/>
        <v>4645</v>
      </c>
      <c r="AB13" s="1392"/>
      <c r="AC13" s="1392"/>
      <c r="AD13" s="1392"/>
      <c r="AE13" s="1359">
        <f t="shared" ref="AE13:AI13" si="8">SUM(AE14+AE19+AE22)</f>
        <v>4645</v>
      </c>
      <c r="AF13" s="1359">
        <f t="shared" si="8"/>
        <v>4645</v>
      </c>
      <c r="AG13" s="1359">
        <f t="shared" si="8"/>
        <v>4605</v>
      </c>
      <c r="AH13" s="1359">
        <f t="shared" si="8"/>
        <v>52760</v>
      </c>
      <c r="AI13" s="1359">
        <f t="shared" si="8"/>
        <v>52760</v>
      </c>
      <c r="AJ13" s="1393"/>
      <c r="AK13" s="1393"/>
      <c r="AL13" s="1393"/>
      <c r="AM13" s="1393"/>
      <c r="AN13" s="1393"/>
      <c r="AO13" s="1394"/>
      <c r="AP13" s="1394" t="s">
        <v>3989</v>
      </c>
      <c r="AQ13" s="1395"/>
    </row>
    <row r="14" spans="1:43" ht="45">
      <c r="A14" s="371" t="s">
        <v>1054</v>
      </c>
      <c r="B14" s="371" t="s">
        <v>1055</v>
      </c>
      <c r="C14" s="372"/>
      <c r="D14" s="371" t="s">
        <v>95</v>
      </c>
      <c r="E14" s="371" t="s">
        <v>1056</v>
      </c>
      <c r="F14" s="371" t="s">
        <v>1057</v>
      </c>
      <c r="G14" s="529">
        <f t="shared" si="0"/>
        <v>0.73286024994953014</v>
      </c>
      <c r="H14" s="530"/>
      <c r="I14" s="531"/>
      <c r="J14" s="1382"/>
      <c r="K14" s="1382"/>
      <c r="L14" s="1382"/>
      <c r="M14" s="1367">
        <f>SUM(M15:M18)</f>
        <v>2400</v>
      </c>
      <c r="N14" s="1367">
        <f t="shared" ref="N14:O14" si="9">SUM(N15:N18)</f>
        <v>2400</v>
      </c>
      <c r="O14" s="1367">
        <f t="shared" si="9"/>
        <v>2400</v>
      </c>
      <c r="P14" s="1382"/>
      <c r="Q14" s="1382"/>
      <c r="R14" s="1382"/>
      <c r="S14" s="1367">
        <f t="shared" ref="S14:U14" si="10">SUM(S15:S18)</f>
        <v>2420</v>
      </c>
      <c r="T14" s="1367">
        <f t="shared" si="10"/>
        <v>2420</v>
      </c>
      <c r="U14" s="1367">
        <f t="shared" si="10"/>
        <v>2420</v>
      </c>
      <c r="V14" s="1382"/>
      <c r="W14" s="1382"/>
      <c r="X14" s="1382"/>
      <c r="Y14" s="1367">
        <f t="shared" ref="Y14:AA14" si="11">SUM(Y15:Y18)</f>
        <v>2400</v>
      </c>
      <c r="Z14" s="1367">
        <f t="shared" si="11"/>
        <v>2400</v>
      </c>
      <c r="AA14" s="1367">
        <f t="shared" si="11"/>
        <v>2400</v>
      </c>
      <c r="AB14" s="1382"/>
      <c r="AC14" s="1382"/>
      <c r="AD14" s="1382"/>
      <c r="AE14" s="1367">
        <f t="shared" ref="AE14:AI14" si="12">SUM(AE15:AE18)</f>
        <v>2400</v>
      </c>
      <c r="AF14" s="1367">
        <f t="shared" si="12"/>
        <v>2400</v>
      </c>
      <c r="AG14" s="1367">
        <f t="shared" si="12"/>
        <v>2400</v>
      </c>
      <c r="AH14" s="1367">
        <f>SUM(AH15:AH18)</f>
        <v>28860</v>
      </c>
      <c r="AI14" s="1367">
        <f t="shared" si="12"/>
        <v>28860</v>
      </c>
      <c r="AJ14" s="1383"/>
      <c r="AK14" s="1383"/>
      <c r="AL14" s="1383"/>
      <c r="AM14" s="1383"/>
      <c r="AN14" s="1383"/>
      <c r="AO14" s="535"/>
      <c r="AP14" s="371" t="s">
        <v>3989</v>
      </c>
      <c r="AQ14" s="536"/>
    </row>
    <row r="15" spans="1:43" ht="15">
      <c r="A15" s="2135" t="s">
        <v>3990</v>
      </c>
      <c r="B15" s="2135" t="s">
        <v>3991</v>
      </c>
      <c r="C15" s="539">
        <f t="shared" ref="C15:C21" si="13">SUM(J15+K15+L15+P15+Q15+R15+V15+W15+X15+AB15+AC15+AD15)</f>
        <v>164</v>
      </c>
      <c r="D15" s="379" t="s">
        <v>419</v>
      </c>
      <c r="E15" s="2135" t="s">
        <v>3992</v>
      </c>
      <c r="F15" s="2135" t="s">
        <v>3993</v>
      </c>
      <c r="G15" s="1372">
        <f t="shared" si="0"/>
        <v>0.22092460757314317</v>
      </c>
      <c r="H15" s="1373"/>
      <c r="I15" s="1372"/>
      <c r="J15" s="1403">
        <v>12</v>
      </c>
      <c r="K15" s="1286">
        <v>12</v>
      </c>
      <c r="L15" s="1286">
        <v>12</v>
      </c>
      <c r="M15" s="1378">
        <v>725</v>
      </c>
      <c r="N15" s="1378">
        <v>725</v>
      </c>
      <c r="O15" s="1378">
        <v>725</v>
      </c>
      <c r="P15" s="1286">
        <v>12</v>
      </c>
      <c r="Q15" s="1286">
        <v>12</v>
      </c>
      <c r="R15" s="1286">
        <v>24</v>
      </c>
      <c r="S15" s="1378">
        <v>725</v>
      </c>
      <c r="T15" s="1378">
        <v>725</v>
      </c>
      <c r="U15" s="1378">
        <v>725</v>
      </c>
      <c r="V15" s="1286">
        <v>16</v>
      </c>
      <c r="W15" s="1286">
        <v>17</v>
      </c>
      <c r="X15" s="1286">
        <v>12</v>
      </c>
      <c r="Y15" s="1378">
        <v>725</v>
      </c>
      <c r="Z15" s="1378">
        <v>725</v>
      </c>
      <c r="AA15" s="1378">
        <v>725</v>
      </c>
      <c r="AB15" s="1286">
        <v>11</v>
      </c>
      <c r="AC15" s="1286">
        <v>12</v>
      </c>
      <c r="AD15" s="1286">
        <v>12</v>
      </c>
      <c r="AE15" s="1378">
        <v>725</v>
      </c>
      <c r="AF15" s="1378">
        <v>725</v>
      </c>
      <c r="AG15" s="1378">
        <v>725</v>
      </c>
      <c r="AH15" s="1378">
        <f t="shared" ref="AH15:AH18" si="14">+AG15+AF15+AE15+AA15+Z15+Y15+U15+T15+S15+O15+N15+M15</f>
        <v>8700</v>
      </c>
      <c r="AI15" s="1378">
        <v>8700</v>
      </c>
      <c r="AJ15" s="1378"/>
      <c r="AK15" s="1378"/>
      <c r="AL15" s="1378"/>
      <c r="AM15" s="1378"/>
      <c r="AN15" s="1378"/>
      <c r="AO15" s="2214" t="s">
        <v>3994</v>
      </c>
      <c r="AP15" s="2135" t="s">
        <v>3995</v>
      </c>
      <c r="AQ15" s="1398"/>
    </row>
    <row r="16" spans="1:43" ht="15">
      <c r="A16" s="2213"/>
      <c r="B16" s="2213"/>
      <c r="C16" s="539">
        <f t="shared" si="13"/>
        <v>123</v>
      </c>
      <c r="D16" s="379" t="s">
        <v>424</v>
      </c>
      <c r="E16" s="2213"/>
      <c r="F16" s="2213"/>
      <c r="G16" s="1372">
        <f t="shared" si="0"/>
        <v>0.14779094437651646</v>
      </c>
      <c r="H16" s="1373"/>
      <c r="I16" s="1372"/>
      <c r="J16" s="1403">
        <v>12</v>
      </c>
      <c r="K16" s="1286">
        <v>10</v>
      </c>
      <c r="L16" s="1286">
        <v>10</v>
      </c>
      <c r="M16" s="1378">
        <v>485</v>
      </c>
      <c r="N16" s="1378">
        <v>485</v>
      </c>
      <c r="O16" s="1378">
        <v>485</v>
      </c>
      <c r="P16" s="1286">
        <v>11</v>
      </c>
      <c r="Q16" s="1286">
        <v>10</v>
      </c>
      <c r="R16" s="1286">
        <v>8</v>
      </c>
      <c r="S16" s="1378">
        <v>485</v>
      </c>
      <c r="T16" s="1378">
        <v>485</v>
      </c>
      <c r="U16" s="1378">
        <v>485</v>
      </c>
      <c r="V16" s="1286">
        <v>10</v>
      </c>
      <c r="W16" s="1286">
        <v>8</v>
      </c>
      <c r="X16" s="1286">
        <v>11</v>
      </c>
      <c r="Y16" s="1378">
        <v>485</v>
      </c>
      <c r="Z16" s="1378">
        <v>485</v>
      </c>
      <c r="AA16" s="1378">
        <v>485</v>
      </c>
      <c r="AB16" s="1286">
        <v>17</v>
      </c>
      <c r="AC16" s="1286">
        <v>8</v>
      </c>
      <c r="AD16" s="1286">
        <v>8</v>
      </c>
      <c r="AE16" s="1378">
        <v>485</v>
      </c>
      <c r="AF16" s="1378">
        <v>485</v>
      </c>
      <c r="AG16" s="1378">
        <v>485</v>
      </c>
      <c r="AH16" s="1378">
        <f t="shared" si="14"/>
        <v>5820</v>
      </c>
      <c r="AI16" s="1378">
        <v>5820</v>
      </c>
      <c r="AJ16" s="1378"/>
      <c r="AK16" s="1378"/>
      <c r="AL16" s="1378"/>
      <c r="AM16" s="1378"/>
      <c r="AN16" s="1378"/>
      <c r="AO16" s="2213"/>
      <c r="AP16" s="2213"/>
      <c r="AQ16" s="1398"/>
    </row>
    <row r="17" spans="1:43" ht="15">
      <c r="A17" s="2135" t="s">
        <v>3996</v>
      </c>
      <c r="B17" s="2135" t="s">
        <v>3997</v>
      </c>
      <c r="C17" s="539">
        <f t="shared" si="13"/>
        <v>144</v>
      </c>
      <c r="D17" s="379" t="s">
        <v>419</v>
      </c>
      <c r="E17" s="2135" t="s">
        <v>3998</v>
      </c>
      <c r="F17" s="2135" t="s">
        <v>3993</v>
      </c>
      <c r="G17" s="1372">
        <f t="shared" si="0"/>
        <v>0.21863918059824858</v>
      </c>
      <c r="H17" s="1373"/>
      <c r="I17" s="1372"/>
      <c r="J17" s="1403">
        <v>8</v>
      </c>
      <c r="K17" s="1286">
        <v>14</v>
      </c>
      <c r="L17" s="1286">
        <v>14</v>
      </c>
      <c r="M17" s="1378">
        <v>715</v>
      </c>
      <c r="N17" s="1378">
        <v>715</v>
      </c>
      <c r="O17" s="1378">
        <v>715</v>
      </c>
      <c r="P17" s="1286">
        <v>12</v>
      </c>
      <c r="Q17" s="1286">
        <v>14</v>
      </c>
      <c r="R17" s="1286">
        <v>12</v>
      </c>
      <c r="S17" s="1378">
        <v>725</v>
      </c>
      <c r="T17" s="1378">
        <v>725</v>
      </c>
      <c r="U17" s="1378">
        <v>725</v>
      </c>
      <c r="V17" s="1286">
        <v>10</v>
      </c>
      <c r="W17" s="1286">
        <v>11</v>
      </c>
      <c r="X17" s="1286">
        <v>13</v>
      </c>
      <c r="Y17" s="1378">
        <v>715</v>
      </c>
      <c r="Z17" s="1378">
        <v>715</v>
      </c>
      <c r="AA17" s="1378">
        <v>715</v>
      </c>
      <c r="AB17" s="1286">
        <v>12</v>
      </c>
      <c r="AC17" s="1286">
        <v>12</v>
      </c>
      <c r="AD17" s="1286">
        <v>12</v>
      </c>
      <c r="AE17" s="1378">
        <v>715</v>
      </c>
      <c r="AF17" s="1378">
        <v>715</v>
      </c>
      <c r="AG17" s="1378">
        <v>715</v>
      </c>
      <c r="AH17" s="1378">
        <f t="shared" si="14"/>
        <v>8610</v>
      </c>
      <c r="AI17" s="1378">
        <v>8610</v>
      </c>
      <c r="AJ17" s="1378"/>
      <c r="AK17" s="1378"/>
      <c r="AL17" s="1378"/>
      <c r="AM17" s="1378"/>
      <c r="AN17" s="1378"/>
      <c r="AO17" s="2214" t="s">
        <v>3994</v>
      </c>
      <c r="AP17" s="2135" t="s">
        <v>3995</v>
      </c>
      <c r="AQ17" s="1398"/>
    </row>
    <row r="18" spans="1:43" ht="15">
      <c r="A18" s="2213"/>
      <c r="B18" s="2213"/>
      <c r="C18" s="539">
        <f t="shared" si="13"/>
        <v>139</v>
      </c>
      <c r="D18" s="379" t="s">
        <v>424</v>
      </c>
      <c r="E18" s="2213"/>
      <c r="F18" s="2213"/>
      <c r="G18" s="1372">
        <f t="shared" si="0"/>
        <v>0.1455055174016219</v>
      </c>
      <c r="H18" s="1373"/>
      <c r="I18" s="1372"/>
      <c r="J18" s="1403">
        <v>9</v>
      </c>
      <c r="K18" s="1286">
        <v>8</v>
      </c>
      <c r="L18" s="1286">
        <v>8</v>
      </c>
      <c r="M18" s="1378">
        <v>475</v>
      </c>
      <c r="N18" s="1378">
        <v>475</v>
      </c>
      <c r="O18" s="1378">
        <v>475</v>
      </c>
      <c r="P18" s="1286">
        <v>11</v>
      </c>
      <c r="Q18" s="1286">
        <v>12</v>
      </c>
      <c r="R18" s="1286">
        <v>10</v>
      </c>
      <c r="S18" s="1378">
        <v>485</v>
      </c>
      <c r="T18" s="1378">
        <v>485</v>
      </c>
      <c r="U18" s="1378">
        <v>485</v>
      </c>
      <c r="V18" s="1286">
        <v>23</v>
      </c>
      <c r="W18" s="1286">
        <v>9</v>
      </c>
      <c r="X18" s="1286">
        <v>8</v>
      </c>
      <c r="Y18" s="1378">
        <v>475</v>
      </c>
      <c r="Z18" s="1378">
        <v>475</v>
      </c>
      <c r="AA18" s="1378">
        <v>475</v>
      </c>
      <c r="AB18" s="1286">
        <v>25</v>
      </c>
      <c r="AC18" s="1286">
        <v>8</v>
      </c>
      <c r="AD18" s="1286">
        <v>8</v>
      </c>
      <c r="AE18" s="1378">
        <v>475</v>
      </c>
      <c r="AF18" s="1378">
        <v>475</v>
      </c>
      <c r="AG18" s="1378">
        <v>475</v>
      </c>
      <c r="AH18" s="1378">
        <f t="shared" si="14"/>
        <v>5730</v>
      </c>
      <c r="AI18" s="1378">
        <v>5730</v>
      </c>
      <c r="AJ18" s="1378"/>
      <c r="AK18" s="1378"/>
      <c r="AL18" s="1378"/>
      <c r="AM18" s="1378"/>
      <c r="AN18" s="1378"/>
      <c r="AO18" s="2213"/>
      <c r="AP18" s="2213"/>
      <c r="AQ18" s="1398"/>
    </row>
    <row r="19" spans="1:43" ht="75">
      <c r="A19" s="371" t="s">
        <v>3999</v>
      </c>
      <c r="B19" s="371" t="s">
        <v>4000</v>
      </c>
      <c r="C19" s="372"/>
      <c r="D19" s="371" t="s">
        <v>747</v>
      </c>
      <c r="E19" s="371" t="s">
        <v>4001</v>
      </c>
      <c r="F19" s="371"/>
      <c r="G19" s="529"/>
      <c r="H19" s="530"/>
      <c r="I19" s="529"/>
      <c r="J19" s="1489"/>
      <c r="K19" s="1489"/>
      <c r="L19" s="1489"/>
      <c r="M19" s="1383">
        <f>SUM(M20:M21)</f>
        <v>1245</v>
      </c>
      <c r="N19" s="1383">
        <f t="shared" ref="N19:O19" si="15">SUM(N20:N21)</f>
        <v>1245</v>
      </c>
      <c r="O19" s="1383">
        <f t="shared" si="15"/>
        <v>1245</v>
      </c>
      <c r="P19" s="1489"/>
      <c r="Q19" s="1489"/>
      <c r="R19" s="1489"/>
      <c r="S19" s="1383">
        <f t="shared" ref="S19:U19" si="16">SUM(S20:S21)</f>
        <v>1245</v>
      </c>
      <c r="T19" s="1383">
        <f t="shared" si="16"/>
        <v>1245</v>
      </c>
      <c r="U19" s="1383">
        <f t="shared" si="16"/>
        <v>1245</v>
      </c>
      <c r="V19" s="1489"/>
      <c r="W19" s="1489"/>
      <c r="X19" s="1489"/>
      <c r="Y19" s="1383">
        <f t="shared" ref="Y19:AA19" si="17">SUM(Y20:Y21)</f>
        <v>1245</v>
      </c>
      <c r="Z19" s="1383">
        <f t="shared" si="17"/>
        <v>1245</v>
      </c>
      <c r="AA19" s="1383">
        <f t="shared" si="17"/>
        <v>1245</v>
      </c>
      <c r="AB19" s="1489"/>
      <c r="AC19" s="1489"/>
      <c r="AD19" s="1489"/>
      <c r="AE19" s="1383">
        <f t="shared" ref="AE19:AG19" si="18">SUM(AE20:AE21)</f>
        <v>1245</v>
      </c>
      <c r="AF19" s="1383">
        <f t="shared" si="18"/>
        <v>1245</v>
      </c>
      <c r="AG19" s="1383">
        <f t="shared" si="18"/>
        <v>1205</v>
      </c>
      <c r="AH19" s="1383">
        <f>SUM(AH20:AH21)</f>
        <v>14900</v>
      </c>
      <c r="AI19" s="1383">
        <f>SUM(AI20:AI21)</f>
        <v>14900</v>
      </c>
      <c r="AJ19" s="1383"/>
      <c r="AK19" s="1383"/>
      <c r="AL19" s="1383"/>
      <c r="AM19" s="1383"/>
      <c r="AN19" s="1383"/>
      <c r="AO19" s="1381" t="s">
        <v>3994</v>
      </c>
      <c r="AP19" s="18" t="s">
        <v>3989</v>
      </c>
      <c r="AQ19" s="1783"/>
    </row>
    <row r="20" spans="1:43" ht="15">
      <c r="A20" s="2135" t="s">
        <v>4002</v>
      </c>
      <c r="B20" s="2135" t="s">
        <v>4003</v>
      </c>
      <c r="C20" s="539">
        <f t="shared" si="13"/>
        <v>165</v>
      </c>
      <c r="D20" s="379" t="s">
        <v>419</v>
      </c>
      <c r="E20" s="2135" t="s">
        <v>4001</v>
      </c>
      <c r="F20" s="2135" t="s">
        <v>3993</v>
      </c>
      <c r="G20" s="1372">
        <f t="shared" si="0"/>
        <v>0.22701907950619543</v>
      </c>
      <c r="H20" s="1373"/>
      <c r="I20" s="1372"/>
      <c r="J20" s="1286">
        <v>13</v>
      </c>
      <c r="K20" s="1286">
        <v>14</v>
      </c>
      <c r="L20" s="1286">
        <v>14</v>
      </c>
      <c r="M20" s="1378">
        <v>745</v>
      </c>
      <c r="N20" s="1378">
        <v>745</v>
      </c>
      <c r="O20" s="1378">
        <v>745</v>
      </c>
      <c r="P20" s="1286">
        <v>12</v>
      </c>
      <c r="Q20" s="1286">
        <v>16</v>
      </c>
      <c r="R20" s="1286">
        <v>19</v>
      </c>
      <c r="S20" s="1378">
        <v>745</v>
      </c>
      <c r="T20" s="1378">
        <v>745</v>
      </c>
      <c r="U20" s="1378">
        <v>745</v>
      </c>
      <c r="V20" s="1286">
        <v>16</v>
      </c>
      <c r="W20" s="1286">
        <v>12</v>
      </c>
      <c r="X20" s="1286">
        <v>11</v>
      </c>
      <c r="Y20" s="1378">
        <v>745</v>
      </c>
      <c r="Z20" s="1378">
        <v>745</v>
      </c>
      <c r="AA20" s="1378">
        <v>745</v>
      </c>
      <c r="AB20" s="1286">
        <v>14</v>
      </c>
      <c r="AC20" s="1286">
        <v>12</v>
      </c>
      <c r="AD20" s="1286">
        <v>12</v>
      </c>
      <c r="AE20" s="1378">
        <v>745</v>
      </c>
      <c r="AF20" s="1378">
        <v>745</v>
      </c>
      <c r="AG20" s="1378">
        <v>745</v>
      </c>
      <c r="AH20" s="1378">
        <f t="shared" ref="AH20:AH23" si="19">+AG20+AF20+AE20+AA20+Z20+Y20+U20+T20+S20+O20+N20+M20</f>
        <v>8940</v>
      </c>
      <c r="AI20" s="1378">
        <v>8940</v>
      </c>
      <c r="AJ20" s="1378"/>
      <c r="AK20" s="1378"/>
      <c r="AL20" s="1378"/>
      <c r="AM20" s="1378"/>
      <c r="AN20" s="1378"/>
      <c r="AO20" s="2214" t="s">
        <v>3994</v>
      </c>
      <c r="AP20" s="2135" t="s">
        <v>3995</v>
      </c>
      <c r="AQ20" s="1398"/>
    </row>
    <row r="21" spans="1:43" ht="15">
      <c r="A21" s="2213"/>
      <c r="B21" s="2213"/>
      <c r="C21" s="539">
        <f t="shared" si="13"/>
        <v>147</v>
      </c>
      <c r="D21" s="379" t="s">
        <v>424</v>
      </c>
      <c r="E21" s="2213"/>
      <c r="F21" s="2213"/>
      <c r="G21" s="1372">
        <f t="shared" si="0"/>
        <v>0.15134605300413029</v>
      </c>
      <c r="H21" s="1373"/>
      <c r="I21" s="1372"/>
      <c r="J21" s="1286">
        <v>10</v>
      </c>
      <c r="K21" s="1286">
        <v>13</v>
      </c>
      <c r="L21" s="1286">
        <v>13</v>
      </c>
      <c r="M21" s="1378">
        <v>500</v>
      </c>
      <c r="N21" s="1378">
        <v>500</v>
      </c>
      <c r="O21" s="1378">
        <v>500</v>
      </c>
      <c r="P21" s="1286">
        <v>8</v>
      </c>
      <c r="Q21" s="1286">
        <v>9</v>
      </c>
      <c r="R21" s="1286">
        <v>11</v>
      </c>
      <c r="S21" s="1378">
        <v>500</v>
      </c>
      <c r="T21" s="1378">
        <v>500</v>
      </c>
      <c r="U21" s="1378">
        <v>500</v>
      </c>
      <c r="V21" s="1286">
        <v>22</v>
      </c>
      <c r="W21" s="1286">
        <v>18</v>
      </c>
      <c r="X21" s="1286">
        <v>14</v>
      </c>
      <c r="Y21" s="1378">
        <v>500</v>
      </c>
      <c r="Z21" s="1378">
        <v>500</v>
      </c>
      <c r="AA21" s="1378">
        <v>500</v>
      </c>
      <c r="AB21" s="1286">
        <v>13</v>
      </c>
      <c r="AC21" s="1286">
        <v>8</v>
      </c>
      <c r="AD21" s="1286">
        <v>8</v>
      </c>
      <c r="AE21" s="1378">
        <v>500</v>
      </c>
      <c r="AF21" s="1378">
        <v>500</v>
      </c>
      <c r="AG21" s="1378">
        <v>460</v>
      </c>
      <c r="AH21" s="1378">
        <f t="shared" si="19"/>
        <v>5960</v>
      </c>
      <c r="AI21" s="1378">
        <v>5960</v>
      </c>
      <c r="AJ21" s="1378"/>
      <c r="AK21" s="1378"/>
      <c r="AL21" s="1378"/>
      <c r="AM21" s="1378"/>
      <c r="AN21" s="1378"/>
      <c r="AO21" s="2213"/>
      <c r="AP21" s="2213"/>
      <c r="AQ21" s="1398"/>
    </row>
    <row r="22" spans="1:43" ht="30">
      <c r="A22" s="371" t="s">
        <v>1063</v>
      </c>
      <c r="B22" s="371" t="s">
        <v>1064</v>
      </c>
      <c r="C22" s="372"/>
      <c r="D22" s="371" t="s">
        <v>55</v>
      </c>
      <c r="E22" s="371" t="s">
        <v>1065</v>
      </c>
      <c r="F22" s="371"/>
      <c r="G22" s="529"/>
      <c r="H22" s="530"/>
      <c r="I22" s="529"/>
      <c r="J22" s="1784"/>
      <c r="K22" s="1784"/>
      <c r="L22" s="1784"/>
      <c r="M22" s="1383"/>
      <c r="N22" s="1383"/>
      <c r="O22" s="1383"/>
      <c r="P22" s="1784"/>
      <c r="Q22" s="1784"/>
      <c r="R22" s="1784"/>
      <c r="S22" s="1383">
        <f>SUM(S23)</f>
        <v>1000</v>
      </c>
      <c r="T22" s="1383">
        <f t="shared" ref="T22:U22" si="20">SUM(T23)</f>
        <v>1000</v>
      </c>
      <c r="U22" s="1383">
        <f t="shared" si="20"/>
        <v>1000</v>
      </c>
      <c r="V22" s="1784"/>
      <c r="W22" s="1784"/>
      <c r="X22" s="1784"/>
      <c r="Y22" s="1383">
        <f t="shared" ref="Y22:AA22" si="21">SUM(Y23)</f>
        <v>1000</v>
      </c>
      <c r="Z22" s="1383">
        <f t="shared" si="21"/>
        <v>1000</v>
      </c>
      <c r="AA22" s="1383">
        <f t="shared" si="21"/>
        <v>1000</v>
      </c>
      <c r="AB22" s="1784"/>
      <c r="AC22" s="1784"/>
      <c r="AD22" s="1784"/>
      <c r="AE22" s="1383">
        <f t="shared" ref="AE22:AG22" si="22">SUM(AE23)</f>
        <v>1000</v>
      </c>
      <c r="AF22" s="1383">
        <f t="shared" si="22"/>
        <v>1000</v>
      </c>
      <c r="AG22" s="1383">
        <f t="shared" si="22"/>
        <v>1000</v>
      </c>
      <c r="AH22" s="1383">
        <f>SUM(AH23)</f>
        <v>9000</v>
      </c>
      <c r="AI22" s="1383">
        <f>SUM(AI23)</f>
        <v>9000</v>
      </c>
      <c r="AJ22" s="1383"/>
      <c r="AK22" s="1383"/>
      <c r="AL22" s="1383"/>
      <c r="AM22" s="1383"/>
      <c r="AN22" s="1383"/>
      <c r="AO22" s="535"/>
      <c r="AP22" s="18" t="s">
        <v>3989</v>
      </c>
      <c r="AQ22" s="1783"/>
    </row>
    <row r="23" spans="1:43" ht="30">
      <c r="A23" s="379" t="s">
        <v>4004</v>
      </c>
      <c r="B23" s="379" t="s">
        <v>4005</v>
      </c>
      <c r="C23" s="539">
        <f>SUM(J23+K23+L23+P23+Q23+R23+V23+W23+X23+AB23+AC23+AD23)</f>
        <v>100</v>
      </c>
      <c r="D23" s="379" t="s">
        <v>4006</v>
      </c>
      <c r="E23" s="379" t="s">
        <v>4007</v>
      </c>
      <c r="F23" s="379" t="s">
        <v>4008</v>
      </c>
      <c r="G23" s="1372">
        <f t="shared" si="0"/>
        <v>0.22854269748945849</v>
      </c>
      <c r="H23" s="1373"/>
      <c r="I23" s="1372"/>
      <c r="J23" s="1286"/>
      <c r="K23" s="1286"/>
      <c r="L23" s="1286"/>
      <c r="M23" s="1378"/>
      <c r="N23" s="1378"/>
      <c r="O23" s="1378"/>
      <c r="P23" s="1286">
        <v>6</v>
      </c>
      <c r="Q23" s="1286">
        <v>13</v>
      </c>
      <c r="R23" s="1286">
        <v>13</v>
      </c>
      <c r="S23" s="1378">
        <v>1000</v>
      </c>
      <c r="T23" s="1378">
        <v>1000</v>
      </c>
      <c r="U23" s="1378">
        <v>1000</v>
      </c>
      <c r="V23" s="1286">
        <v>13</v>
      </c>
      <c r="W23" s="1286">
        <v>10</v>
      </c>
      <c r="X23" s="1286">
        <v>13</v>
      </c>
      <c r="Y23" s="1378">
        <v>1000</v>
      </c>
      <c r="Z23" s="1378">
        <v>1000</v>
      </c>
      <c r="AA23" s="1378">
        <v>1000</v>
      </c>
      <c r="AB23" s="1286">
        <v>13</v>
      </c>
      <c r="AC23" s="1399">
        <v>13</v>
      </c>
      <c r="AD23" s="1399">
        <v>6</v>
      </c>
      <c r="AE23" s="1378">
        <v>1000</v>
      </c>
      <c r="AF23" s="1378">
        <v>1000</v>
      </c>
      <c r="AG23" s="1378">
        <v>1000</v>
      </c>
      <c r="AH23" s="1378">
        <f t="shared" si="19"/>
        <v>9000</v>
      </c>
      <c r="AI23" s="1378">
        <v>9000</v>
      </c>
      <c r="AJ23" s="1378"/>
      <c r="AK23" s="1378"/>
      <c r="AL23" s="1378"/>
      <c r="AM23" s="1378"/>
      <c r="AN23" s="1378"/>
      <c r="AO23" s="538" t="s">
        <v>2384</v>
      </c>
      <c r="AP23" s="379" t="s">
        <v>3995</v>
      </c>
      <c r="AQ23" s="1398"/>
    </row>
    <row r="24" spans="1:43" ht="15">
      <c r="A24" s="595" t="s">
        <v>379</v>
      </c>
      <c r="B24" s="1336" t="s">
        <v>808</v>
      </c>
      <c r="C24" s="1335"/>
      <c r="D24" s="1785"/>
      <c r="E24" s="1336"/>
      <c r="F24" s="1336"/>
      <c r="G24" s="1337">
        <f t="shared" si="0"/>
        <v>98.660231920050691</v>
      </c>
      <c r="H24" s="1338"/>
      <c r="I24" s="1339"/>
      <c r="J24" s="1340"/>
      <c r="K24" s="1340"/>
      <c r="L24" s="1340"/>
      <c r="M24" s="1341">
        <f>M25</f>
        <v>246500</v>
      </c>
      <c r="N24" s="1341">
        <f t="shared" ref="N24:O24" si="23">N25</f>
        <v>269230</v>
      </c>
      <c r="O24" s="1341">
        <f t="shared" si="23"/>
        <v>523500</v>
      </c>
      <c r="P24" s="1340"/>
      <c r="Q24" s="1340"/>
      <c r="R24" s="1340"/>
      <c r="S24" s="1341">
        <f t="shared" ref="S24:U24" si="24">S25</f>
        <v>212000</v>
      </c>
      <c r="T24" s="1341">
        <f t="shared" si="24"/>
        <v>208500</v>
      </c>
      <c r="U24" s="1341">
        <f t="shared" si="24"/>
        <v>535002.5</v>
      </c>
      <c r="V24" s="1340"/>
      <c r="W24" s="1340"/>
      <c r="X24" s="1340"/>
      <c r="Y24" s="1341">
        <f t="shared" ref="Y24:AA24" si="25">Y25</f>
        <v>206500</v>
      </c>
      <c r="Z24" s="1341">
        <f t="shared" si="25"/>
        <v>216500</v>
      </c>
      <c r="AA24" s="1341">
        <f t="shared" si="25"/>
        <v>394500</v>
      </c>
      <c r="AB24" s="1340"/>
      <c r="AC24" s="1340"/>
      <c r="AD24" s="1340"/>
      <c r="AE24" s="1341">
        <f t="shared" ref="AE24:AI24" si="26">AE25</f>
        <v>216500</v>
      </c>
      <c r="AF24" s="1341">
        <f t="shared" si="26"/>
        <v>203500</v>
      </c>
      <c r="AG24" s="1341">
        <f t="shared" si="26"/>
        <v>653002.5</v>
      </c>
      <c r="AH24" s="1341">
        <f t="shared" si="26"/>
        <v>3885235</v>
      </c>
      <c r="AI24" s="1341">
        <f t="shared" si="26"/>
        <v>3885235</v>
      </c>
      <c r="AJ24" s="1341"/>
      <c r="AK24" s="1341"/>
      <c r="AL24" s="1341">
        <f t="shared" ref="AL24" si="27">AL25</f>
        <v>0</v>
      </c>
      <c r="AM24" s="1341"/>
      <c r="AN24" s="1341"/>
      <c r="AO24" s="1336"/>
      <c r="AP24" s="1336"/>
      <c r="AQ24" s="1339"/>
    </row>
    <row r="25" spans="1:43" ht="30">
      <c r="A25" s="597" t="s">
        <v>4009</v>
      </c>
      <c r="B25" s="1343" t="s">
        <v>4010</v>
      </c>
      <c r="C25" s="1344"/>
      <c r="D25" s="1786"/>
      <c r="E25" s="1343"/>
      <c r="F25" s="1343"/>
      <c r="G25" s="1345">
        <f t="shared" si="0"/>
        <v>98.660231920050691</v>
      </c>
      <c r="H25" s="1346"/>
      <c r="I25" s="1350"/>
      <c r="J25" s="1348"/>
      <c r="K25" s="1348"/>
      <c r="L25" s="1348"/>
      <c r="M25" s="1349">
        <f>SUM(M26+M39+M43+M51+M67)</f>
        <v>246500</v>
      </c>
      <c r="N25" s="1349">
        <f t="shared" ref="N25:O25" si="28">SUM(N26+N39+N43+N51+N67)</f>
        <v>269230</v>
      </c>
      <c r="O25" s="1349">
        <f t="shared" si="28"/>
        <v>523500</v>
      </c>
      <c r="P25" s="1348"/>
      <c r="Q25" s="1348"/>
      <c r="R25" s="1348"/>
      <c r="S25" s="1349">
        <f t="shared" ref="S25:U25" si="29">SUM(S26+S39+S43+S51+S67)</f>
        <v>212000</v>
      </c>
      <c r="T25" s="1349">
        <f t="shared" si="29"/>
        <v>208500</v>
      </c>
      <c r="U25" s="1349">
        <f t="shared" si="29"/>
        <v>535002.5</v>
      </c>
      <c r="V25" s="1348"/>
      <c r="W25" s="1348"/>
      <c r="X25" s="1348"/>
      <c r="Y25" s="1349">
        <f t="shared" ref="Y25:AA25" si="30">SUM(Y26+Y39+Y43+Y51+Y67)</f>
        <v>206500</v>
      </c>
      <c r="Z25" s="1349">
        <f t="shared" si="30"/>
        <v>216500</v>
      </c>
      <c r="AA25" s="1349">
        <f t="shared" si="30"/>
        <v>394500</v>
      </c>
      <c r="AB25" s="1348"/>
      <c r="AC25" s="1348"/>
      <c r="AD25" s="1348"/>
      <c r="AE25" s="1349">
        <f t="shared" ref="AE25:AI25" si="31">SUM(AE26+AE39+AE43+AE51+AE67)</f>
        <v>216500</v>
      </c>
      <c r="AF25" s="1349">
        <f t="shared" si="31"/>
        <v>203500</v>
      </c>
      <c r="AG25" s="1349">
        <f t="shared" si="31"/>
        <v>653002.5</v>
      </c>
      <c r="AH25" s="1349">
        <f t="shared" si="31"/>
        <v>3885235</v>
      </c>
      <c r="AI25" s="1349">
        <f t="shared" si="31"/>
        <v>3885235</v>
      </c>
      <c r="AJ25" s="1349"/>
      <c r="AK25" s="1349"/>
      <c r="AL25" s="1349">
        <f t="shared" ref="AL25" si="32">SUM(AL26+AL39+AL43+AL51+AL67)</f>
        <v>0</v>
      </c>
      <c r="AM25" s="1349"/>
      <c r="AN25" s="1349"/>
      <c r="AO25" s="1343"/>
      <c r="AP25" s="1343"/>
      <c r="AQ25" s="1350"/>
    </row>
    <row r="26" spans="1:43" ht="30">
      <c r="A26" s="1787" t="s">
        <v>4011</v>
      </c>
      <c r="B26" s="1788" t="s">
        <v>4012</v>
      </c>
      <c r="C26" s="1356"/>
      <c r="D26" s="1789"/>
      <c r="E26" s="1788"/>
      <c r="F26" s="1788"/>
      <c r="G26" s="1356">
        <f t="shared" si="0"/>
        <v>2.1457619930954714</v>
      </c>
      <c r="H26" s="1356"/>
      <c r="I26" s="1356"/>
      <c r="J26" s="1405"/>
      <c r="K26" s="1405"/>
      <c r="L26" s="1405"/>
      <c r="M26" s="1359">
        <f>SUM(M27+M33)</f>
        <v>5000</v>
      </c>
      <c r="N26" s="1359">
        <f t="shared" ref="N26:O26" si="33">SUM(N27+N33)</f>
        <v>5000</v>
      </c>
      <c r="O26" s="1359">
        <f t="shared" si="33"/>
        <v>5000</v>
      </c>
      <c r="P26" s="1359"/>
      <c r="Q26" s="1359"/>
      <c r="R26" s="1359"/>
      <c r="S26" s="1359">
        <f t="shared" ref="S26:U26" si="34">SUM(S27+S33)</f>
        <v>12500</v>
      </c>
      <c r="T26" s="1359">
        <f t="shared" si="34"/>
        <v>5000</v>
      </c>
      <c r="U26" s="1359">
        <f t="shared" si="34"/>
        <v>5000</v>
      </c>
      <c r="V26" s="1359"/>
      <c r="W26" s="1359"/>
      <c r="X26" s="1359"/>
      <c r="Y26" s="1359">
        <f t="shared" ref="Y26:AA26" si="35">SUM(Y27+Y33)</f>
        <v>5000</v>
      </c>
      <c r="Z26" s="1359">
        <f t="shared" si="35"/>
        <v>15000</v>
      </c>
      <c r="AA26" s="1359">
        <f t="shared" si="35"/>
        <v>12000</v>
      </c>
      <c r="AB26" s="1359"/>
      <c r="AC26" s="1359"/>
      <c r="AD26" s="1359"/>
      <c r="AE26" s="1359">
        <f t="shared" ref="AE26:AI26" si="36">SUM(AE27+AE33)</f>
        <v>15000</v>
      </c>
      <c r="AF26" s="1359">
        <f t="shared" si="36"/>
        <v>0</v>
      </c>
      <c r="AG26" s="1359">
        <f t="shared" si="36"/>
        <v>0</v>
      </c>
      <c r="AH26" s="1359">
        <f t="shared" si="36"/>
        <v>84500</v>
      </c>
      <c r="AI26" s="1359">
        <f t="shared" si="36"/>
        <v>84500</v>
      </c>
      <c r="AJ26" s="1405"/>
      <c r="AK26" s="1405"/>
      <c r="AL26" s="1359"/>
      <c r="AM26" s="1405"/>
      <c r="AN26" s="1405"/>
      <c r="AO26" s="1788"/>
      <c r="AP26" s="1788"/>
      <c r="AQ26" s="1356"/>
    </row>
    <row r="27" spans="1:43" ht="45">
      <c r="A27" s="609" t="s">
        <v>4013</v>
      </c>
      <c r="B27" s="535" t="s">
        <v>4014</v>
      </c>
      <c r="C27" s="1369"/>
      <c r="D27" s="1381"/>
      <c r="E27" s="1381"/>
      <c r="F27" s="1381"/>
      <c r="G27" s="529">
        <f t="shared" si="0"/>
        <v>0.85068670732187324</v>
      </c>
      <c r="H27" s="530"/>
      <c r="I27" s="529"/>
      <c r="J27" s="1382"/>
      <c r="K27" s="1382"/>
      <c r="L27" s="1382"/>
      <c r="M27" s="1367">
        <f>SUM(M28:M32)</f>
        <v>2000</v>
      </c>
      <c r="N27" s="1367">
        <f t="shared" ref="N27:O27" si="37">SUM(N28:N32)</f>
        <v>2000</v>
      </c>
      <c r="O27" s="1367">
        <f t="shared" si="37"/>
        <v>2000</v>
      </c>
      <c r="P27" s="1382"/>
      <c r="Q27" s="1382"/>
      <c r="R27" s="1382"/>
      <c r="S27" s="1367">
        <f t="shared" ref="S27:U27" si="38">SUM(S28:S32)</f>
        <v>9500</v>
      </c>
      <c r="T27" s="1367">
        <f t="shared" si="38"/>
        <v>2000</v>
      </c>
      <c r="U27" s="1367">
        <f t="shared" si="38"/>
        <v>2000</v>
      </c>
      <c r="V27" s="1382"/>
      <c r="W27" s="1382"/>
      <c r="X27" s="1382"/>
      <c r="Y27" s="1367">
        <f t="shared" ref="Y27:AA27" si="39">SUM(Y28:Y32)</f>
        <v>2000</v>
      </c>
      <c r="Z27" s="1367">
        <f t="shared" si="39"/>
        <v>5000</v>
      </c>
      <c r="AA27" s="1367">
        <f t="shared" si="39"/>
        <v>2000</v>
      </c>
      <c r="AB27" s="1382"/>
      <c r="AC27" s="1382"/>
      <c r="AD27" s="1382"/>
      <c r="AE27" s="1367">
        <f t="shared" ref="AE27:AI27" si="40">SUM(AE28:AE32)</f>
        <v>5000</v>
      </c>
      <c r="AF27" s="1367">
        <f t="shared" si="40"/>
        <v>0</v>
      </c>
      <c r="AG27" s="1367">
        <f t="shared" si="40"/>
        <v>0</v>
      </c>
      <c r="AH27" s="1367">
        <f t="shared" si="40"/>
        <v>33500</v>
      </c>
      <c r="AI27" s="1367">
        <f t="shared" si="40"/>
        <v>33500</v>
      </c>
      <c r="AJ27" s="1367"/>
      <c r="AK27" s="1367"/>
      <c r="AL27" s="1367"/>
      <c r="AM27" s="1367"/>
      <c r="AN27" s="1367"/>
      <c r="AO27" s="997"/>
      <c r="AP27" s="997"/>
      <c r="AQ27" s="1363"/>
    </row>
    <row r="28" spans="1:43" ht="60">
      <c r="A28" s="537" t="s">
        <v>4015</v>
      </c>
      <c r="B28" s="1379" t="s">
        <v>4016</v>
      </c>
      <c r="C28" s="539">
        <f>SUM(J28+K28+L28+P28+Q28+R28+V28+W28+X28+AB28+AC28+AD28)</f>
        <v>1</v>
      </c>
      <c r="D28" s="1398" t="s">
        <v>2908</v>
      </c>
      <c r="E28" s="1379" t="s">
        <v>4017</v>
      </c>
      <c r="F28" s="1379" t="s">
        <v>4018</v>
      </c>
      <c r="G28" s="1790">
        <f t="shared" si="0"/>
        <v>0.19045224790788207</v>
      </c>
      <c r="H28" s="1791"/>
      <c r="I28" s="1372">
        <f>AH28/AH$27*100</f>
        <v>22.388059701492537</v>
      </c>
      <c r="J28" s="1399"/>
      <c r="K28" s="1399"/>
      <c r="L28" s="1399"/>
      <c r="M28" s="1378"/>
      <c r="N28" s="1378"/>
      <c r="O28" s="1378"/>
      <c r="P28" s="1399">
        <v>1</v>
      </c>
      <c r="Q28" s="1399"/>
      <c r="R28" s="1399"/>
      <c r="S28" s="1378">
        <v>7500</v>
      </c>
      <c r="T28" s="1378"/>
      <c r="U28" s="1378"/>
      <c r="V28" s="1399"/>
      <c r="W28" s="1399"/>
      <c r="X28" s="1399"/>
      <c r="Y28" s="1378"/>
      <c r="Z28" s="1378"/>
      <c r="AA28" s="1378"/>
      <c r="AB28" s="1399"/>
      <c r="AC28" s="1399"/>
      <c r="AD28" s="1399"/>
      <c r="AE28" s="1378"/>
      <c r="AF28" s="1378"/>
      <c r="AG28" s="1378"/>
      <c r="AH28" s="1378">
        <f>+AG28+AF28+AE28+AA28+Z28+Y28+U28+T28+S28+O28+N28+M28</f>
        <v>7500</v>
      </c>
      <c r="AI28" s="1378">
        <v>7500</v>
      </c>
      <c r="AJ28" s="1378"/>
      <c r="AK28" s="1378"/>
      <c r="AL28" s="1378"/>
      <c r="AM28" s="1378"/>
      <c r="AN28" s="1378"/>
      <c r="AO28" s="538" t="s">
        <v>3994</v>
      </c>
      <c r="AP28" s="538" t="s">
        <v>4019</v>
      </c>
      <c r="AQ28" s="547"/>
    </row>
    <row r="29" spans="1:43" ht="45">
      <c r="A29" s="537" t="s">
        <v>4020</v>
      </c>
      <c r="B29" s="1379" t="s">
        <v>4021</v>
      </c>
      <c r="C29" s="539">
        <f>SUM(J29+K29+L29+P29+Q29+R29+V29+W29+X29+AB29+AC29+AD29)</f>
        <v>10</v>
      </c>
      <c r="D29" s="1398" t="s">
        <v>1492</v>
      </c>
      <c r="E29" s="1379" t="s">
        <v>4022</v>
      </c>
      <c r="F29" s="1379" t="s">
        <v>4023</v>
      </c>
      <c r="G29" s="1790">
        <f t="shared" si="0"/>
        <v>0.25393633054384274</v>
      </c>
      <c r="H29" s="1791"/>
      <c r="I29" s="1372">
        <f t="shared" ref="I29:I32" si="41">AH29/AH$27*100</f>
        <v>29.850746268656714</v>
      </c>
      <c r="J29" s="1399">
        <v>1</v>
      </c>
      <c r="K29" s="1399">
        <v>1</v>
      </c>
      <c r="L29" s="1399">
        <v>1</v>
      </c>
      <c r="M29" s="1378">
        <v>1000</v>
      </c>
      <c r="N29" s="1378">
        <v>1000</v>
      </c>
      <c r="O29" s="1378">
        <v>1000</v>
      </c>
      <c r="P29" s="1399">
        <v>1</v>
      </c>
      <c r="Q29" s="1399">
        <v>1</v>
      </c>
      <c r="R29" s="1399">
        <v>1</v>
      </c>
      <c r="S29" s="1378">
        <v>1000</v>
      </c>
      <c r="T29" s="1378">
        <v>1000</v>
      </c>
      <c r="U29" s="1378">
        <v>1000</v>
      </c>
      <c r="V29" s="1399">
        <v>1</v>
      </c>
      <c r="W29" s="1399">
        <v>1</v>
      </c>
      <c r="X29" s="1399">
        <v>1</v>
      </c>
      <c r="Y29" s="1378">
        <v>1000</v>
      </c>
      <c r="Z29" s="1378">
        <v>1000</v>
      </c>
      <c r="AA29" s="1378">
        <v>1000</v>
      </c>
      <c r="AB29" s="1399">
        <v>1</v>
      </c>
      <c r="AC29" s="1399"/>
      <c r="AD29" s="1399"/>
      <c r="AE29" s="1378">
        <v>1000</v>
      </c>
      <c r="AF29" s="1378"/>
      <c r="AG29" s="1378"/>
      <c r="AH29" s="1378">
        <f>+AG29+AF29+AE29+AA29+Z29+Y29+U29+T29+S29+O29+N29+M29</f>
        <v>10000</v>
      </c>
      <c r="AI29" s="1378">
        <v>10000</v>
      </c>
      <c r="AJ29" s="1378"/>
      <c r="AK29" s="1378"/>
      <c r="AL29" s="1378"/>
      <c r="AM29" s="1378"/>
      <c r="AN29" s="1378"/>
      <c r="AO29" s="538" t="s">
        <v>3994</v>
      </c>
      <c r="AP29" s="538" t="s">
        <v>4019</v>
      </c>
      <c r="AQ29" s="547"/>
    </row>
    <row r="30" spans="1:43" ht="90">
      <c r="A30" s="537" t="s">
        <v>4024</v>
      </c>
      <c r="B30" s="1379" t="s">
        <v>4025</v>
      </c>
      <c r="C30" s="539">
        <f>SUM(J30+K30+L30+P30+Q30+R30+V30+W30+X30+AB30+AC30+AD30)</f>
        <v>10</v>
      </c>
      <c r="D30" s="1398" t="s">
        <v>52</v>
      </c>
      <c r="E30" s="1379" t="s">
        <v>4026</v>
      </c>
      <c r="F30" s="1379" t="s">
        <v>4027</v>
      </c>
      <c r="G30" s="1790">
        <f t="shared" si="0"/>
        <v>0.25393633054384274</v>
      </c>
      <c r="H30" s="1791"/>
      <c r="I30" s="1372">
        <f t="shared" si="41"/>
        <v>29.850746268656714</v>
      </c>
      <c r="J30" s="1399">
        <v>1</v>
      </c>
      <c r="K30" s="1399">
        <v>1</v>
      </c>
      <c r="L30" s="1399">
        <v>1</v>
      </c>
      <c r="M30" s="1378">
        <v>1000</v>
      </c>
      <c r="N30" s="1378">
        <v>1000</v>
      </c>
      <c r="O30" s="1378">
        <v>1000</v>
      </c>
      <c r="P30" s="1399">
        <v>1</v>
      </c>
      <c r="Q30" s="1399">
        <v>1</v>
      </c>
      <c r="R30" s="1399">
        <v>1</v>
      </c>
      <c r="S30" s="1378">
        <v>1000</v>
      </c>
      <c r="T30" s="1378">
        <v>1000</v>
      </c>
      <c r="U30" s="1378">
        <v>1000</v>
      </c>
      <c r="V30" s="1399">
        <v>1</v>
      </c>
      <c r="W30" s="1399">
        <v>1</v>
      </c>
      <c r="X30" s="1399">
        <v>1</v>
      </c>
      <c r="Y30" s="1378">
        <v>1000</v>
      </c>
      <c r="Z30" s="1378">
        <v>1000</v>
      </c>
      <c r="AA30" s="1378">
        <v>1000</v>
      </c>
      <c r="AB30" s="1399">
        <v>1</v>
      </c>
      <c r="AC30" s="1399"/>
      <c r="AD30" s="1399"/>
      <c r="AE30" s="1378">
        <v>1000</v>
      </c>
      <c r="AF30" s="1378"/>
      <c r="AG30" s="1378"/>
      <c r="AH30" s="1378">
        <f>+AG30+AF30+AE30+AA30+Z30+Y30+U30+T30+S30+O30+N30+M30</f>
        <v>10000</v>
      </c>
      <c r="AI30" s="1378">
        <v>10000</v>
      </c>
      <c r="AJ30" s="1378"/>
      <c r="AK30" s="1378"/>
      <c r="AL30" s="1378"/>
      <c r="AM30" s="1378"/>
      <c r="AN30" s="1378"/>
      <c r="AO30" s="538" t="s">
        <v>3994</v>
      </c>
      <c r="AP30" s="538" t="s">
        <v>4019</v>
      </c>
      <c r="AQ30" s="547"/>
    </row>
    <row r="31" spans="1:43" ht="90">
      <c r="A31" s="537" t="s">
        <v>4028</v>
      </c>
      <c r="B31" s="1379" t="s">
        <v>4029</v>
      </c>
      <c r="C31" s="539">
        <f t="shared" ref="C31:C32" si="42">SUM(J31+K31+L31+P31+Q31+R31+V31+W31+X31+AB31+AC31+AD31)</f>
        <v>1</v>
      </c>
      <c r="D31" s="1398" t="s">
        <v>52</v>
      </c>
      <c r="E31" s="1379" t="s">
        <v>4030</v>
      </c>
      <c r="F31" s="1379" t="s">
        <v>4031</v>
      </c>
      <c r="G31" s="1790">
        <f t="shared" si="0"/>
        <v>7.6180899163152821E-2</v>
      </c>
      <c r="H31" s="1791"/>
      <c r="I31" s="1372">
        <f t="shared" si="41"/>
        <v>8.9552238805970141</v>
      </c>
      <c r="J31" s="1399"/>
      <c r="K31" s="1399"/>
      <c r="L31" s="1399"/>
      <c r="M31" s="1378"/>
      <c r="N31" s="1378"/>
      <c r="O31" s="1378"/>
      <c r="P31" s="1399"/>
      <c r="Q31" s="1399"/>
      <c r="R31" s="1399"/>
      <c r="S31" s="1378"/>
      <c r="T31" s="1378"/>
      <c r="U31" s="1378"/>
      <c r="V31" s="1399"/>
      <c r="W31" s="1399">
        <v>1</v>
      </c>
      <c r="X31" s="1399"/>
      <c r="Y31" s="1378"/>
      <c r="Z31" s="1378">
        <v>3000</v>
      </c>
      <c r="AA31" s="1378"/>
      <c r="AB31" s="1399"/>
      <c r="AC31" s="1399"/>
      <c r="AD31" s="1399"/>
      <c r="AE31" s="1378"/>
      <c r="AF31" s="1378"/>
      <c r="AG31" s="1378"/>
      <c r="AH31" s="1378">
        <f>+AG31+AF31+AE31+AA31+Z31+Y31+U31+T31+S31+O31+N31+M31</f>
        <v>3000</v>
      </c>
      <c r="AI31" s="1378">
        <v>3000</v>
      </c>
      <c r="AJ31" s="1378"/>
      <c r="AK31" s="1378"/>
      <c r="AL31" s="1378"/>
      <c r="AM31" s="1378"/>
      <c r="AN31" s="1378"/>
      <c r="AO31" s="538" t="s">
        <v>3994</v>
      </c>
      <c r="AP31" s="538" t="s">
        <v>4019</v>
      </c>
      <c r="AQ31" s="547"/>
    </row>
    <row r="32" spans="1:43" ht="45">
      <c r="A32" s="537" t="s">
        <v>4032</v>
      </c>
      <c r="B32" s="1379" t="s">
        <v>4033</v>
      </c>
      <c r="C32" s="539">
        <f t="shared" si="42"/>
        <v>1</v>
      </c>
      <c r="D32" s="1398" t="s">
        <v>2908</v>
      </c>
      <c r="E32" s="1379" t="s">
        <v>4034</v>
      </c>
      <c r="F32" s="1379" t="s">
        <v>4035</v>
      </c>
      <c r="G32" s="1790">
        <f t="shared" si="0"/>
        <v>7.6180899163152821E-2</v>
      </c>
      <c r="H32" s="1791"/>
      <c r="I32" s="1372">
        <f t="shared" si="41"/>
        <v>8.9552238805970141</v>
      </c>
      <c r="J32" s="1399"/>
      <c r="K32" s="1399"/>
      <c r="L32" s="1399"/>
      <c r="M32" s="1378"/>
      <c r="N32" s="1378"/>
      <c r="O32" s="1378"/>
      <c r="P32" s="1399"/>
      <c r="Q32" s="1399"/>
      <c r="R32" s="1399"/>
      <c r="S32" s="1378"/>
      <c r="T32" s="1378"/>
      <c r="U32" s="1378"/>
      <c r="V32" s="1399"/>
      <c r="W32" s="1399"/>
      <c r="X32" s="1399"/>
      <c r="Y32" s="1378"/>
      <c r="Z32" s="1378"/>
      <c r="AA32" s="1378"/>
      <c r="AB32" s="1399">
        <v>1</v>
      </c>
      <c r="AC32" s="1399"/>
      <c r="AD32" s="1399"/>
      <c r="AE32" s="1378">
        <v>3000</v>
      </c>
      <c r="AF32" s="1378"/>
      <c r="AG32" s="1378"/>
      <c r="AH32" s="1378">
        <f>+AG32+AF32+AE32+AA32+Z32+Y32+U32+T32+S32+O32+N32+M32</f>
        <v>3000</v>
      </c>
      <c r="AI32" s="1378">
        <v>3000</v>
      </c>
      <c r="AJ32" s="1378"/>
      <c r="AK32" s="1378"/>
      <c r="AL32" s="1378"/>
      <c r="AM32" s="1378"/>
      <c r="AN32" s="1378"/>
      <c r="AO32" s="538" t="s">
        <v>3994</v>
      </c>
      <c r="AP32" s="538" t="s">
        <v>4019</v>
      </c>
      <c r="AQ32" s="547"/>
    </row>
    <row r="33" spans="1:43" ht="45">
      <c r="A33" s="609" t="s">
        <v>4036</v>
      </c>
      <c r="B33" s="535" t="s">
        <v>4037</v>
      </c>
      <c r="C33" s="1380"/>
      <c r="D33" s="1363"/>
      <c r="E33" s="1362"/>
      <c r="F33" s="1362"/>
      <c r="G33" s="529">
        <f t="shared" si="0"/>
        <v>1.2950752857735981</v>
      </c>
      <c r="H33" s="530"/>
      <c r="I33" s="529"/>
      <c r="J33" s="1382"/>
      <c r="K33" s="1382"/>
      <c r="L33" s="1382"/>
      <c r="M33" s="1367">
        <f>SUM(M34:M38)</f>
        <v>3000</v>
      </c>
      <c r="N33" s="1367">
        <f t="shared" ref="N33:O33" si="43">SUM(N34:N38)</f>
        <v>3000</v>
      </c>
      <c r="O33" s="1367">
        <f t="shared" si="43"/>
        <v>3000</v>
      </c>
      <c r="P33" s="1382"/>
      <c r="Q33" s="1382"/>
      <c r="R33" s="1382"/>
      <c r="S33" s="1367">
        <f t="shared" ref="S33:U33" si="44">SUM(S34:S38)</f>
        <v>3000</v>
      </c>
      <c r="T33" s="1367">
        <f t="shared" si="44"/>
        <v>3000</v>
      </c>
      <c r="U33" s="1367">
        <f t="shared" si="44"/>
        <v>3000</v>
      </c>
      <c r="V33" s="1382"/>
      <c r="W33" s="1382"/>
      <c r="X33" s="1382"/>
      <c r="Y33" s="1367">
        <f t="shared" ref="Y33:AA33" si="45">SUM(Y34:Y38)</f>
        <v>3000</v>
      </c>
      <c r="Z33" s="1367">
        <f t="shared" si="45"/>
        <v>10000</v>
      </c>
      <c r="AA33" s="1367">
        <f t="shared" si="45"/>
        <v>10000</v>
      </c>
      <c r="AB33" s="1382"/>
      <c r="AC33" s="1382"/>
      <c r="AD33" s="1382"/>
      <c r="AE33" s="1367">
        <f t="shared" ref="AE33:AI33" si="46">SUM(AE34:AE38)</f>
        <v>10000</v>
      </c>
      <c r="AF33" s="1367">
        <f t="shared" si="46"/>
        <v>0</v>
      </c>
      <c r="AG33" s="1367">
        <f t="shared" si="46"/>
        <v>0</v>
      </c>
      <c r="AH33" s="1367">
        <f>SUM(AH34:AH38)</f>
        <v>51000</v>
      </c>
      <c r="AI33" s="1367">
        <f t="shared" si="46"/>
        <v>51000</v>
      </c>
      <c r="AJ33" s="1367"/>
      <c r="AK33" s="1367"/>
      <c r="AL33" s="1367"/>
      <c r="AM33" s="1367"/>
      <c r="AN33" s="1367"/>
      <c r="AO33" s="997"/>
      <c r="AP33" s="997"/>
      <c r="AQ33" s="1363"/>
    </row>
    <row r="34" spans="1:43" ht="45">
      <c r="A34" s="537" t="s">
        <v>4038</v>
      </c>
      <c r="B34" s="1379" t="s">
        <v>4039</v>
      </c>
      <c r="C34" s="539">
        <f>SUM(J34,K34,L34,P34,Q34,R34,V34,W34,X34,AB34,AC34,AD34)</f>
        <v>12</v>
      </c>
      <c r="D34" s="1398" t="s">
        <v>52</v>
      </c>
      <c r="E34" s="1379" t="s">
        <v>4040</v>
      </c>
      <c r="F34" s="1379" t="s">
        <v>4041</v>
      </c>
      <c r="G34" s="1372">
        <f t="shared" si="0"/>
        <v>0.25393633054384274</v>
      </c>
      <c r="H34" s="1373"/>
      <c r="I34" s="1372">
        <f>AH34/AH$33*100</f>
        <v>19.607843137254903</v>
      </c>
      <c r="J34" s="1399">
        <v>1</v>
      </c>
      <c r="K34" s="1399">
        <v>1</v>
      </c>
      <c r="L34" s="1399">
        <v>1</v>
      </c>
      <c r="M34" s="1378">
        <v>1000</v>
      </c>
      <c r="N34" s="1378">
        <v>1000</v>
      </c>
      <c r="O34" s="1378">
        <v>1000</v>
      </c>
      <c r="P34" s="1399">
        <v>1</v>
      </c>
      <c r="Q34" s="1399">
        <v>1</v>
      </c>
      <c r="R34" s="1399">
        <v>1</v>
      </c>
      <c r="S34" s="1378">
        <v>1000</v>
      </c>
      <c r="T34" s="1378">
        <v>1000</v>
      </c>
      <c r="U34" s="1378">
        <v>1000</v>
      </c>
      <c r="V34" s="1399">
        <v>1</v>
      </c>
      <c r="W34" s="1399">
        <v>1</v>
      </c>
      <c r="X34" s="1399">
        <v>1</v>
      </c>
      <c r="Y34" s="1378">
        <v>1000</v>
      </c>
      <c r="Z34" s="1378">
        <v>1000</v>
      </c>
      <c r="AA34" s="1378">
        <v>1000</v>
      </c>
      <c r="AB34" s="1399">
        <v>1</v>
      </c>
      <c r="AC34" s="1399">
        <v>1</v>
      </c>
      <c r="AD34" s="1399">
        <v>1</v>
      </c>
      <c r="AE34" s="1378">
        <v>1000</v>
      </c>
      <c r="AF34" s="1378"/>
      <c r="AG34" s="1378"/>
      <c r="AH34" s="1378">
        <f>+AG34+AF34+AE34+AA34+Z34+Y34+U34+T34+S34+O34+N34+M34</f>
        <v>10000</v>
      </c>
      <c r="AI34" s="1378">
        <v>10000</v>
      </c>
      <c r="AJ34" s="1378"/>
      <c r="AK34" s="1378"/>
      <c r="AL34" s="1378"/>
      <c r="AM34" s="1378"/>
      <c r="AN34" s="1378"/>
      <c r="AO34" s="538" t="s">
        <v>4042</v>
      </c>
      <c r="AP34" s="538" t="s">
        <v>4019</v>
      </c>
      <c r="AQ34" s="547"/>
    </row>
    <row r="35" spans="1:43" ht="60">
      <c r="A35" s="537" t="s">
        <v>4043</v>
      </c>
      <c r="B35" s="1379" t="s">
        <v>4044</v>
      </c>
      <c r="C35" s="539">
        <f>SUM(J35,K35,L35,P35,Q35,R35,V35,W35,X35,AB35,AC35,AD35)</f>
        <v>12</v>
      </c>
      <c r="D35" s="1398" t="s">
        <v>52</v>
      </c>
      <c r="E35" s="1379" t="s">
        <v>4045</v>
      </c>
      <c r="F35" s="1379" t="s">
        <v>4041</v>
      </c>
      <c r="G35" s="1372">
        <f t="shared" si="0"/>
        <v>0.25393633054384274</v>
      </c>
      <c r="H35" s="1373"/>
      <c r="I35" s="1372">
        <f t="shared" ref="I35:I38" si="47">AH35/AH$33*100</f>
        <v>19.607843137254903</v>
      </c>
      <c r="J35" s="1399">
        <v>1</v>
      </c>
      <c r="K35" s="1399">
        <v>1</v>
      </c>
      <c r="L35" s="1399">
        <v>1</v>
      </c>
      <c r="M35" s="1378">
        <v>1000</v>
      </c>
      <c r="N35" s="1378">
        <v>1000</v>
      </c>
      <c r="O35" s="1378">
        <v>1000</v>
      </c>
      <c r="P35" s="1399">
        <v>1</v>
      </c>
      <c r="Q35" s="1399">
        <v>1</v>
      </c>
      <c r="R35" s="1399">
        <v>1</v>
      </c>
      <c r="S35" s="1378">
        <v>1000</v>
      </c>
      <c r="T35" s="1378">
        <v>1000</v>
      </c>
      <c r="U35" s="1378">
        <v>1000</v>
      </c>
      <c r="V35" s="1399">
        <v>1</v>
      </c>
      <c r="W35" s="1399">
        <v>1</v>
      </c>
      <c r="X35" s="1399">
        <v>1</v>
      </c>
      <c r="Y35" s="1378">
        <v>1000</v>
      </c>
      <c r="Z35" s="1378">
        <v>1000</v>
      </c>
      <c r="AA35" s="1378">
        <v>1000</v>
      </c>
      <c r="AB35" s="1399">
        <v>1</v>
      </c>
      <c r="AC35" s="1399">
        <v>1</v>
      </c>
      <c r="AD35" s="1399">
        <v>1</v>
      </c>
      <c r="AE35" s="1378">
        <v>1000</v>
      </c>
      <c r="AF35" s="1378"/>
      <c r="AG35" s="1378"/>
      <c r="AH35" s="1378">
        <f>+AG35+AF35+AE35+AA35+Z35+Y35+U35+T35+S35+O35+N35+M35</f>
        <v>10000</v>
      </c>
      <c r="AI35" s="1378">
        <v>10000</v>
      </c>
      <c r="AJ35" s="1378"/>
      <c r="AK35" s="1378"/>
      <c r="AL35" s="1378"/>
      <c r="AM35" s="1378"/>
      <c r="AN35" s="1378"/>
      <c r="AO35" s="538" t="s">
        <v>4042</v>
      </c>
      <c r="AP35" s="538" t="s">
        <v>4019</v>
      </c>
      <c r="AQ35" s="547"/>
    </row>
    <row r="36" spans="1:43" ht="45">
      <c r="A36" s="537" t="s">
        <v>4046</v>
      </c>
      <c r="B36" s="1379" t="s">
        <v>4047</v>
      </c>
      <c r="C36" s="539">
        <f>SUM(J36,K36,L36,P36,Q36,R36,V36,W36,X36,AB36,AC36,AD36)</f>
        <v>12</v>
      </c>
      <c r="D36" s="1398" t="s">
        <v>52</v>
      </c>
      <c r="E36" s="1379" t="s">
        <v>4048</v>
      </c>
      <c r="F36" s="1379" t="s">
        <v>4041</v>
      </c>
      <c r="G36" s="1372">
        <f t="shared" si="0"/>
        <v>0.25393633054384274</v>
      </c>
      <c r="H36" s="1373"/>
      <c r="I36" s="1372">
        <f t="shared" si="47"/>
        <v>19.607843137254903</v>
      </c>
      <c r="J36" s="1399">
        <v>1</v>
      </c>
      <c r="K36" s="1399">
        <v>1</v>
      </c>
      <c r="L36" s="1399">
        <v>1</v>
      </c>
      <c r="M36" s="1378">
        <v>1000</v>
      </c>
      <c r="N36" s="1378">
        <v>1000</v>
      </c>
      <c r="O36" s="1378">
        <v>1000</v>
      </c>
      <c r="P36" s="1399">
        <v>1</v>
      </c>
      <c r="Q36" s="1399">
        <v>1</v>
      </c>
      <c r="R36" s="1399">
        <v>1</v>
      </c>
      <c r="S36" s="1378">
        <v>1000</v>
      </c>
      <c r="T36" s="1378">
        <v>1000</v>
      </c>
      <c r="U36" s="1378">
        <v>1000</v>
      </c>
      <c r="V36" s="1399">
        <v>1</v>
      </c>
      <c r="W36" s="1399">
        <v>1</v>
      </c>
      <c r="X36" s="1399">
        <v>1</v>
      </c>
      <c r="Y36" s="1378">
        <v>1000</v>
      </c>
      <c r="Z36" s="1378">
        <v>1000</v>
      </c>
      <c r="AA36" s="1378">
        <v>1000</v>
      </c>
      <c r="AB36" s="1399">
        <v>1</v>
      </c>
      <c r="AC36" s="1399">
        <v>1</v>
      </c>
      <c r="AD36" s="1399">
        <v>1</v>
      </c>
      <c r="AE36" s="1378">
        <v>1000</v>
      </c>
      <c r="AF36" s="1378"/>
      <c r="AG36" s="1378"/>
      <c r="AH36" s="1378">
        <f>+AG36+AF36+AE36+AA36+Z36+Y36+U36+T36+S36+O36+N36+M36</f>
        <v>10000</v>
      </c>
      <c r="AI36" s="1378">
        <f>+AH36</f>
        <v>10000</v>
      </c>
      <c r="AJ36" s="1378"/>
      <c r="AK36" s="1378"/>
      <c r="AL36" s="1378"/>
      <c r="AM36" s="1378"/>
      <c r="AN36" s="1378"/>
      <c r="AO36" s="538" t="s">
        <v>4042</v>
      </c>
      <c r="AP36" s="538" t="s">
        <v>4019</v>
      </c>
      <c r="AQ36" s="547"/>
    </row>
    <row r="37" spans="1:43" ht="45">
      <c r="A37" s="537" t="s">
        <v>4049</v>
      </c>
      <c r="B37" s="1379" t="s">
        <v>4050</v>
      </c>
      <c r="C37" s="539">
        <f>SUM(J37,K37,L37,P37,Q37,R37,V37,W37,X37,AB37,AC37,AD37)</f>
        <v>4</v>
      </c>
      <c r="D37" s="1398" t="s">
        <v>944</v>
      </c>
      <c r="E37" s="1379" t="s">
        <v>4051</v>
      </c>
      <c r="F37" s="1379" t="s">
        <v>4052</v>
      </c>
      <c r="G37" s="1372">
        <f t="shared" si="0"/>
        <v>0.26663314707103486</v>
      </c>
      <c r="H37" s="1373"/>
      <c r="I37" s="1372">
        <f t="shared" si="47"/>
        <v>20.588235294117645</v>
      </c>
      <c r="J37" s="1399"/>
      <c r="K37" s="1399"/>
      <c r="L37" s="1399"/>
      <c r="M37" s="1378"/>
      <c r="N37" s="1378"/>
      <c r="O37" s="1378"/>
      <c r="P37" s="1399"/>
      <c r="Q37" s="1399"/>
      <c r="R37" s="1399"/>
      <c r="S37" s="1378"/>
      <c r="T37" s="1378"/>
      <c r="U37" s="1378"/>
      <c r="V37" s="1399"/>
      <c r="W37" s="1399">
        <v>1</v>
      </c>
      <c r="X37" s="1399">
        <v>1</v>
      </c>
      <c r="Y37" s="1378"/>
      <c r="Z37" s="1378">
        <v>3500</v>
      </c>
      <c r="AA37" s="1378">
        <v>3500</v>
      </c>
      <c r="AB37" s="1399">
        <v>1</v>
      </c>
      <c r="AC37" s="1399">
        <v>1</v>
      </c>
      <c r="AD37" s="1399"/>
      <c r="AE37" s="1378">
        <v>3500</v>
      </c>
      <c r="AF37" s="1378"/>
      <c r="AG37" s="1378"/>
      <c r="AH37" s="1378">
        <f>+AG37+AF37+AE37+AA37+Z37+Y37+U37+T37+S37+O37+N37+M37</f>
        <v>10500</v>
      </c>
      <c r="AI37" s="1378">
        <v>10500</v>
      </c>
      <c r="AJ37" s="1378"/>
      <c r="AK37" s="1378"/>
      <c r="AL37" s="1378"/>
      <c r="AM37" s="1378"/>
      <c r="AN37" s="1378"/>
      <c r="AO37" s="538" t="s">
        <v>4042</v>
      </c>
      <c r="AP37" s="538" t="s">
        <v>4019</v>
      </c>
      <c r="AQ37" s="547"/>
    </row>
    <row r="38" spans="1:43" ht="45">
      <c r="A38" s="537" t="s">
        <v>4053</v>
      </c>
      <c r="B38" s="1379" t="s">
        <v>4054</v>
      </c>
      <c r="C38" s="539">
        <f>SUM(J38,K38,L38,P38,Q38,R38,V38,W38,X38,AB38,AC38,AD38)</f>
        <v>4</v>
      </c>
      <c r="D38" s="1398" t="s">
        <v>944</v>
      </c>
      <c r="E38" s="1379" t="s">
        <v>4051</v>
      </c>
      <c r="F38" s="1379" t="s">
        <v>4052</v>
      </c>
      <c r="G38" s="1372">
        <f t="shared" si="0"/>
        <v>0.26663314707103486</v>
      </c>
      <c r="H38" s="1373"/>
      <c r="I38" s="1372">
        <f t="shared" si="47"/>
        <v>20.588235294117645</v>
      </c>
      <c r="J38" s="1399"/>
      <c r="K38" s="1399"/>
      <c r="L38" s="1399"/>
      <c r="M38" s="1378"/>
      <c r="N38" s="1378"/>
      <c r="O38" s="1378"/>
      <c r="P38" s="1399"/>
      <c r="Q38" s="1399"/>
      <c r="R38" s="1399"/>
      <c r="S38" s="1378"/>
      <c r="T38" s="1378"/>
      <c r="U38" s="1378"/>
      <c r="V38" s="1399"/>
      <c r="W38" s="1399">
        <v>1</v>
      </c>
      <c r="X38" s="1399">
        <v>1</v>
      </c>
      <c r="Y38" s="1378"/>
      <c r="Z38" s="1378">
        <v>3500</v>
      </c>
      <c r="AA38" s="1378">
        <v>3500</v>
      </c>
      <c r="AB38" s="1399">
        <v>1</v>
      </c>
      <c r="AC38" s="1399">
        <v>1</v>
      </c>
      <c r="AD38" s="1399"/>
      <c r="AE38" s="1378">
        <v>3500</v>
      </c>
      <c r="AF38" s="1378"/>
      <c r="AG38" s="1378"/>
      <c r="AH38" s="1378">
        <f>+AG38+AF38+AE38+AA38+Z38+Y38+U38+T38+S38+O38+N38+M38</f>
        <v>10500</v>
      </c>
      <c r="AI38" s="1378">
        <v>10500</v>
      </c>
      <c r="AJ38" s="1378"/>
      <c r="AK38" s="1378"/>
      <c r="AL38" s="1378"/>
      <c r="AM38" s="1378"/>
      <c r="AN38" s="1378"/>
      <c r="AO38" s="538" t="s">
        <v>4042</v>
      </c>
      <c r="AP38" s="538" t="s">
        <v>4019</v>
      </c>
      <c r="AQ38" s="547"/>
    </row>
    <row r="39" spans="1:43" ht="15">
      <c r="A39" s="1787" t="s">
        <v>4055</v>
      </c>
      <c r="B39" s="1788" t="s">
        <v>4056</v>
      </c>
      <c r="C39" s="1356"/>
      <c r="D39" s="1789"/>
      <c r="E39" s="1788"/>
      <c r="F39" s="1788"/>
      <c r="G39" s="1356">
        <f t="shared" si="0"/>
        <v>3.7582576920488728</v>
      </c>
      <c r="H39" s="1356"/>
      <c r="I39" s="1356"/>
      <c r="J39" s="1405"/>
      <c r="K39" s="1405"/>
      <c r="L39" s="1405"/>
      <c r="M39" s="1405"/>
      <c r="N39" s="1405">
        <f>SUM(N40)</f>
        <v>17000</v>
      </c>
      <c r="O39" s="1405">
        <f>SUM(O40)</f>
        <v>17000</v>
      </c>
      <c r="P39" s="1405"/>
      <c r="Q39" s="1405"/>
      <c r="R39" s="1405"/>
      <c r="S39" s="1405">
        <f t="shared" ref="S39:U39" si="48">SUM(S40)</f>
        <v>17000</v>
      </c>
      <c r="T39" s="1405">
        <f t="shared" si="48"/>
        <v>17000</v>
      </c>
      <c r="U39" s="1405">
        <f t="shared" si="48"/>
        <v>6000</v>
      </c>
      <c r="V39" s="1405"/>
      <c r="W39" s="1405"/>
      <c r="X39" s="1405"/>
      <c r="Y39" s="1405">
        <f t="shared" ref="Y39:AA39" si="49">SUM(Y40)</f>
        <v>17000</v>
      </c>
      <c r="Z39" s="1405">
        <f t="shared" si="49"/>
        <v>17000</v>
      </c>
      <c r="AA39" s="1405">
        <f t="shared" si="49"/>
        <v>6000</v>
      </c>
      <c r="AB39" s="1405"/>
      <c r="AC39" s="1405"/>
      <c r="AD39" s="1405"/>
      <c r="AE39" s="1405">
        <f t="shared" ref="AE39:AF39" si="50">SUM(AE40)</f>
        <v>17000</v>
      </c>
      <c r="AF39" s="1405">
        <f t="shared" si="50"/>
        <v>17000</v>
      </c>
      <c r="AG39" s="1405"/>
      <c r="AH39" s="1405">
        <f>SUM(AH40)</f>
        <v>148000</v>
      </c>
      <c r="AI39" s="1405">
        <f>SUM(AI40)</f>
        <v>148000</v>
      </c>
      <c r="AJ39" s="1405"/>
      <c r="AK39" s="1405"/>
      <c r="AL39" s="1405"/>
      <c r="AM39" s="1405"/>
      <c r="AN39" s="1405"/>
      <c r="AO39" s="1788"/>
      <c r="AP39" s="1788"/>
      <c r="AQ39" s="1356"/>
    </row>
    <row r="40" spans="1:43" ht="45">
      <c r="A40" s="609" t="s">
        <v>4057</v>
      </c>
      <c r="B40" s="1362" t="s">
        <v>4058</v>
      </c>
      <c r="C40" s="528"/>
      <c r="D40" s="1406"/>
      <c r="E40" s="1406"/>
      <c r="F40" s="1406"/>
      <c r="G40" s="529">
        <f t="shared" si="0"/>
        <v>3.7582576920488728</v>
      </c>
      <c r="H40" s="530"/>
      <c r="I40" s="529"/>
      <c r="J40" s="1382"/>
      <c r="K40" s="1382"/>
      <c r="L40" s="1382"/>
      <c r="M40" s="1367"/>
      <c r="N40" s="1367">
        <f>SUM(N41:N42)</f>
        <v>17000</v>
      </c>
      <c r="O40" s="1367">
        <f>SUM(O41:O42)</f>
        <v>17000</v>
      </c>
      <c r="P40" s="1382"/>
      <c r="Q40" s="1382"/>
      <c r="R40" s="1382"/>
      <c r="S40" s="1367">
        <f t="shared" ref="S40:U40" si="51">SUM(S41:S42)</f>
        <v>17000</v>
      </c>
      <c r="T40" s="1367">
        <f t="shared" si="51"/>
        <v>17000</v>
      </c>
      <c r="U40" s="1367">
        <f t="shared" si="51"/>
        <v>6000</v>
      </c>
      <c r="V40" s="1382"/>
      <c r="W40" s="1382"/>
      <c r="X40" s="1382"/>
      <c r="Y40" s="1367">
        <f t="shared" ref="Y40:AA40" si="52">SUM(Y41:Y42)</f>
        <v>17000</v>
      </c>
      <c r="Z40" s="1367">
        <f t="shared" si="52"/>
        <v>17000</v>
      </c>
      <c r="AA40" s="1367">
        <f t="shared" si="52"/>
        <v>6000</v>
      </c>
      <c r="AB40" s="1382"/>
      <c r="AC40" s="1382"/>
      <c r="AD40" s="1382"/>
      <c r="AE40" s="1367">
        <f t="shared" ref="AE40:AF40" si="53">SUM(AE41:AE42)</f>
        <v>17000</v>
      </c>
      <c r="AF40" s="1367">
        <f t="shared" si="53"/>
        <v>17000</v>
      </c>
      <c r="AG40" s="1367"/>
      <c r="AH40" s="1367">
        <f t="shared" ref="AH40:AI40" si="54">SUM(AH41:AH42)</f>
        <v>148000</v>
      </c>
      <c r="AI40" s="1367">
        <f t="shared" si="54"/>
        <v>148000</v>
      </c>
      <c r="AJ40" s="1367"/>
      <c r="AK40" s="1367"/>
      <c r="AL40" s="1367"/>
      <c r="AM40" s="1367"/>
      <c r="AN40" s="1367"/>
      <c r="AO40" s="1406"/>
      <c r="AP40" s="1406"/>
      <c r="AQ40" s="1363"/>
    </row>
    <row r="41" spans="1:43" ht="75">
      <c r="A41" s="537" t="s">
        <v>4059</v>
      </c>
      <c r="B41" s="1407" t="s">
        <v>4060</v>
      </c>
      <c r="C41" s="539">
        <f>SUM(J41,K41,L41,P41,Q41,R41,V41,W41,X41,AB41,AC41,AD41)</f>
        <v>8</v>
      </c>
      <c r="D41" s="1398" t="s">
        <v>57</v>
      </c>
      <c r="E41" s="1402" t="s">
        <v>4061</v>
      </c>
      <c r="F41" s="1402" t="s">
        <v>4062</v>
      </c>
      <c r="G41" s="1372">
        <f t="shared" si="0"/>
        <v>2.2346397087858163</v>
      </c>
      <c r="H41" s="1373"/>
      <c r="I41" s="1372">
        <f>AH41/AH40*100</f>
        <v>59.45945945945946</v>
      </c>
      <c r="J41" s="1399"/>
      <c r="K41" s="1399">
        <v>1</v>
      </c>
      <c r="L41" s="1399">
        <v>1</v>
      </c>
      <c r="M41" s="1378"/>
      <c r="N41" s="1378">
        <v>11000</v>
      </c>
      <c r="O41" s="1378">
        <v>11000</v>
      </c>
      <c r="P41" s="1399">
        <v>1</v>
      </c>
      <c r="Q41" s="1399">
        <v>1</v>
      </c>
      <c r="R41" s="1399"/>
      <c r="S41" s="1378">
        <v>11000</v>
      </c>
      <c r="T41" s="1378">
        <v>11000</v>
      </c>
      <c r="U41" s="1378"/>
      <c r="V41" s="1399">
        <v>1</v>
      </c>
      <c r="W41" s="1399">
        <v>1</v>
      </c>
      <c r="X41" s="1399"/>
      <c r="Y41" s="1378">
        <v>11000</v>
      </c>
      <c r="Z41" s="1378">
        <v>11000</v>
      </c>
      <c r="AA41" s="1378"/>
      <c r="AB41" s="1399">
        <v>1</v>
      </c>
      <c r="AC41" s="1399">
        <v>1</v>
      </c>
      <c r="AD41" s="1399"/>
      <c r="AE41" s="1378">
        <v>11000</v>
      </c>
      <c r="AF41" s="1378">
        <v>11000</v>
      </c>
      <c r="AG41" s="1378"/>
      <c r="AH41" s="1378">
        <f>+AG41+AF41+AE41+AA41+Z41+Y41+U41+T41+S41+O41+N41+M41</f>
        <v>88000</v>
      </c>
      <c r="AI41" s="1378">
        <v>88000</v>
      </c>
      <c r="AJ41" s="1378"/>
      <c r="AK41" s="1378"/>
      <c r="AL41" s="1378"/>
      <c r="AM41" s="1378"/>
      <c r="AN41" s="1378"/>
      <c r="AO41" s="1792" t="s">
        <v>2384</v>
      </c>
      <c r="AP41" s="1792" t="s">
        <v>4063</v>
      </c>
      <c r="AQ41" s="547"/>
    </row>
    <row r="42" spans="1:43" ht="90">
      <c r="A42" s="537" t="s">
        <v>4064</v>
      </c>
      <c r="B42" s="1407" t="s">
        <v>4065</v>
      </c>
      <c r="C42" s="539">
        <f>SUM(J42,K42,L42,P42,Q42,R42,V42,W42,X42,AB42,AC42,AD42)</f>
        <v>10</v>
      </c>
      <c r="D42" s="1398" t="s">
        <v>52</v>
      </c>
      <c r="E42" s="1402" t="s">
        <v>4066</v>
      </c>
      <c r="F42" s="1402" t="s">
        <v>4067</v>
      </c>
      <c r="G42" s="1372">
        <f t="shared" si="0"/>
        <v>1.5236179832630565</v>
      </c>
      <c r="H42" s="1373"/>
      <c r="I42" s="1372">
        <f>AH42/AH40*100</f>
        <v>40.54054054054054</v>
      </c>
      <c r="J42" s="1399"/>
      <c r="K42" s="1399">
        <v>1</v>
      </c>
      <c r="L42" s="1399">
        <v>1</v>
      </c>
      <c r="M42" s="1378"/>
      <c r="N42" s="1378">
        <v>6000</v>
      </c>
      <c r="O42" s="1378">
        <v>6000</v>
      </c>
      <c r="P42" s="1399">
        <v>1</v>
      </c>
      <c r="Q42" s="1399">
        <v>1</v>
      </c>
      <c r="R42" s="1399">
        <v>1</v>
      </c>
      <c r="S42" s="1378">
        <v>6000</v>
      </c>
      <c r="T42" s="1378">
        <v>6000</v>
      </c>
      <c r="U42" s="1378">
        <v>6000</v>
      </c>
      <c r="V42" s="1399">
        <v>1</v>
      </c>
      <c r="W42" s="1399">
        <v>1</v>
      </c>
      <c r="X42" s="1399">
        <v>1</v>
      </c>
      <c r="Y42" s="1378">
        <v>6000</v>
      </c>
      <c r="Z42" s="1378">
        <v>6000</v>
      </c>
      <c r="AA42" s="1378">
        <v>6000</v>
      </c>
      <c r="AB42" s="1399">
        <v>1</v>
      </c>
      <c r="AC42" s="1399">
        <v>1</v>
      </c>
      <c r="AD42" s="1399"/>
      <c r="AE42" s="1378">
        <v>6000</v>
      </c>
      <c r="AF42" s="1378">
        <v>6000</v>
      </c>
      <c r="AG42" s="1378"/>
      <c r="AH42" s="1378">
        <f>+AG42+AF42+AE42+AA42+Z42+Y42+U42+T42+S42+O42+N42+M42</f>
        <v>60000</v>
      </c>
      <c r="AI42" s="1378">
        <v>60000</v>
      </c>
      <c r="AJ42" s="1378"/>
      <c r="AK42" s="1378"/>
      <c r="AL42" s="1378"/>
      <c r="AM42" s="1378"/>
      <c r="AN42" s="1378"/>
      <c r="AO42" s="1792" t="s">
        <v>2384</v>
      </c>
      <c r="AP42" s="1792" t="s">
        <v>4063</v>
      </c>
      <c r="AQ42" s="547"/>
    </row>
    <row r="43" spans="1:43" ht="30">
      <c r="A43" s="1400" t="s">
        <v>4068</v>
      </c>
      <c r="B43" s="1354" t="s">
        <v>4069</v>
      </c>
      <c r="C43" s="1360"/>
      <c r="D43" s="1789"/>
      <c r="E43" s="1354"/>
      <c r="F43" s="1354"/>
      <c r="G43" s="1356">
        <f t="shared" si="0"/>
        <v>16.302712420914702</v>
      </c>
      <c r="H43" s="1356"/>
      <c r="I43" s="1360"/>
      <c r="J43" s="1358"/>
      <c r="K43" s="1358"/>
      <c r="L43" s="1358"/>
      <c r="M43" s="1359">
        <f>SUM(M44)</f>
        <v>20500</v>
      </c>
      <c r="N43" s="1359">
        <f t="shared" ref="N43:O43" si="55">SUM(N44)</f>
        <v>22500</v>
      </c>
      <c r="O43" s="1359">
        <f t="shared" si="55"/>
        <v>117500</v>
      </c>
      <c r="P43" s="1358"/>
      <c r="Q43" s="1358"/>
      <c r="R43" s="1358"/>
      <c r="S43" s="1359">
        <f t="shared" ref="S43:U43" si="56">SUM(S44)</f>
        <v>18500</v>
      </c>
      <c r="T43" s="1359">
        <f t="shared" si="56"/>
        <v>22500</v>
      </c>
      <c r="U43" s="1359">
        <f t="shared" si="56"/>
        <v>117500</v>
      </c>
      <c r="V43" s="1358"/>
      <c r="W43" s="1358"/>
      <c r="X43" s="1358"/>
      <c r="Y43" s="1359">
        <f t="shared" ref="Y43:AA43" si="57">SUM(Y44)</f>
        <v>20500</v>
      </c>
      <c r="Z43" s="1359">
        <f t="shared" si="57"/>
        <v>20500</v>
      </c>
      <c r="AA43" s="1359">
        <f t="shared" si="57"/>
        <v>117500</v>
      </c>
      <c r="AB43" s="1358"/>
      <c r="AC43" s="1358"/>
      <c r="AD43" s="1358"/>
      <c r="AE43" s="1359">
        <f t="shared" ref="AE43:AI43" si="58">SUM(AE44)</f>
        <v>20500</v>
      </c>
      <c r="AF43" s="1359">
        <f t="shared" si="58"/>
        <v>22500</v>
      </c>
      <c r="AG43" s="1359">
        <f t="shared" si="58"/>
        <v>121500</v>
      </c>
      <c r="AH43" s="1359">
        <f t="shared" si="58"/>
        <v>642000</v>
      </c>
      <c r="AI43" s="1359">
        <f t="shared" si="58"/>
        <v>642000</v>
      </c>
      <c r="AJ43" s="1358"/>
      <c r="AK43" s="1358"/>
      <c r="AL43" s="1358"/>
      <c r="AM43" s="1358"/>
      <c r="AN43" s="1358"/>
      <c r="AO43" s="1354"/>
      <c r="AP43" s="1354"/>
      <c r="AQ43" s="1360"/>
    </row>
    <row r="44" spans="1:43" ht="75">
      <c r="A44" s="609" t="s">
        <v>4070</v>
      </c>
      <c r="B44" s="997" t="s">
        <v>4071</v>
      </c>
      <c r="C44" s="528"/>
      <c r="D44" s="997"/>
      <c r="E44" s="997"/>
      <c r="F44" s="997"/>
      <c r="G44" s="529">
        <f t="shared" si="0"/>
        <v>16.302712420914702</v>
      </c>
      <c r="H44" s="1793"/>
      <c r="I44" s="1794"/>
      <c r="J44" s="1795"/>
      <c r="K44" s="1795"/>
      <c r="L44" s="1795"/>
      <c r="M44" s="1796">
        <f>SUM(M45:M50)</f>
        <v>20500</v>
      </c>
      <c r="N44" s="1796">
        <f t="shared" ref="N44:O44" si="59">SUM(N45:N50)</f>
        <v>22500</v>
      </c>
      <c r="O44" s="1796">
        <f t="shared" si="59"/>
        <v>117500</v>
      </c>
      <c r="P44" s="1795"/>
      <c r="Q44" s="1795"/>
      <c r="R44" s="1795"/>
      <c r="S44" s="1796">
        <f t="shared" ref="S44:U44" si="60">SUM(S45:S50)</f>
        <v>18500</v>
      </c>
      <c r="T44" s="1796">
        <f t="shared" si="60"/>
        <v>22500</v>
      </c>
      <c r="U44" s="1796">
        <f t="shared" si="60"/>
        <v>117500</v>
      </c>
      <c r="V44" s="1795"/>
      <c r="W44" s="1795"/>
      <c r="X44" s="1795"/>
      <c r="Y44" s="1796">
        <f t="shared" ref="Y44:AA44" si="61">SUM(Y45:Y50)</f>
        <v>20500</v>
      </c>
      <c r="Z44" s="1796">
        <f t="shared" si="61"/>
        <v>20500</v>
      </c>
      <c r="AA44" s="1796">
        <f t="shared" si="61"/>
        <v>117500</v>
      </c>
      <c r="AB44" s="1795"/>
      <c r="AC44" s="1795"/>
      <c r="AD44" s="1795"/>
      <c r="AE44" s="1796">
        <f t="shared" ref="AE44:AI44" si="62">SUM(AE45:AE50)</f>
        <v>20500</v>
      </c>
      <c r="AF44" s="1796">
        <f t="shared" si="62"/>
        <v>22500</v>
      </c>
      <c r="AG44" s="1796">
        <f t="shared" si="62"/>
        <v>121500</v>
      </c>
      <c r="AH44" s="1796">
        <f t="shared" si="62"/>
        <v>642000</v>
      </c>
      <c r="AI44" s="1796">
        <f t="shared" si="62"/>
        <v>642000</v>
      </c>
      <c r="AJ44" s="1796"/>
      <c r="AK44" s="1796"/>
      <c r="AL44" s="1796"/>
      <c r="AM44" s="1796"/>
      <c r="AN44" s="1796"/>
      <c r="AO44" s="997"/>
      <c r="AP44" s="997"/>
      <c r="AQ44" s="1363"/>
    </row>
    <row r="45" spans="1:43" ht="225">
      <c r="A45" s="537" t="s">
        <v>4072</v>
      </c>
      <c r="B45" s="1402" t="s">
        <v>4073</v>
      </c>
      <c r="C45" s="539">
        <f>SUM(J45+K45+L45+P45+Q45+R45+V45+W45+X45+AB45+AC45+AD45)</f>
        <v>4</v>
      </c>
      <c r="D45" s="1398" t="s">
        <v>52</v>
      </c>
      <c r="E45" s="1379" t="s">
        <v>4074</v>
      </c>
      <c r="F45" s="1379" t="s">
        <v>4075</v>
      </c>
      <c r="G45" s="1372">
        <f t="shared" si="0"/>
        <v>4.5708539497891696</v>
      </c>
      <c r="H45" s="1373"/>
      <c r="I45" s="1372">
        <f>AH45/AH$44*100</f>
        <v>28.037383177570092</v>
      </c>
      <c r="J45" s="1399"/>
      <c r="K45" s="1399"/>
      <c r="L45" s="1399">
        <v>1</v>
      </c>
      <c r="M45" s="1378"/>
      <c r="N45" s="1378"/>
      <c r="O45" s="1378">
        <v>45000</v>
      </c>
      <c r="P45" s="1399"/>
      <c r="Q45" s="1399"/>
      <c r="R45" s="1399">
        <v>1</v>
      </c>
      <c r="S45" s="1378"/>
      <c r="T45" s="1378"/>
      <c r="U45" s="1378">
        <v>45000</v>
      </c>
      <c r="V45" s="1399"/>
      <c r="W45" s="1399"/>
      <c r="X45" s="1399">
        <v>1</v>
      </c>
      <c r="Y45" s="1378"/>
      <c r="Z45" s="1378"/>
      <c r="AA45" s="1378">
        <v>45000</v>
      </c>
      <c r="AB45" s="1399"/>
      <c r="AC45" s="1399"/>
      <c r="AD45" s="1399">
        <v>1</v>
      </c>
      <c r="AE45" s="1378"/>
      <c r="AF45" s="1378"/>
      <c r="AG45" s="1378">
        <v>45000</v>
      </c>
      <c r="AH45" s="1378">
        <f t="shared" ref="AH45:AH50" si="63">SUM(M45,N45,O45,S45,T45,U45,Y45,Z45,AA45,AE45,AF45,AG45)</f>
        <v>180000</v>
      </c>
      <c r="AI45" s="1378">
        <v>180000</v>
      </c>
      <c r="AJ45" s="1378"/>
      <c r="AK45" s="1378"/>
      <c r="AL45" s="1378"/>
      <c r="AM45" s="1378"/>
      <c r="AN45" s="1378"/>
      <c r="AO45" s="1379" t="s">
        <v>4076</v>
      </c>
      <c r="AP45" s="1379" t="s">
        <v>4077</v>
      </c>
      <c r="AQ45" s="1398"/>
    </row>
    <row r="46" spans="1:43" ht="150">
      <c r="A46" s="537" t="s">
        <v>4078</v>
      </c>
      <c r="B46" s="1402" t="s">
        <v>4079</v>
      </c>
      <c r="C46" s="539">
        <f>SUM(J46+K46+L46+P46+Q46+R46+V46+W46+X46+AB46+AC46+AD46)</f>
        <v>4</v>
      </c>
      <c r="D46" s="1398" t="s">
        <v>52</v>
      </c>
      <c r="E46" s="1402" t="s">
        <v>4080</v>
      </c>
      <c r="F46" s="1379" t="s">
        <v>4081</v>
      </c>
      <c r="G46" s="1372">
        <f t="shared" si="0"/>
        <v>5.0787266108768545</v>
      </c>
      <c r="H46" s="1373"/>
      <c r="I46" s="1372">
        <f>AH46/AH$44*100</f>
        <v>31.15264797507788</v>
      </c>
      <c r="J46" s="1399"/>
      <c r="K46" s="1399"/>
      <c r="L46" s="1399">
        <v>1</v>
      </c>
      <c r="M46" s="1378"/>
      <c r="N46" s="1378"/>
      <c r="O46" s="1378">
        <v>50000</v>
      </c>
      <c r="P46" s="1399"/>
      <c r="Q46" s="1399"/>
      <c r="R46" s="1399">
        <v>1</v>
      </c>
      <c r="S46" s="1378"/>
      <c r="T46" s="1378"/>
      <c r="U46" s="1378">
        <v>50000</v>
      </c>
      <c r="V46" s="1399"/>
      <c r="W46" s="1399"/>
      <c r="X46" s="1399">
        <v>1</v>
      </c>
      <c r="Y46" s="1378"/>
      <c r="Z46" s="1378"/>
      <c r="AA46" s="1378">
        <v>50000</v>
      </c>
      <c r="AB46" s="1399"/>
      <c r="AC46" s="1399"/>
      <c r="AD46" s="1399">
        <v>1</v>
      </c>
      <c r="AE46" s="1378"/>
      <c r="AF46" s="1378"/>
      <c r="AG46" s="1378">
        <v>50000</v>
      </c>
      <c r="AH46" s="1378">
        <f t="shared" si="63"/>
        <v>200000</v>
      </c>
      <c r="AI46" s="1378">
        <v>200000</v>
      </c>
      <c r="AJ46" s="1378"/>
      <c r="AK46" s="1378"/>
      <c r="AL46" s="1378"/>
      <c r="AM46" s="1378"/>
      <c r="AN46" s="1378"/>
      <c r="AO46" s="1379" t="s">
        <v>4076</v>
      </c>
      <c r="AP46" s="1379" t="s">
        <v>4082</v>
      </c>
      <c r="AQ46" s="1398"/>
    </row>
    <row r="47" spans="1:43" ht="75">
      <c r="A47" s="2215" t="s">
        <v>4083</v>
      </c>
      <c r="B47" s="2216" t="s">
        <v>4084</v>
      </c>
      <c r="C47" s="539">
        <f t="shared" ref="C47:C50" si="64">SUM(J47+K47+L47+P47+Q47+R47+V47+W47+X47+AB47+AC47+AD47)</f>
        <v>515</v>
      </c>
      <c r="D47" s="1398" t="s">
        <v>419</v>
      </c>
      <c r="E47" s="2216" t="s">
        <v>4085</v>
      </c>
      <c r="F47" s="2216" t="s">
        <v>4086</v>
      </c>
      <c r="G47" s="1372">
        <f t="shared" si="0"/>
        <v>2.3870015071121218</v>
      </c>
      <c r="H47" s="1373"/>
      <c r="I47" s="1372">
        <f t="shared" ref="I47:I50" si="65">AH47/AH$44*100</f>
        <v>14.641744548286603</v>
      </c>
      <c r="J47" s="1399">
        <v>18</v>
      </c>
      <c r="K47" s="1399">
        <v>46</v>
      </c>
      <c r="L47" s="1399">
        <v>46</v>
      </c>
      <c r="M47" s="1378">
        <v>6500</v>
      </c>
      <c r="N47" s="1378">
        <v>8500</v>
      </c>
      <c r="O47" s="1378">
        <v>8500</v>
      </c>
      <c r="P47" s="1399">
        <v>43</v>
      </c>
      <c r="Q47" s="1399">
        <v>46</v>
      </c>
      <c r="R47" s="1399">
        <v>64</v>
      </c>
      <c r="S47" s="1378">
        <v>6500</v>
      </c>
      <c r="T47" s="1378">
        <v>8500</v>
      </c>
      <c r="U47" s="1378">
        <v>8500</v>
      </c>
      <c r="V47" s="1399">
        <v>43</v>
      </c>
      <c r="W47" s="1399">
        <v>44</v>
      </c>
      <c r="X47" s="1399">
        <v>40</v>
      </c>
      <c r="Y47" s="1378">
        <v>6500</v>
      </c>
      <c r="Z47" s="1378">
        <v>8500</v>
      </c>
      <c r="AA47" s="1378">
        <v>8500</v>
      </c>
      <c r="AB47" s="1399">
        <v>41</v>
      </c>
      <c r="AC47" s="1399">
        <v>42</v>
      </c>
      <c r="AD47" s="1399">
        <v>42</v>
      </c>
      <c r="AE47" s="1378">
        <v>6500</v>
      </c>
      <c r="AF47" s="1378">
        <v>8500</v>
      </c>
      <c r="AG47" s="1378">
        <v>8500</v>
      </c>
      <c r="AH47" s="1378">
        <f t="shared" si="63"/>
        <v>94000</v>
      </c>
      <c r="AI47" s="1378">
        <v>94000</v>
      </c>
      <c r="AJ47" s="1378"/>
      <c r="AK47" s="1378"/>
      <c r="AL47" s="1378"/>
      <c r="AM47" s="1378"/>
      <c r="AN47" s="1378"/>
      <c r="AO47" s="1379" t="s">
        <v>4087</v>
      </c>
      <c r="AP47" s="1379" t="s">
        <v>4077</v>
      </c>
      <c r="AQ47" s="1398"/>
    </row>
    <row r="48" spans="1:43" ht="75">
      <c r="A48" s="2215"/>
      <c r="B48" s="2216"/>
      <c r="C48" s="539">
        <f t="shared" si="64"/>
        <v>285</v>
      </c>
      <c r="D48" s="1398" t="s">
        <v>424</v>
      </c>
      <c r="E48" s="2216"/>
      <c r="F48" s="2216"/>
      <c r="G48" s="1372">
        <f t="shared" si="0"/>
        <v>1.2188943866104451</v>
      </c>
      <c r="H48" s="1373"/>
      <c r="I48" s="1372">
        <f t="shared" si="65"/>
        <v>7.4766355140186906</v>
      </c>
      <c r="J48" s="1399">
        <v>12</v>
      </c>
      <c r="K48" s="1399">
        <v>26</v>
      </c>
      <c r="L48" s="1399">
        <v>26</v>
      </c>
      <c r="M48" s="1378">
        <v>4000</v>
      </c>
      <c r="N48" s="1378">
        <v>4000</v>
      </c>
      <c r="O48" s="1378">
        <v>4000</v>
      </c>
      <c r="P48" s="1399">
        <v>20</v>
      </c>
      <c r="Q48" s="1399">
        <v>28</v>
      </c>
      <c r="R48" s="1399">
        <v>22</v>
      </c>
      <c r="S48" s="1378">
        <v>4000</v>
      </c>
      <c r="T48" s="1378">
        <v>4000</v>
      </c>
      <c r="U48" s="1378">
        <v>4000</v>
      </c>
      <c r="V48" s="1399">
        <v>28</v>
      </c>
      <c r="W48" s="1399">
        <v>17</v>
      </c>
      <c r="X48" s="1399">
        <v>32</v>
      </c>
      <c r="Y48" s="1378">
        <v>4000</v>
      </c>
      <c r="Z48" s="1378">
        <v>4000</v>
      </c>
      <c r="AA48" s="1378">
        <v>4000</v>
      </c>
      <c r="AB48" s="1399">
        <v>44</v>
      </c>
      <c r="AC48" s="1399">
        <v>15</v>
      </c>
      <c r="AD48" s="1399">
        <v>15</v>
      </c>
      <c r="AE48" s="1378">
        <v>4000</v>
      </c>
      <c r="AF48" s="1378">
        <v>4000</v>
      </c>
      <c r="AG48" s="1378">
        <v>4000</v>
      </c>
      <c r="AH48" s="1378">
        <f t="shared" si="63"/>
        <v>48000</v>
      </c>
      <c r="AI48" s="1378">
        <v>48000</v>
      </c>
      <c r="AJ48" s="1378"/>
      <c r="AK48" s="1378"/>
      <c r="AL48" s="1378"/>
      <c r="AM48" s="1378"/>
      <c r="AN48" s="1378"/>
      <c r="AO48" s="1379" t="s">
        <v>4087</v>
      </c>
      <c r="AP48" s="1379" t="s">
        <v>4077</v>
      </c>
      <c r="AQ48" s="1398"/>
    </row>
    <row r="49" spans="1:43" ht="60">
      <c r="A49" s="2215" t="s">
        <v>4088</v>
      </c>
      <c r="B49" s="2217" t="s">
        <v>4089</v>
      </c>
      <c r="C49" s="539">
        <f t="shared" si="64"/>
        <v>5159</v>
      </c>
      <c r="D49" s="1398" t="s">
        <v>419</v>
      </c>
      <c r="E49" s="2217" t="s">
        <v>4090</v>
      </c>
      <c r="F49" s="2217" t="s">
        <v>4091</v>
      </c>
      <c r="G49" s="1372">
        <f t="shared" si="0"/>
        <v>1.5236179832630565</v>
      </c>
      <c r="H49" s="1373"/>
      <c r="I49" s="1372">
        <f t="shared" si="65"/>
        <v>9.3457943925233646</v>
      </c>
      <c r="J49" s="1399">
        <v>434</v>
      </c>
      <c r="K49" s="1399">
        <v>449</v>
      </c>
      <c r="L49" s="1399">
        <v>519</v>
      </c>
      <c r="M49" s="1378">
        <v>5000</v>
      </c>
      <c r="N49" s="1378">
        <v>5000</v>
      </c>
      <c r="O49" s="1378">
        <v>5000</v>
      </c>
      <c r="P49" s="1399">
        <v>422</v>
      </c>
      <c r="Q49" s="1399">
        <v>437</v>
      </c>
      <c r="R49" s="1399">
        <v>480</v>
      </c>
      <c r="S49" s="1378">
        <v>4000</v>
      </c>
      <c r="T49" s="1378">
        <v>5000</v>
      </c>
      <c r="U49" s="1378">
        <v>5000</v>
      </c>
      <c r="V49" s="1399">
        <v>409</v>
      </c>
      <c r="W49" s="1399">
        <v>384</v>
      </c>
      <c r="X49" s="1399">
        <v>462</v>
      </c>
      <c r="Y49" s="1378">
        <v>5000</v>
      </c>
      <c r="Z49" s="1378">
        <v>4000</v>
      </c>
      <c r="AA49" s="1378">
        <v>5000</v>
      </c>
      <c r="AB49" s="1399">
        <v>445</v>
      </c>
      <c r="AC49" s="1399">
        <v>394</v>
      </c>
      <c r="AD49" s="1399">
        <v>324</v>
      </c>
      <c r="AE49" s="1378">
        <v>5000</v>
      </c>
      <c r="AF49" s="1378">
        <v>5000</v>
      </c>
      <c r="AG49" s="1378">
        <v>7000</v>
      </c>
      <c r="AH49" s="1378">
        <f t="shared" si="63"/>
        <v>60000</v>
      </c>
      <c r="AI49" s="1378">
        <v>60000</v>
      </c>
      <c r="AJ49" s="1378"/>
      <c r="AK49" s="1378"/>
      <c r="AL49" s="1378"/>
      <c r="AM49" s="1378"/>
      <c r="AN49" s="1378"/>
      <c r="AO49" s="1379" t="s">
        <v>4092</v>
      </c>
      <c r="AP49" s="1379" t="s">
        <v>4077</v>
      </c>
      <c r="AQ49" s="1398"/>
    </row>
    <row r="50" spans="1:43" ht="60">
      <c r="A50" s="2215"/>
      <c r="B50" s="2217"/>
      <c r="C50" s="539">
        <f t="shared" si="64"/>
        <v>4535</v>
      </c>
      <c r="D50" s="1398" t="s">
        <v>424</v>
      </c>
      <c r="E50" s="2217"/>
      <c r="F50" s="2217" t="s">
        <v>4093</v>
      </c>
      <c r="G50" s="1372">
        <f t="shared" si="0"/>
        <v>1.5236179832630565</v>
      </c>
      <c r="H50" s="1373"/>
      <c r="I50" s="1372">
        <f t="shared" si="65"/>
        <v>9.3457943925233646</v>
      </c>
      <c r="J50" s="1399">
        <v>443</v>
      </c>
      <c r="K50" s="1399">
        <v>494</v>
      </c>
      <c r="L50" s="1399">
        <v>301</v>
      </c>
      <c r="M50" s="1378">
        <v>5000</v>
      </c>
      <c r="N50" s="1378">
        <v>5000</v>
      </c>
      <c r="O50" s="1378">
        <v>5000</v>
      </c>
      <c r="P50" s="1399">
        <v>295</v>
      </c>
      <c r="Q50" s="1399">
        <v>411</v>
      </c>
      <c r="R50" s="1399">
        <v>510</v>
      </c>
      <c r="S50" s="1378">
        <v>4000</v>
      </c>
      <c r="T50" s="1378">
        <v>5000</v>
      </c>
      <c r="U50" s="1378">
        <v>5000</v>
      </c>
      <c r="V50" s="1399">
        <v>302</v>
      </c>
      <c r="W50" s="1399">
        <v>328</v>
      </c>
      <c r="X50" s="1399">
        <v>467</v>
      </c>
      <c r="Y50" s="1378">
        <v>5000</v>
      </c>
      <c r="Z50" s="1378">
        <v>4000</v>
      </c>
      <c r="AA50" s="1378">
        <v>5000</v>
      </c>
      <c r="AB50" s="1399">
        <v>435</v>
      </c>
      <c r="AC50" s="1399">
        <v>312</v>
      </c>
      <c r="AD50" s="1399">
        <v>237</v>
      </c>
      <c r="AE50" s="1378">
        <v>5000</v>
      </c>
      <c r="AF50" s="1378">
        <v>5000</v>
      </c>
      <c r="AG50" s="1378">
        <v>7000</v>
      </c>
      <c r="AH50" s="1378">
        <f t="shared" si="63"/>
        <v>60000</v>
      </c>
      <c r="AI50" s="1378">
        <v>60000</v>
      </c>
      <c r="AJ50" s="1378"/>
      <c r="AK50" s="1378"/>
      <c r="AL50" s="1378"/>
      <c r="AM50" s="1378"/>
      <c r="AN50" s="1378"/>
      <c r="AO50" s="1379" t="s">
        <v>4092</v>
      </c>
      <c r="AP50" s="1379" t="s">
        <v>4077</v>
      </c>
      <c r="AQ50" s="1398"/>
    </row>
    <row r="51" spans="1:43" ht="15">
      <c r="A51" s="1400" t="s">
        <v>4094</v>
      </c>
      <c r="B51" s="1354" t="s">
        <v>4095</v>
      </c>
      <c r="C51" s="1360"/>
      <c r="D51" s="1789"/>
      <c r="E51" s="1354"/>
      <c r="F51" s="1354"/>
      <c r="G51" s="1356">
        <f t="shared" si="0"/>
        <v>56.443316967136823</v>
      </c>
      <c r="H51" s="1356"/>
      <c r="I51" s="1360"/>
      <c r="J51" s="1358"/>
      <c r="K51" s="1358"/>
      <c r="L51" s="1358"/>
      <c r="M51" s="1359">
        <f t="shared" ref="M51:N51" si="66">SUM(M52)</f>
        <v>172000</v>
      </c>
      <c r="N51" s="1359">
        <f t="shared" si="66"/>
        <v>175730</v>
      </c>
      <c r="O51" s="1359">
        <f>SUM(O52)</f>
        <v>310000</v>
      </c>
      <c r="P51" s="1358"/>
      <c r="Q51" s="1358"/>
      <c r="R51" s="1358"/>
      <c r="S51" s="1359">
        <f t="shared" ref="S51:U51" si="67">SUM(S52)</f>
        <v>115000</v>
      </c>
      <c r="T51" s="1359">
        <f t="shared" si="67"/>
        <v>115000</v>
      </c>
      <c r="U51" s="1359">
        <f t="shared" si="67"/>
        <v>282502.5</v>
      </c>
      <c r="V51" s="1358"/>
      <c r="W51" s="1358"/>
      <c r="X51" s="1358"/>
      <c r="Y51" s="1359">
        <f t="shared" ref="Y51:AA51" si="68">SUM(Y52)</f>
        <v>115000</v>
      </c>
      <c r="Z51" s="1359">
        <f t="shared" si="68"/>
        <v>115000</v>
      </c>
      <c r="AA51" s="1359">
        <f t="shared" si="68"/>
        <v>185000</v>
      </c>
      <c r="AB51" s="1358"/>
      <c r="AC51" s="1358"/>
      <c r="AD51" s="1358"/>
      <c r="AE51" s="1359">
        <f t="shared" ref="AE51:AI51" si="69">SUM(AE52)</f>
        <v>115000</v>
      </c>
      <c r="AF51" s="1359">
        <f t="shared" si="69"/>
        <v>115000</v>
      </c>
      <c r="AG51" s="1359">
        <f t="shared" si="69"/>
        <v>407502.5</v>
      </c>
      <c r="AH51" s="1359">
        <f t="shared" si="69"/>
        <v>2222735</v>
      </c>
      <c r="AI51" s="1359">
        <f t="shared" si="69"/>
        <v>2222735</v>
      </c>
      <c r="AJ51" s="1359"/>
      <c r="AK51" s="1359"/>
      <c r="AL51" s="1359">
        <f t="shared" ref="AL51" si="70">SUM(AL52)</f>
        <v>0</v>
      </c>
      <c r="AM51" s="1358"/>
      <c r="AN51" s="1358"/>
      <c r="AO51" s="1354"/>
      <c r="AP51" s="1354"/>
      <c r="AQ51" s="1360"/>
    </row>
    <row r="52" spans="1:43" ht="60">
      <c r="A52" s="609" t="s">
        <v>4096</v>
      </c>
      <c r="B52" s="997" t="s">
        <v>4097</v>
      </c>
      <c r="C52" s="528"/>
      <c r="D52" s="997"/>
      <c r="E52" s="997"/>
      <c r="F52" s="997"/>
      <c r="G52" s="529">
        <f t="shared" si="0"/>
        <v>56.443316967136823</v>
      </c>
      <c r="H52" s="1793"/>
      <c r="I52" s="1794"/>
      <c r="J52" s="1795"/>
      <c r="K52" s="1795"/>
      <c r="L52" s="1795"/>
      <c r="M52" s="1796">
        <f>SUM(M53:M66)</f>
        <v>172000</v>
      </c>
      <c r="N52" s="1796">
        <f t="shared" ref="N52:O52" si="71">SUM(N53:N66)</f>
        <v>175730</v>
      </c>
      <c r="O52" s="1796">
        <f t="shared" si="71"/>
        <v>310000</v>
      </c>
      <c r="P52" s="1795"/>
      <c r="Q52" s="1795"/>
      <c r="R52" s="1795"/>
      <c r="S52" s="1796">
        <f t="shared" ref="S52:U52" si="72">SUM(S53:S66)</f>
        <v>115000</v>
      </c>
      <c r="T52" s="1796">
        <f t="shared" si="72"/>
        <v>115000</v>
      </c>
      <c r="U52" s="1796">
        <f t="shared" si="72"/>
        <v>282502.5</v>
      </c>
      <c r="V52" s="1795"/>
      <c r="W52" s="1795"/>
      <c r="X52" s="1795"/>
      <c r="Y52" s="1796">
        <f t="shared" ref="Y52:AA52" si="73">SUM(Y53:Y66)</f>
        <v>115000</v>
      </c>
      <c r="Z52" s="1796">
        <f t="shared" si="73"/>
        <v>115000</v>
      </c>
      <c r="AA52" s="1796">
        <f t="shared" si="73"/>
        <v>185000</v>
      </c>
      <c r="AB52" s="1795"/>
      <c r="AC52" s="1795"/>
      <c r="AD52" s="1795"/>
      <c r="AE52" s="1796">
        <f t="shared" ref="AE52:AI52" si="74">SUM(AE53:AE66)</f>
        <v>115000</v>
      </c>
      <c r="AF52" s="1796">
        <f t="shared" si="74"/>
        <v>115000</v>
      </c>
      <c r="AG52" s="1796">
        <f t="shared" si="74"/>
        <v>407502.5</v>
      </c>
      <c r="AH52" s="1796">
        <f t="shared" si="74"/>
        <v>2222735</v>
      </c>
      <c r="AI52" s="1796">
        <f t="shared" si="74"/>
        <v>2222735</v>
      </c>
      <c r="AJ52" s="1796"/>
      <c r="AK52" s="1796"/>
      <c r="AL52" s="1796">
        <f t="shared" ref="AL52" si="75">SUM(AL53:AL66)</f>
        <v>0</v>
      </c>
      <c r="AM52" s="1796"/>
      <c r="AN52" s="1796"/>
      <c r="AO52" s="997"/>
      <c r="AP52" s="997"/>
      <c r="AQ52" s="1363"/>
    </row>
    <row r="53" spans="1:43" ht="90">
      <c r="A53" s="537" t="s">
        <v>4098</v>
      </c>
      <c r="B53" s="538" t="s">
        <v>4099</v>
      </c>
      <c r="C53" s="539">
        <f t="shared" ref="C53:C66" si="76">SUM(J53+K53+L53+P53+Q53+R53+V53+W53+X53+AB53+AC53+AD53)</f>
        <v>9</v>
      </c>
      <c r="D53" s="540" t="s">
        <v>4100</v>
      </c>
      <c r="E53" s="538" t="s">
        <v>4101</v>
      </c>
      <c r="F53" s="538" t="s">
        <v>4102</v>
      </c>
      <c r="G53" s="541">
        <f t="shared" si="0"/>
        <v>1.9045224790788204</v>
      </c>
      <c r="H53" s="542"/>
      <c r="I53" s="541">
        <v>3.7789677753107096</v>
      </c>
      <c r="J53" s="1797"/>
      <c r="K53" s="1797"/>
      <c r="L53" s="1797"/>
      <c r="M53" s="1798"/>
      <c r="N53" s="1798"/>
      <c r="O53" s="1798"/>
      <c r="P53" s="1797"/>
      <c r="Q53" s="1797"/>
      <c r="R53" s="1797"/>
      <c r="S53" s="1798"/>
      <c r="T53" s="1798"/>
      <c r="U53" s="1798"/>
      <c r="V53" s="1797"/>
      <c r="W53" s="1797"/>
      <c r="X53" s="1797"/>
      <c r="Y53" s="1798"/>
      <c r="Z53" s="1798"/>
      <c r="AA53" s="1798"/>
      <c r="AB53" s="1797"/>
      <c r="AC53" s="1797"/>
      <c r="AD53" s="1797">
        <v>9</v>
      </c>
      <c r="AE53" s="1798"/>
      <c r="AF53" s="1798"/>
      <c r="AG53" s="1798">
        <f>$AH53/$C53*AD53</f>
        <v>75000</v>
      </c>
      <c r="AH53" s="1798">
        <f>SUM(AI53,AJ53,AK53,AL53,AM53,AN53)</f>
        <v>75000</v>
      </c>
      <c r="AI53" s="1798">
        <v>75000</v>
      </c>
      <c r="AJ53" s="1798"/>
      <c r="AK53" s="1798"/>
      <c r="AL53" s="1799">
        <f>BC$53*I53/100</f>
        <v>0</v>
      </c>
      <c r="AM53" s="1798"/>
      <c r="AN53" s="1798"/>
      <c r="AO53" s="538" t="s">
        <v>4103</v>
      </c>
      <c r="AP53" s="538" t="s">
        <v>4104</v>
      </c>
      <c r="AQ53" s="547"/>
    </row>
    <row r="54" spans="1:43" ht="45">
      <c r="A54" s="537" t="s">
        <v>4105</v>
      </c>
      <c r="B54" s="538" t="s">
        <v>4106</v>
      </c>
      <c r="C54" s="539">
        <f t="shared" si="76"/>
        <v>2</v>
      </c>
      <c r="D54" s="540" t="s">
        <v>52</v>
      </c>
      <c r="E54" s="538" t="s">
        <v>4107</v>
      </c>
      <c r="F54" s="538" t="s">
        <v>4108</v>
      </c>
      <c r="G54" s="541">
        <f t="shared" si="0"/>
        <v>2.5393633054384273</v>
      </c>
      <c r="H54" s="542"/>
      <c r="I54" s="541">
        <v>3.6376022147271163</v>
      </c>
      <c r="J54" s="1797"/>
      <c r="K54" s="1797"/>
      <c r="L54" s="1797">
        <v>1</v>
      </c>
      <c r="M54" s="1798"/>
      <c r="N54" s="1798"/>
      <c r="O54" s="1798">
        <f>$AH54/$C54*L54</f>
        <v>50000</v>
      </c>
      <c r="P54" s="1797"/>
      <c r="Q54" s="1797"/>
      <c r="R54" s="1797"/>
      <c r="S54" s="1798"/>
      <c r="T54" s="1798"/>
      <c r="U54" s="1798"/>
      <c r="V54" s="1797"/>
      <c r="W54" s="1797"/>
      <c r="X54" s="1797"/>
      <c r="Y54" s="1798"/>
      <c r="Z54" s="1798"/>
      <c r="AA54" s="1798"/>
      <c r="AB54" s="1797"/>
      <c r="AC54" s="1797"/>
      <c r="AD54" s="1797">
        <v>1</v>
      </c>
      <c r="AE54" s="1798"/>
      <c r="AF54" s="1798"/>
      <c r="AG54" s="1798">
        <f>$AH54/$C54*AD54</f>
        <v>50000</v>
      </c>
      <c r="AH54" s="1798">
        <f t="shared" ref="AH54:AH66" si="77">SUM(AI54,AJ54,AK54,AL54,AM54,AN54)</f>
        <v>100000</v>
      </c>
      <c r="AI54" s="1798">
        <v>100000</v>
      </c>
      <c r="AJ54" s="1798"/>
      <c r="AK54" s="1798"/>
      <c r="AL54" s="1799">
        <f t="shared" ref="AL54:AL66" si="78">BC$53*I54/100</f>
        <v>0</v>
      </c>
      <c r="AM54" s="1798"/>
      <c r="AN54" s="1798"/>
      <c r="AO54" s="538" t="s">
        <v>4103</v>
      </c>
      <c r="AP54" s="538" t="s">
        <v>4104</v>
      </c>
      <c r="AQ54" s="547"/>
    </row>
    <row r="55" spans="1:43" ht="60">
      <c r="A55" s="537" t="s">
        <v>4109</v>
      </c>
      <c r="B55" s="538" t="s">
        <v>4110</v>
      </c>
      <c r="C55" s="539">
        <f t="shared" si="76"/>
        <v>1</v>
      </c>
      <c r="D55" s="540" t="s">
        <v>55</v>
      </c>
      <c r="E55" s="538" t="s">
        <v>4111</v>
      </c>
      <c r="F55" s="538" t="s">
        <v>4112</v>
      </c>
      <c r="G55" s="541">
        <f t="shared" si="0"/>
        <v>1.5421553353927571</v>
      </c>
      <c r="H55" s="542"/>
      <c r="I55" s="541">
        <v>3.5961144958601912</v>
      </c>
      <c r="J55" s="1797"/>
      <c r="K55" s="1797">
        <v>1</v>
      </c>
      <c r="L55" s="1797"/>
      <c r="M55" s="1798"/>
      <c r="N55" s="1798">
        <f>$AH55/$C55*K55</f>
        <v>60730</v>
      </c>
      <c r="O55" s="1798"/>
      <c r="P55" s="1797"/>
      <c r="Q55" s="1797"/>
      <c r="R55" s="1797"/>
      <c r="S55" s="1798"/>
      <c r="T55" s="1798"/>
      <c r="U55" s="1798"/>
      <c r="V55" s="1797"/>
      <c r="W55" s="1797"/>
      <c r="X55" s="1797"/>
      <c r="Y55" s="1798"/>
      <c r="Z55" s="1798"/>
      <c r="AA55" s="1798"/>
      <c r="AB55" s="1797"/>
      <c r="AC55" s="1797"/>
      <c r="AD55" s="1797"/>
      <c r="AE55" s="1798"/>
      <c r="AF55" s="1798"/>
      <c r="AG55" s="1798"/>
      <c r="AH55" s="1798">
        <f t="shared" si="77"/>
        <v>60730</v>
      </c>
      <c r="AI55" s="1798">
        <v>60730</v>
      </c>
      <c r="AJ55" s="1798"/>
      <c r="AK55" s="1798"/>
      <c r="AL55" s="1799">
        <f t="shared" si="78"/>
        <v>0</v>
      </c>
      <c r="AM55" s="1798"/>
      <c r="AN55" s="1798"/>
      <c r="AO55" s="538" t="s">
        <v>4103</v>
      </c>
      <c r="AP55" s="538" t="s">
        <v>4104</v>
      </c>
      <c r="AQ55" s="547"/>
    </row>
    <row r="56" spans="1:43" ht="105">
      <c r="A56" s="537" t="s">
        <v>4113</v>
      </c>
      <c r="B56" s="538" t="s">
        <v>4114</v>
      </c>
      <c r="C56" s="539">
        <f t="shared" si="76"/>
        <v>12</v>
      </c>
      <c r="D56" s="540" t="s">
        <v>309</v>
      </c>
      <c r="E56" s="538" t="s">
        <v>4115</v>
      </c>
      <c r="F56" s="538" t="s">
        <v>4116</v>
      </c>
      <c r="G56" s="541">
        <f t="shared" si="0"/>
        <v>5.3326629414206979</v>
      </c>
      <c r="H56" s="542"/>
      <c r="I56" s="541">
        <v>6.8902905932999898</v>
      </c>
      <c r="J56" s="1797">
        <v>1</v>
      </c>
      <c r="K56" s="1797">
        <v>1</v>
      </c>
      <c r="L56" s="1797">
        <v>1</v>
      </c>
      <c r="M56" s="1798">
        <f t="shared" ref="M56:O60" si="79">$AH56/$C56*J56</f>
        <v>17500</v>
      </c>
      <c r="N56" s="1798">
        <f t="shared" si="79"/>
        <v>17500</v>
      </c>
      <c r="O56" s="1798">
        <f t="shared" si="79"/>
        <v>17500</v>
      </c>
      <c r="P56" s="1797">
        <v>1</v>
      </c>
      <c r="Q56" s="1797">
        <v>1</v>
      </c>
      <c r="R56" s="1797">
        <v>1</v>
      </c>
      <c r="S56" s="1798">
        <f t="shared" ref="S56:U59" si="80">$AH56/$C56*P56</f>
        <v>17500</v>
      </c>
      <c r="T56" s="1798">
        <f t="shared" si="80"/>
        <v>17500</v>
      </c>
      <c r="U56" s="1798">
        <f t="shared" si="80"/>
        <v>17500</v>
      </c>
      <c r="V56" s="1797">
        <v>1</v>
      </c>
      <c r="W56" s="1797">
        <v>1</v>
      </c>
      <c r="X56" s="1797">
        <v>1</v>
      </c>
      <c r="Y56" s="1798">
        <f t="shared" ref="Y56:AA59" si="81">$AH56/$C56*V56</f>
        <v>17500</v>
      </c>
      <c r="Z56" s="1798">
        <f t="shared" si="81"/>
        <v>17500</v>
      </c>
      <c r="AA56" s="1798">
        <f t="shared" si="81"/>
        <v>17500</v>
      </c>
      <c r="AB56" s="1797">
        <v>1</v>
      </c>
      <c r="AC56" s="1797">
        <v>1</v>
      </c>
      <c r="AD56" s="1797">
        <v>1</v>
      </c>
      <c r="AE56" s="1798">
        <f t="shared" ref="AE56:AG59" si="82">$AH56/$C56*AB56</f>
        <v>17500</v>
      </c>
      <c r="AF56" s="1798">
        <f t="shared" si="82"/>
        <v>17500</v>
      </c>
      <c r="AG56" s="1798">
        <f t="shared" si="82"/>
        <v>17500</v>
      </c>
      <c r="AH56" s="1798">
        <f t="shared" si="77"/>
        <v>210000</v>
      </c>
      <c r="AI56" s="1798">
        <v>210000</v>
      </c>
      <c r="AJ56" s="1798"/>
      <c r="AK56" s="1798"/>
      <c r="AL56" s="1799">
        <f t="shared" si="78"/>
        <v>0</v>
      </c>
      <c r="AM56" s="1798"/>
      <c r="AN56" s="1798"/>
      <c r="AO56" s="538" t="s">
        <v>4103</v>
      </c>
      <c r="AP56" s="538" t="s">
        <v>4104</v>
      </c>
      <c r="AQ56" s="547"/>
    </row>
    <row r="57" spans="1:43" ht="60">
      <c r="A57" s="537" t="s">
        <v>4117</v>
      </c>
      <c r="B57" s="538" t="s">
        <v>4118</v>
      </c>
      <c r="C57" s="539">
        <f t="shared" si="76"/>
        <v>12</v>
      </c>
      <c r="D57" s="540" t="s">
        <v>309</v>
      </c>
      <c r="E57" s="538" t="s">
        <v>4119</v>
      </c>
      <c r="F57" s="538" t="s">
        <v>4120</v>
      </c>
      <c r="G57" s="541">
        <f t="shared" si="0"/>
        <v>10.665325882841396</v>
      </c>
      <c r="H57" s="542"/>
      <c r="I57" s="541">
        <v>20.246839122406698</v>
      </c>
      <c r="J57" s="1797">
        <v>1</v>
      </c>
      <c r="K57" s="1797">
        <v>1</v>
      </c>
      <c r="L57" s="1797">
        <v>1</v>
      </c>
      <c r="M57" s="1798">
        <f t="shared" si="79"/>
        <v>35000</v>
      </c>
      <c r="N57" s="1798">
        <f t="shared" si="79"/>
        <v>35000</v>
      </c>
      <c r="O57" s="1798">
        <f t="shared" si="79"/>
        <v>35000</v>
      </c>
      <c r="P57" s="1797">
        <v>1</v>
      </c>
      <c r="Q57" s="1797">
        <v>1</v>
      </c>
      <c r="R57" s="1797">
        <v>1</v>
      </c>
      <c r="S57" s="1798">
        <f t="shared" si="80"/>
        <v>35000</v>
      </c>
      <c r="T57" s="1798">
        <f t="shared" si="80"/>
        <v>35000</v>
      </c>
      <c r="U57" s="1798">
        <f t="shared" si="80"/>
        <v>35000</v>
      </c>
      <c r="V57" s="1797">
        <v>1</v>
      </c>
      <c r="W57" s="1797">
        <v>1</v>
      </c>
      <c r="X57" s="1797">
        <v>1</v>
      </c>
      <c r="Y57" s="1798">
        <f t="shared" si="81"/>
        <v>35000</v>
      </c>
      <c r="Z57" s="1798">
        <f t="shared" si="81"/>
        <v>35000</v>
      </c>
      <c r="AA57" s="1798">
        <f t="shared" si="81"/>
        <v>35000</v>
      </c>
      <c r="AB57" s="1797">
        <v>1</v>
      </c>
      <c r="AC57" s="1797">
        <v>1</v>
      </c>
      <c r="AD57" s="1797">
        <v>1</v>
      </c>
      <c r="AE57" s="1798">
        <f t="shared" si="82"/>
        <v>35000</v>
      </c>
      <c r="AF57" s="1798">
        <f t="shared" si="82"/>
        <v>35000</v>
      </c>
      <c r="AG57" s="1798">
        <f t="shared" si="82"/>
        <v>35000</v>
      </c>
      <c r="AH57" s="1798">
        <f t="shared" si="77"/>
        <v>420000</v>
      </c>
      <c r="AI57" s="1798">
        <v>420000</v>
      </c>
      <c r="AJ57" s="1798"/>
      <c r="AK57" s="1798"/>
      <c r="AL57" s="1799">
        <f t="shared" si="78"/>
        <v>0</v>
      </c>
      <c r="AM57" s="1798"/>
      <c r="AN57" s="1798"/>
      <c r="AO57" s="538" t="s">
        <v>4103</v>
      </c>
      <c r="AP57" s="538" t="s">
        <v>4104</v>
      </c>
      <c r="AQ57" s="547"/>
    </row>
    <row r="58" spans="1:43" ht="90">
      <c r="A58" s="537" t="s">
        <v>4121</v>
      </c>
      <c r="B58" s="538" t="s">
        <v>4122</v>
      </c>
      <c r="C58" s="539">
        <f t="shared" si="76"/>
        <v>12</v>
      </c>
      <c r="D58" s="540" t="s">
        <v>309</v>
      </c>
      <c r="E58" s="538" t="s">
        <v>4123</v>
      </c>
      <c r="F58" s="538" t="s">
        <v>4124</v>
      </c>
      <c r="G58" s="541">
        <f t="shared" si="0"/>
        <v>9.1417078995783392</v>
      </c>
      <c r="H58" s="542"/>
      <c r="I58" s="541">
        <v>18.131669727026175</v>
      </c>
      <c r="J58" s="1797">
        <v>1</v>
      </c>
      <c r="K58" s="1797">
        <v>1</v>
      </c>
      <c r="L58" s="1797">
        <v>1</v>
      </c>
      <c r="M58" s="1798">
        <f t="shared" si="79"/>
        <v>30000</v>
      </c>
      <c r="N58" s="1798">
        <f t="shared" si="79"/>
        <v>30000</v>
      </c>
      <c r="O58" s="1798">
        <f t="shared" si="79"/>
        <v>30000</v>
      </c>
      <c r="P58" s="1797">
        <v>1</v>
      </c>
      <c r="Q58" s="1797">
        <v>1</v>
      </c>
      <c r="R58" s="1797">
        <v>1</v>
      </c>
      <c r="S58" s="1798">
        <f t="shared" si="80"/>
        <v>30000</v>
      </c>
      <c r="T58" s="1798">
        <f t="shared" si="80"/>
        <v>30000</v>
      </c>
      <c r="U58" s="1798">
        <f t="shared" si="80"/>
        <v>30000</v>
      </c>
      <c r="V58" s="1797">
        <v>1</v>
      </c>
      <c r="W58" s="1797">
        <v>1</v>
      </c>
      <c r="X58" s="1797">
        <v>1</v>
      </c>
      <c r="Y58" s="1798">
        <f t="shared" si="81"/>
        <v>30000</v>
      </c>
      <c r="Z58" s="1798">
        <f t="shared" si="81"/>
        <v>30000</v>
      </c>
      <c r="AA58" s="1798">
        <f t="shared" si="81"/>
        <v>30000</v>
      </c>
      <c r="AB58" s="1797">
        <v>1</v>
      </c>
      <c r="AC58" s="1797">
        <v>1</v>
      </c>
      <c r="AD58" s="1797">
        <v>1</v>
      </c>
      <c r="AE58" s="1798">
        <f t="shared" si="82"/>
        <v>30000</v>
      </c>
      <c r="AF58" s="1798">
        <f t="shared" si="82"/>
        <v>30000</v>
      </c>
      <c r="AG58" s="1798">
        <f t="shared" si="82"/>
        <v>30000</v>
      </c>
      <c r="AH58" s="1798">
        <f t="shared" si="77"/>
        <v>360000</v>
      </c>
      <c r="AI58" s="1798">
        <v>360000</v>
      </c>
      <c r="AJ58" s="1798"/>
      <c r="AK58" s="1798"/>
      <c r="AL58" s="1799">
        <f t="shared" si="78"/>
        <v>0</v>
      </c>
      <c r="AM58" s="1798"/>
      <c r="AN58" s="1798"/>
      <c r="AO58" s="538" t="s">
        <v>4103</v>
      </c>
      <c r="AP58" s="538" t="s">
        <v>4104</v>
      </c>
      <c r="AQ58" s="547"/>
    </row>
    <row r="59" spans="1:43" ht="90">
      <c r="A59" s="537" t="s">
        <v>4125</v>
      </c>
      <c r="B59" s="538" t="s">
        <v>4126</v>
      </c>
      <c r="C59" s="539">
        <f t="shared" si="76"/>
        <v>12</v>
      </c>
      <c r="D59" s="540" t="s">
        <v>309</v>
      </c>
      <c r="E59" s="538" t="s">
        <v>4127</v>
      </c>
      <c r="F59" s="538" t="s">
        <v>4128</v>
      </c>
      <c r="G59" s="541">
        <f t="shared" si="0"/>
        <v>5.3326629414206979</v>
      </c>
      <c r="H59" s="542"/>
      <c r="I59" s="541">
        <v>11.144702504885052</v>
      </c>
      <c r="J59" s="1797">
        <v>1</v>
      </c>
      <c r="K59" s="1797">
        <v>1</v>
      </c>
      <c r="L59" s="1797">
        <v>1</v>
      </c>
      <c r="M59" s="1798">
        <f t="shared" si="79"/>
        <v>17500</v>
      </c>
      <c r="N59" s="1798">
        <f t="shared" si="79"/>
        <v>17500</v>
      </c>
      <c r="O59" s="1798">
        <f t="shared" si="79"/>
        <v>17500</v>
      </c>
      <c r="P59" s="1797">
        <v>1</v>
      </c>
      <c r="Q59" s="1797">
        <v>1</v>
      </c>
      <c r="R59" s="1797">
        <v>1</v>
      </c>
      <c r="S59" s="1798">
        <f t="shared" si="80"/>
        <v>17500</v>
      </c>
      <c r="T59" s="1798">
        <f t="shared" si="80"/>
        <v>17500</v>
      </c>
      <c r="U59" s="1798">
        <f t="shared" si="80"/>
        <v>17500</v>
      </c>
      <c r="V59" s="1797">
        <v>1</v>
      </c>
      <c r="W59" s="1797">
        <v>1</v>
      </c>
      <c r="X59" s="1797">
        <v>1</v>
      </c>
      <c r="Y59" s="1798">
        <f t="shared" si="81"/>
        <v>17500</v>
      </c>
      <c r="Z59" s="1798">
        <f t="shared" si="81"/>
        <v>17500</v>
      </c>
      <c r="AA59" s="1798">
        <f t="shared" si="81"/>
        <v>17500</v>
      </c>
      <c r="AB59" s="1797">
        <v>1</v>
      </c>
      <c r="AC59" s="1797">
        <v>1</v>
      </c>
      <c r="AD59" s="1797">
        <v>1</v>
      </c>
      <c r="AE59" s="1798">
        <f t="shared" si="82"/>
        <v>17500</v>
      </c>
      <c r="AF59" s="1798">
        <f t="shared" si="82"/>
        <v>17500</v>
      </c>
      <c r="AG59" s="1798">
        <f t="shared" si="82"/>
        <v>17500</v>
      </c>
      <c r="AH59" s="1798">
        <f t="shared" si="77"/>
        <v>210000</v>
      </c>
      <c r="AI59" s="1798">
        <v>210000</v>
      </c>
      <c r="AJ59" s="1798"/>
      <c r="AK59" s="1798"/>
      <c r="AL59" s="1799">
        <f t="shared" si="78"/>
        <v>0</v>
      </c>
      <c r="AM59" s="1798"/>
      <c r="AN59" s="1798"/>
      <c r="AO59" s="538" t="s">
        <v>4103</v>
      </c>
      <c r="AP59" s="538" t="s">
        <v>4104</v>
      </c>
      <c r="AQ59" s="547"/>
    </row>
    <row r="60" spans="1:43" ht="105">
      <c r="A60" s="537" t="s">
        <v>4129</v>
      </c>
      <c r="B60" s="538" t="s">
        <v>4130</v>
      </c>
      <c r="C60" s="539">
        <f t="shared" si="76"/>
        <v>1</v>
      </c>
      <c r="D60" s="540" t="s">
        <v>309</v>
      </c>
      <c r="E60" s="538" t="s">
        <v>4131</v>
      </c>
      <c r="F60" s="538" t="s">
        <v>4132</v>
      </c>
      <c r="G60" s="541">
        <f t="shared" si="0"/>
        <v>1.4474370840999036</v>
      </c>
      <c r="H60" s="542"/>
      <c r="I60" s="541">
        <v>5.6623053342450387</v>
      </c>
      <c r="J60" s="1797">
        <v>1</v>
      </c>
      <c r="K60" s="1797"/>
      <c r="L60" s="1797"/>
      <c r="M60" s="1798">
        <f t="shared" si="79"/>
        <v>57000</v>
      </c>
      <c r="N60" s="1798"/>
      <c r="O60" s="1798"/>
      <c r="P60" s="1797"/>
      <c r="Q60" s="1797"/>
      <c r="R60" s="1797"/>
      <c r="S60" s="1798"/>
      <c r="T60" s="1798"/>
      <c r="U60" s="1798"/>
      <c r="V60" s="1797"/>
      <c r="W60" s="1797"/>
      <c r="X60" s="1797"/>
      <c r="Y60" s="1798"/>
      <c r="Z60" s="1798"/>
      <c r="AA60" s="1798"/>
      <c r="AB60" s="1797"/>
      <c r="AC60" s="1797"/>
      <c r="AD60" s="1797"/>
      <c r="AE60" s="1798"/>
      <c r="AF60" s="1798"/>
      <c r="AG60" s="1798"/>
      <c r="AH60" s="1798">
        <f t="shared" si="77"/>
        <v>57000</v>
      </c>
      <c r="AI60" s="1798">
        <v>57000</v>
      </c>
      <c r="AJ60" s="1798"/>
      <c r="AK60" s="1798"/>
      <c r="AL60" s="1799">
        <f t="shared" si="78"/>
        <v>0</v>
      </c>
      <c r="AM60" s="1798"/>
      <c r="AN60" s="1798"/>
      <c r="AO60" s="538" t="s">
        <v>4103</v>
      </c>
      <c r="AP60" s="538" t="s">
        <v>4104</v>
      </c>
      <c r="AQ60" s="547"/>
    </row>
    <row r="61" spans="1:43" ht="90">
      <c r="A61" s="537" t="s">
        <v>4133</v>
      </c>
      <c r="B61" s="538" t="s">
        <v>4134</v>
      </c>
      <c r="C61" s="539">
        <f t="shared" si="76"/>
        <v>1</v>
      </c>
      <c r="D61" s="540" t="s">
        <v>309</v>
      </c>
      <c r="E61" s="538" t="s">
        <v>4135</v>
      </c>
      <c r="F61" s="538" t="s">
        <v>4136</v>
      </c>
      <c r="G61" s="541">
        <f t="shared" si="0"/>
        <v>1.9045224790788204</v>
      </c>
      <c r="H61" s="542"/>
      <c r="I61" s="541">
        <v>4.4836187534733156</v>
      </c>
      <c r="J61" s="1797"/>
      <c r="K61" s="1797"/>
      <c r="L61" s="1797">
        <v>1</v>
      </c>
      <c r="M61" s="1798"/>
      <c r="N61" s="1798"/>
      <c r="O61" s="1798">
        <f t="shared" ref="O61:O64" si="83">$AH61/$C61*L61</f>
        <v>75000</v>
      </c>
      <c r="P61" s="1797"/>
      <c r="Q61" s="1797"/>
      <c r="R61" s="1797"/>
      <c r="S61" s="1798"/>
      <c r="T61" s="1798"/>
      <c r="U61" s="1798"/>
      <c r="V61" s="1797"/>
      <c r="W61" s="1797"/>
      <c r="X61" s="1797"/>
      <c r="Y61" s="1798"/>
      <c r="Z61" s="1798"/>
      <c r="AA61" s="1798"/>
      <c r="AB61" s="1797"/>
      <c r="AC61" s="1797"/>
      <c r="AD61" s="1797"/>
      <c r="AE61" s="1798"/>
      <c r="AF61" s="1798"/>
      <c r="AG61" s="1798"/>
      <c r="AH61" s="1798">
        <f t="shared" si="77"/>
        <v>75000</v>
      </c>
      <c r="AI61" s="1798">
        <v>75000</v>
      </c>
      <c r="AJ61" s="1798"/>
      <c r="AK61" s="1798"/>
      <c r="AL61" s="1799">
        <f t="shared" si="78"/>
        <v>0</v>
      </c>
      <c r="AM61" s="1798"/>
      <c r="AN61" s="1798"/>
      <c r="AO61" s="538" t="s">
        <v>4103</v>
      </c>
      <c r="AP61" s="538" t="s">
        <v>4104</v>
      </c>
      <c r="AQ61" s="547"/>
    </row>
    <row r="62" spans="1:43" ht="105">
      <c r="A62" s="537" t="s">
        <v>4137</v>
      </c>
      <c r="B62" s="538" t="s">
        <v>4138</v>
      </c>
      <c r="C62" s="539">
        <f t="shared" si="76"/>
        <v>4</v>
      </c>
      <c r="D62" s="540" t="s">
        <v>52</v>
      </c>
      <c r="E62" s="538" t="s">
        <v>4139</v>
      </c>
      <c r="F62" s="538" t="s">
        <v>4140</v>
      </c>
      <c r="G62" s="541">
        <f t="shared" si="0"/>
        <v>2.5393633054384273</v>
      </c>
      <c r="H62" s="542"/>
      <c r="I62" s="541">
        <v>6.3538953638754654</v>
      </c>
      <c r="J62" s="1797"/>
      <c r="K62" s="1797"/>
      <c r="L62" s="1797">
        <v>1</v>
      </c>
      <c r="M62" s="1798"/>
      <c r="N62" s="1798"/>
      <c r="O62" s="1798">
        <f t="shared" si="83"/>
        <v>25000</v>
      </c>
      <c r="P62" s="1797"/>
      <c r="Q62" s="1797"/>
      <c r="R62" s="1797">
        <v>1</v>
      </c>
      <c r="S62" s="1797"/>
      <c r="T62" s="1797"/>
      <c r="U62" s="1798">
        <f t="shared" ref="U62:U66" si="84">$AH62/$C62*R62</f>
        <v>25000</v>
      </c>
      <c r="V62" s="1797"/>
      <c r="W62" s="1797"/>
      <c r="X62" s="1797">
        <v>1</v>
      </c>
      <c r="Y62" s="1797"/>
      <c r="Z62" s="1797"/>
      <c r="AA62" s="1798">
        <f t="shared" ref="AA62:AA64" si="85">$AH62/$C62*X62</f>
        <v>25000</v>
      </c>
      <c r="AB62" s="1797"/>
      <c r="AC62" s="1797"/>
      <c r="AD62" s="1797">
        <v>1</v>
      </c>
      <c r="AE62" s="1797"/>
      <c r="AF62" s="1797"/>
      <c r="AG62" s="1798">
        <f t="shared" ref="AG62:AG66" si="86">$AH62/$C62*AD62</f>
        <v>25000</v>
      </c>
      <c r="AH62" s="1798">
        <f t="shared" si="77"/>
        <v>100000</v>
      </c>
      <c r="AI62" s="1798">
        <v>100000</v>
      </c>
      <c r="AJ62" s="1798"/>
      <c r="AK62" s="1798"/>
      <c r="AL62" s="1799">
        <f t="shared" si="78"/>
        <v>0</v>
      </c>
      <c r="AM62" s="1798"/>
      <c r="AN62" s="1798"/>
      <c r="AO62" s="538" t="s">
        <v>4103</v>
      </c>
      <c r="AP62" s="538" t="s">
        <v>4104</v>
      </c>
      <c r="AQ62" s="547"/>
    </row>
    <row r="63" spans="1:43" ht="90">
      <c r="A63" s="537" t="s">
        <v>4141</v>
      </c>
      <c r="B63" s="538" t="s">
        <v>4142</v>
      </c>
      <c r="C63" s="539">
        <f t="shared" si="76"/>
        <v>4</v>
      </c>
      <c r="D63" s="540" t="s">
        <v>309</v>
      </c>
      <c r="E63" s="538" t="s">
        <v>4143</v>
      </c>
      <c r="F63" s="538" t="s">
        <v>4144</v>
      </c>
      <c r="G63" s="541">
        <f t="shared" si="0"/>
        <v>2.0314906443507419</v>
      </c>
      <c r="H63" s="542"/>
      <c r="I63" s="541">
        <v>3.2791944211822974</v>
      </c>
      <c r="J63" s="1797"/>
      <c r="K63" s="1797"/>
      <c r="L63" s="1797">
        <v>1</v>
      </c>
      <c r="M63" s="1798"/>
      <c r="N63" s="1798"/>
      <c r="O63" s="1798">
        <f t="shared" si="83"/>
        <v>20000</v>
      </c>
      <c r="P63" s="1797"/>
      <c r="Q63" s="1797"/>
      <c r="R63" s="1797">
        <v>1</v>
      </c>
      <c r="S63" s="1797"/>
      <c r="T63" s="1797"/>
      <c r="U63" s="1798">
        <f t="shared" si="84"/>
        <v>20000</v>
      </c>
      <c r="V63" s="1797"/>
      <c r="W63" s="1797"/>
      <c r="X63" s="1797">
        <v>1</v>
      </c>
      <c r="Y63" s="1797"/>
      <c r="Z63" s="1797"/>
      <c r="AA63" s="1798">
        <f t="shared" si="85"/>
        <v>20000</v>
      </c>
      <c r="AB63" s="1797"/>
      <c r="AC63" s="1797"/>
      <c r="AD63" s="1797">
        <v>1</v>
      </c>
      <c r="AE63" s="1797"/>
      <c r="AF63" s="1797"/>
      <c r="AG63" s="1798">
        <f t="shared" si="86"/>
        <v>20000</v>
      </c>
      <c r="AH63" s="1798">
        <f t="shared" si="77"/>
        <v>80000</v>
      </c>
      <c r="AI63" s="1798">
        <v>80000</v>
      </c>
      <c r="AJ63" s="1798"/>
      <c r="AK63" s="1798"/>
      <c r="AL63" s="1799">
        <f t="shared" si="78"/>
        <v>0</v>
      </c>
      <c r="AM63" s="1798"/>
      <c r="AN63" s="1798"/>
      <c r="AO63" s="538" t="s">
        <v>4103</v>
      </c>
      <c r="AP63" s="538" t="s">
        <v>4104</v>
      </c>
      <c r="AQ63" s="547"/>
    </row>
    <row r="64" spans="1:43" ht="135">
      <c r="A64" s="537" t="s">
        <v>4145</v>
      </c>
      <c r="B64" s="538" t="s">
        <v>4146</v>
      </c>
      <c r="C64" s="539">
        <f t="shared" si="76"/>
        <v>4</v>
      </c>
      <c r="D64" s="540" t="s">
        <v>309</v>
      </c>
      <c r="E64" s="538" t="s">
        <v>4147</v>
      </c>
      <c r="F64" s="538" t="s">
        <v>4148</v>
      </c>
      <c r="G64" s="541">
        <f t="shared" si="0"/>
        <v>2.5393633054384273</v>
      </c>
      <c r="H64" s="542"/>
      <c r="I64" s="541">
        <v>3.7529739267613715</v>
      </c>
      <c r="J64" s="1797"/>
      <c r="K64" s="1797"/>
      <c r="L64" s="1797">
        <v>1</v>
      </c>
      <c r="M64" s="1798"/>
      <c r="N64" s="1798"/>
      <c r="O64" s="1798">
        <f t="shared" si="83"/>
        <v>25000</v>
      </c>
      <c r="P64" s="1797"/>
      <c r="Q64" s="1797"/>
      <c r="R64" s="1797">
        <v>1</v>
      </c>
      <c r="S64" s="1798"/>
      <c r="T64" s="1798"/>
      <c r="U64" s="1798">
        <f t="shared" si="84"/>
        <v>25000</v>
      </c>
      <c r="V64" s="1797"/>
      <c r="W64" s="1797"/>
      <c r="X64" s="1797">
        <v>1</v>
      </c>
      <c r="Y64" s="1798"/>
      <c r="Z64" s="1798"/>
      <c r="AA64" s="1798">
        <f t="shared" si="85"/>
        <v>25000</v>
      </c>
      <c r="AB64" s="1797"/>
      <c r="AC64" s="1797"/>
      <c r="AD64" s="1797">
        <v>1</v>
      </c>
      <c r="AE64" s="1798"/>
      <c r="AF64" s="1798"/>
      <c r="AG64" s="1798">
        <f t="shared" si="86"/>
        <v>25000</v>
      </c>
      <c r="AH64" s="1798">
        <f t="shared" si="77"/>
        <v>100000</v>
      </c>
      <c r="AI64" s="1798">
        <v>100000</v>
      </c>
      <c r="AJ64" s="1798"/>
      <c r="AK64" s="1798"/>
      <c r="AL64" s="1799">
        <f t="shared" si="78"/>
        <v>0</v>
      </c>
      <c r="AM64" s="1798"/>
      <c r="AN64" s="1798"/>
      <c r="AO64" s="538" t="s">
        <v>4103</v>
      </c>
      <c r="AP64" s="538" t="s">
        <v>4104</v>
      </c>
      <c r="AQ64" s="547"/>
    </row>
    <row r="65" spans="1:43" ht="105">
      <c r="A65" s="537" t="s">
        <v>4149</v>
      </c>
      <c r="B65" s="538" t="s">
        <v>4150</v>
      </c>
      <c r="C65" s="539">
        <f t="shared" si="76"/>
        <v>2</v>
      </c>
      <c r="D65" s="540" t="s">
        <v>309</v>
      </c>
      <c r="E65" s="538" t="s">
        <v>4151</v>
      </c>
      <c r="F65" s="538" t="s">
        <v>4152</v>
      </c>
      <c r="G65" s="552">
        <f t="shared" si="0"/>
        <v>4.9518854137702055</v>
      </c>
      <c r="H65" s="553"/>
      <c r="I65" s="541">
        <v>4.4821461955505706</v>
      </c>
      <c r="J65" s="1797"/>
      <c r="K65" s="1797"/>
      <c r="L65" s="1797"/>
      <c r="M65" s="1798"/>
      <c r="N65" s="1798"/>
      <c r="O65" s="1798"/>
      <c r="P65" s="1797"/>
      <c r="Q65" s="1797"/>
      <c r="R65" s="1797">
        <v>1</v>
      </c>
      <c r="S65" s="1798"/>
      <c r="T65" s="1798"/>
      <c r="U65" s="1798">
        <f t="shared" si="84"/>
        <v>97502.5</v>
      </c>
      <c r="V65" s="1797"/>
      <c r="W65" s="1797"/>
      <c r="X65" s="1797"/>
      <c r="Y65" s="1798"/>
      <c r="Z65" s="1798"/>
      <c r="AA65" s="1798"/>
      <c r="AB65" s="1797"/>
      <c r="AC65" s="1797"/>
      <c r="AD65" s="1797">
        <v>1</v>
      </c>
      <c r="AE65" s="1798"/>
      <c r="AF65" s="1798"/>
      <c r="AG65" s="1798">
        <f t="shared" si="86"/>
        <v>97502.5</v>
      </c>
      <c r="AH65" s="1798">
        <f t="shared" si="77"/>
        <v>195005</v>
      </c>
      <c r="AI65" s="1798">
        <v>195005</v>
      </c>
      <c r="AJ65" s="1798"/>
      <c r="AK65" s="1798"/>
      <c r="AL65" s="1799">
        <f t="shared" si="78"/>
        <v>0</v>
      </c>
      <c r="AM65" s="1798"/>
      <c r="AN65" s="1798"/>
      <c r="AO65" s="538" t="s">
        <v>4103</v>
      </c>
      <c r="AP65" s="538" t="s">
        <v>4104</v>
      </c>
      <c r="AQ65" s="547"/>
    </row>
    <row r="66" spans="1:43" ht="120">
      <c r="A66" s="537" t="s">
        <v>4153</v>
      </c>
      <c r="B66" s="538" t="s">
        <v>4154</v>
      </c>
      <c r="C66" s="539">
        <f t="shared" si="76"/>
        <v>12</v>
      </c>
      <c r="D66" s="540" t="s">
        <v>309</v>
      </c>
      <c r="E66" s="538" t="s">
        <v>4151</v>
      </c>
      <c r="F66" s="538" t="s">
        <v>4155</v>
      </c>
      <c r="G66" s="541">
        <f t="shared" si="0"/>
        <v>4.5708539497891696</v>
      </c>
      <c r="H66" s="542"/>
      <c r="I66" s="541">
        <v>4.5596795713960105</v>
      </c>
      <c r="J66" s="1797">
        <v>1</v>
      </c>
      <c r="K66" s="1797">
        <v>1</v>
      </c>
      <c r="L66" s="1797">
        <v>1</v>
      </c>
      <c r="M66" s="1798">
        <f t="shared" ref="M66:O66" si="87">$AH66/$C66*J66</f>
        <v>15000</v>
      </c>
      <c r="N66" s="1798">
        <f t="shared" si="87"/>
        <v>15000</v>
      </c>
      <c r="O66" s="1798">
        <f t="shared" si="87"/>
        <v>15000</v>
      </c>
      <c r="P66" s="1797">
        <v>1</v>
      </c>
      <c r="Q66" s="1797">
        <v>1</v>
      </c>
      <c r="R66" s="1797">
        <v>1</v>
      </c>
      <c r="S66" s="1798">
        <f t="shared" ref="S66:T66" si="88">$AH66/$C66*P66</f>
        <v>15000</v>
      </c>
      <c r="T66" s="1798">
        <f t="shared" si="88"/>
        <v>15000</v>
      </c>
      <c r="U66" s="1798">
        <f t="shared" si="84"/>
        <v>15000</v>
      </c>
      <c r="V66" s="1797">
        <v>1</v>
      </c>
      <c r="W66" s="1797">
        <v>1</v>
      </c>
      <c r="X66" s="1797">
        <v>1</v>
      </c>
      <c r="Y66" s="1798">
        <f t="shared" ref="Y66:AA66" si="89">$AH66/$C66*V66</f>
        <v>15000</v>
      </c>
      <c r="Z66" s="1798">
        <f t="shared" si="89"/>
        <v>15000</v>
      </c>
      <c r="AA66" s="1798">
        <f t="shared" si="89"/>
        <v>15000</v>
      </c>
      <c r="AB66" s="1797">
        <v>1</v>
      </c>
      <c r="AC66" s="1797">
        <v>1</v>
      </c>
      <c r="AD66" s="1797">
        <v>1</v>
      </c>
      <c r="AE66" s="1798">
        <f t="shared" ref="AE66:AF66" si="90">$AH66/$C66*AB66</f>
        <v>15000</v>
      </c>
      <c r="AF66" s="1798">
        <f t="shared" si="90"/>
        <v>15000</v>
      </c>
      <c r="AG66" s="1798">
        <f t="shared" si="86"/>
        <v>15000</v>
      </c>
      <c r="AH66" s="1798">
        <f t="shared" si="77"/>
        <v>180000</v>
      </c>
      <c r="AI66" s="1798">
        <v>180000</v>
      </c>
      <c r="AJ66" s="1798"/>
      <c r="AK66" s="1798"/>
      <c r="AL66" s="1799">
        <f t="shared" si="78"/>
        <v>0</v>
      </c>
      <c r="AM66" s="1798"/>
      <c r="AN66" s="1798"/>
      <c r="AO66" s="538" t="s">
        <v>4103</v>
      </c>
      <c r="AP66" s="538" t="s">
        <v>4104</v>
      </c>
      <c r="AQ66" s="547"/>
    </row>
    <row r="67" spans="1:43" ht="15">
      <c r="A67" s="1400" t="s">
        <v>4156</v>
      </c>
      <c r="B67" s="1354" t="s">
        <v>4157</v>
      </c>
      <c r="C67" s="1360"/>
      <c r="D67" s="1789"/>
      <c r="E67" s="1354"/>
      <c r="F67" s="1354"/>
      <c r="G67" s="1356">
        <f t="shared" si="0"/>
        <v>20.010182846854807</v>
      </c>
      <c r="H67" s="1356"/>
      <c r="I67" s="1360"/>
      <c r="J67" s="1358"/>
      <c r="K67" s="1358"/>
      <c r="L67" s="1358"/>
      <c r="M67" s="1359">
        <f>SUM(M68)</f>
        <v>49000</v>
      </c>
      <c r="N67" s="1359">
        <f t="shared" ref="N67:O67" si="91">SUM(N68)</f>
        <v>49000</v>
      </c>
      <c r="O67" s="1359">
        <f t="shared" si="91"/>
        <v>74000</v>
      </c>
      <c r="P67" s="1359"/>
      <c r="Q67" s="1359"/>
      <c r="R67" s="1359"/>
      <c r="S67" s="1359">
        <f t="shared" ref="S67:U67" si="92">SUM(S68)</f>
        <v>49000</v>
      </c>
      <c r="T67" s="1359">
        <f t="shared" si="92"/>
        <v>49000</v>
      </c>
      <c r="U67" s="1359">
        <f t="shared" si="92"/>
        <v>124000</v>
      </c>
      <c r="V67" s="1359"/>
      <c r="W67" s="1359"/>
      <c r="X67" s="1359"/>
      <c r="Y67" s="1359">
        <f t="shared" ref="Y67:AA67" si="93">SUM(Y68)</f>
        <v>49000</v>
      </c>
      <c r="Z67" s="1359">
        <f t="shared" si="93"/>
        <v>49000</v>
      </c>
      <c r="AA67" s="1359">
        <f t="shared" si="93"/>
        <v>74000</v>
      </c>
      <c r="AB67" s="1359"/>
      <c r="AC67" s="1359"/>
      <c r="AD67" s="1359"/>
      <c r="AE67" s="1359">
        <f t="shared" ref="AE67:AI67" si="94">SUM(AE68)</f>
        <v>49000</v>
      </c>
      <c r="AF67" s="1359">
        <f t="shared" si="94"/>
        <v>49000</v>
      </c>
      <c r="AG67" s="1359">
        <f t="shared" si="94"/>
        <v>124000</v>
      </c>
      <c r="AH67" s="1359">
        <f t="shared" si="94"/>
        <v>788000</v>
      </c>
      <c r="AI67" s="1359">
        <f t="shared" si="94"/>
        <v>788000</v>
      </c>
      <c r="AJ67" s="1358"/>
      <c r="AK67" s="1358"/>
      <c r="AL67" s="1358"/>
      <c r="AM67" s="1358"/>
      <c r="AN67" s="1358"/>
      <c r="AO67" s="1354"/>
      <c r="AP67" s="1354"/>
      <c r="AQ67" s="1360"/>
    </row>
    <row r="68" spans="1:43" ht="75">
      <c r="A68" s="609" t="s">
        <v>4158</v>
      </c>
      <c r="B68" s="997" t="s">
        <v>4159</v>
      </c>
      <c r="C68" s="528"/>
      <c r="D68" s="997"/>
      <c r="E68" s="997"/>
      <c r="F68" s="997"/>
      <c r="G68" s="529">
        <f t="shared" si="0"/>
        <v>20.010182846854807</v>
      </c>
      <c r="H68" s="1793"/>
      <c r="I68" s="1794"/>
      <c r="J68" s="1795"/>
      <c r="K68" s="1795"/>
      <c r="L68" s="1795"/>
      <c r="M68" s="1796">
        <f>SUM(M69:M78)</f>
        <v>49000</v>
      </c>
      <c r="N68" s="1796">
        <f t="shared" ref="N68:O68" si="95">SUM(N69:N78)</f>
        <v>49000</v>
      </c>
      <c r="O68" s="1796">
        <f t="shared" si="95"/>
        <v>74000</v>
      </c>
      <c r="P68" s="1795"/>
      <c r="Q68" s="1795"/>
      <c r="R68" s="1795"/>
      <c r="S68" s="1796">
        <f t="shared" ref="S68:U68" si="96">SUM(S69:S78)</f>
        <v>49000</v>
      </c>
      <c r="T68" s="1796">
        <f t="shared" si="96"/>
        <v>49000</v>
      </c>
      <c r="U68" s="1796">
        <f t="shared" si="96"/>
        <v>124000</v>
      </c>
      <c r="V68" s="1795"/>
      <c r="W68" s="1795"/>
      <c r="X68" s="1795"/>
      <c r="Y68" s="1796">
        <f t="shared" ref="Y68:AA68" si="97">SUM(Y69:Y78)</f>
        <v>49000</v>
      </c>
      <c r="Z68" s="1796">
        <f t="shared" si="97"/>
        <v>49000</v>
      </c>
      <c r="AA68" s="1796">
        <f t="shared" si="97"/>
        <v>74000</v>
      </c>
      <c r="AB68" s="1795"/>
      <c r="AC68" s="1795"/>
      <c r="AD68" s="1795"/>
      <c r="AE68" s="1796">
        <f t="shared" ref="AE68:AI68" si="98">SUM(AE69:AE78)</f>
        <v>49000</v>
      </c>
      <c r="AF68" s="1796">
        <f t="shared" si="98"/>
        <v>49000</v>
      </c>
      <c r="AG68" s="1796">
        <f t="shared" si="98"/>
        <v>124000</v>
      </c>
      <c r="AH68" s="1796">
        <f t="shared" si="98"/>
        <v>788000</v>
      </c>
      <c r="AI68" s="1796">
        <f t="shared" si="98"/>
        <v>788000</v>
      </c>
      <c r="AJ68" s="1796"/>
      <c r="AK68" s="1796"/>
      <c r="AL68" s="1796"/>
      <c r="AM68" s="1796"/>
      <c r="AN68" s="1796"/>
      <c r="AO68" s="997"/>
      <c r="AP68" s="997"/>
      <c r="AQ68" s="1363"/>
    </row>
    <row r="69" spans="1:43" ht="45">
      <c r="A69" s="2218" t="s">
        <v>4160</v>
      </c>
      <c r="B69" s="2219" t="s">
        <v>4161</v>
      </c>
      <c r="C69" s="539">
        <f t="shared" ref="C69:C78" si="99">SUM(J69+K69+L69+P69+Q69+R69+V69+W69+X69+AB69+AC69+AD69)</f>
        <v>2224</v>
      </c>
      <c r="D69" s="540" t="s">
        <v>419</v>
      </c>
      <c r="E69" s="2219" t="s">
        <v>4162</v>
      </c>
      <c r="F69" s="2219" t="s">
        <v>4163</v>
      </c>
      <c r="G69" s="541">
        <f t="shared" si="0"/>
        <v>0.30472359665261128</v>
      </c>
      <c r="H69" s="542"/>
      <c r="I69" s="541">
        <f>AH69/AH$68*100</f>
        <v>1.5228426395939088</v>
      </c>
      <c r="J69" s="1399">
        <v>175</v>
      </c>
      <c r="K69" s="1399">
        <v>235</v>
      </c>
      <c r="L69" s="1399">
        <v>200</v>
      </c>
      <c r="M69" s="1798">
        <v>1000</v>
      </c>
      <c r="N69" s="1798">
        <v>1000</v>
      </c>
      <c r="O69" s="1798">
        <v>1000</v>
      </c>
      <c r="P69" s="1399">
        <v>195</v>
      </c>
      <c r="Q69" s="1399">
        <v>207</v>
      </c>
      <c r="R69" s="1399">
        <v>196</v>
      </c>
      <c r="S69" s="1798">
        <v>1000</v>
      </c>
      <c r="T69" s="1798">
        <v>1000</v>
      </c>
      <c r="U69" s="1798">
        <v>1000</v>
      </c>
      <c r="V69" s="1399">
        <v>186</v>
      </c>
      <c r="W69" s="1399">
        <v>171</v>
      </c>
      <c r="X69" s="1399">
        <v>170</v>
      </c>
      <c r="Y69" s="1798">
        <v>1000</v>
      </c>
      <c r="Z69" s="1798">
        <v>1000</v>
      </c>
      <c r="AA69" s="1798">
        <v>1000</v>
      </c>
      <c r="AB69" s="1399">
        <v>198</v>
      </c>
      <c r="AC69" s="1399">
        <v>173</v>
      </c>
      <c r="AD69" s="1399">
        <v>118</v>
      </c>
      <c r="AE69" s="1798">
        <v>1000</v>
      </c>
      <c r="AF69" s="1798">
        <v>1000</v>
      </c>
      <c r="AG69" s="1798">
        <v>1000</v>
      </c>
      <c r="AH69" s="1798">
        <f t="shared" ref="AH69:AH77" si="100">SUM(M69,N69,O69,S69,T69,U69,Y69,Z69,AA69,AE69,AF69,AG69)</f>
        <v>12000</v>
      </c>
      <c r="AI69" s="1798">
        <v>12000</v>
      </c>
      <c r="AJ69" s="1798"/>
      <c r="AK69" s="1798"/>
      <c r="AL69" s="1798"/>
      <c r="AM69" s="1798"/>
      <c r="AN69" s="1798"/>
      <c r="AO69" s="538" t="s">
        <v>4164</v>
      </c>
      <c r="AP69" s="1379" t="s">
        <v>4165</v>
      </c>
      <c r="AQ69" s="547"/>
    </row>
    <row r="70" spans="1:43" ht="45">
      <c r="A70" s="2218"/>
      <c r="B70" s="2219"/>
      <c r="C70" s="539">
        <f t="shared" si="99"/>
        <v>1139</v>
      </c>
      <c r="D70" s="540" t="s">
        <v>424</v>
      </c>
      <c r="E70" s="2219"/>
      <c r="F70" s="2219"/>
      <c r="G70" s="541">
        <f t="shared" si="0"/>
        <v>0.30472359665261128</v>
      </c>
      <c r="H70" s="542"/>
      <c r="I70" s="541">
        <f t="shared" ref="I70:I78" si="101">AH70/AH$68*100</f>
        <v>1.5228426395939088</v>
      </c>
      <c r="J70" s="1399">
        <v>96</v>
      </c>
      <c r="K70" s="1399">
        <v>100</v>
      </c>
      <c r="L70" s="1399">
        <v>100</v>
      </c>
      <c r="M70" s="1798">
        <v>1000</v>
      </c>
      <c r="N70" s="1798">
        <v>1000</v>
      </c>
      <c r="O70" s="1798">
        <v>1000</v>
      </c>
      <c r="P70" s="1399">
        <v>75</v>
      </c>
      <c r="Q70" s="1399">
        <v>95</v>
      </c>
      <c r="R70" s="1399">
        <v>105</v>
      </c>
      <c r="S70" s="1798">
        <v>1000</v>
      </c>
      <c r="T70" s="1798">
        <v>1000</v>
      </c>
      <c r="U70" s="1798">
        <v>1000</v>
      </c>
      <c r="V70" s="1399">
        <v>100</v>
      </c>
      <c r="W70" s="1399">
        <v>97</v>
      </c>
      <c r="X70" s="1399">
        <v>103</v>
      </c>
      <c r="Y70" s="1798">
        <v>1000</v>
      </c>
      <c r="Z70" s="1798">
        <v>1000</v>
      </c>
      <c r="AA70" s="1798">
        <v>1000</v>
      </c>
      <c r="AB70" s="1399">
        <v>113</v>
      </c>
      <c r="AC70" s="1399">
        <v>93</v>
      </c>
      <c r="AD70" s="1399">
        <v>62</v>
      </c>
      <c r="AE70" s="1798">
        <v>1000</v>
      </c>
      <c r="AF70" s="1798">
        <v>1000</v>
      </c>
      <c r="AG70" s="1798">
        <v>1000</v>
      </c>
      <c r="AH70" s="1798">
        <f t="shared" si="100"/>
        <v>12000</v>
      </c>
      <c r="AI70" s="1798">
        <v>12000</v>
      </c>
      <c r="AJ70" s="1798"/>
      <c r="AK70" s="1798"/>
      <c r="AL70" s="1798"/>
      <c r="AM70" s="1798"/>
      <c r="AN70" s="1798"/>
      <c r="AO70" s="538" t="s">
        <v>4164</v>
      </c>
      <c r="AP70" s="1379" t="s">
        <v>4165</v>
      </c>
      <c r="AQ70" s="547"/>
    </row>
    <row r="71" spans="1:43" ht="45">
      <c r="A71" s="2218" t="s">
        <v>4166</v>
      </c>
      <c r="B71" s="2219" t="s">
        <v>4167</v>
      </c>
      <c r="C71" s="539">
        <f t="shared" si="99"/>
        <v>807</v>
      </c>
      <c r="D71" s="540" t="s">
        <v>419</v>
      </c>
      <c r="E71" s="2219" t="s">
        <v>4168</v>
      </c>
      <c r="F71" s="2219" t="s">
        <v>4169</v>
      </c>
      <c r="G71" s="541">
        <f t="shared" si="0"/>
        <v>0.30472359665261128</v>
      </c>
      <c r="H71" s="542"/>
      <c r="I71" s="541">
        <f t="shared" si="101"/>
        <v>1.5228426395939088</v>
      </c>
      <c r="J71" s="1399">
        <v>76</v>
      </c>
      <c r="K71" s="1399">
        <v>75</v>
      </c>
      <c r="L71" s="1399">
        <v>90</v>
      </c>
      <c r="M71" s="1798">
        <v>1000</v>
      </c>
      <c r="N71" s="1798">
        <v>1000</v>
      </c>
      <c r="O71" s="1798">
        <v>1000</v>
      </c>
      <c r="P71" s="1399">
        <v>95</v>
      </c>
      <c r="Q71" s="1399">
        <v>76</v>
      </c>
      <c r="R71" s="1399">
        <v>73</v>
      </c>
      <c r="S71" s="1798">
        <v>1000</v>
      </c>
      <c r="T71" s="1798">
        <v>1000</v>
      </c>
      <c r="U71" s="1798">
        <v>1000</v>
      </c>
      <c r="V71" s="1399">
        <v>76</v>
      </c>
      <c r="W71" s="1399">
        <v>21</v>
      </c>
      <c r="X71" s="1399">
        <v>27</v>
      </c>
      <c r="Y71" s="1798">
        <v>1000</v>
      </c>
      <c r="Z71" s="1798">
        <v>1000</v>
      </c>
      <c r="AA71" s="1798">
        <v>1000</v>
      </c>
      <c r="AB71" s="1399">
        <v>71</v>
      </c>
      <c r="AC71" s="1399">
        <v>70</v>
      </c>
      <c r="AD71" s="1399">
        <v>57</v>
      </c>
      <c r="AE71" s="1798">
        <v>1000</v>
      </c>
      <c r="AF71" s="1798">
        <v>1000</v>
      </c>
      <c r="AG71" s="1798">
        <v>1000</v>
      </c>
      <c r="AH71" s="1798">
        <f t="shared" si="100"/>
        <v>12000</v>
      </c>
      <c r="AI71" s="1798">
        <v>12000</v>
      </c>
      <c r="AJ71" s="1798"/>
      <c r="AK71" s="1798"/>
      <c r="AL71" s="1798"/>
      <c r="AM71" s="1798"/>
      <c r="AN71" s="1798"/>
      <c r="AO71" s="538" t="s">
        <v>4164</v>
      </c>
      <c r="AP71" s="1379" t="s">
        <v>4165</v>
      </c>
      <c r="AQ71" s="547"/>
    </row>
    <row r="72" spans="1:43" ht="45">
      <c r="A72" s="2218"/>
      <c r="B72" s="2219"/>
      <c r="C72" s="539">
        <f t="shared" si="99"/>
        <v>402</v>
      </c>
      <c r="D72" s="540" t="s">
        <v>424</v>
      </c>
      <c r="E72" s="2219"/>
      <c r="F72" s="2219"/>
      <c r="G72" s="541">
        <f t="shared" si="0"/>
        <v>0.30472359665261128</v>
      </c>
      <c r="H72" s="542"/>
      <c r="I72" s="541">
        <f t="shared" si="101"/>
        <v>1.5228426395939088</v>
      </c>
      <c r="J72" s="1399">
        <v>40</v>
      </c>
      <c r="K72" s="1399">
        <v>33</v>
      </c>
      <c r="L72" s="1399">
        <v>50</v>
      </c>
      <c r="M72" s="1798">
        <v>1000</v>
      </c>
      <c r="N72" s="1798">
        <v>1000</v>
      </c>
      <c r="O72" s="1798">
        <v>1000</v>
      </c>
      <c r="P72" s="1399">
        <v>45</v>
      </c>
      <c r="Q72" s="1399">
        <v>34</v>
      </c>
      <c r="R72" s="1399">
        <v>37</v>
      </c>
      <c r="S72" s="1798">
        <v>1000</v>
      </c>
      <c r="T72" s="1798">
        <v>1000</v>
      </c>
      <c r="U72" s="1798">
        <v>1000</v>
      </c>
      <c r="V72" s="1399">
        <v>33</v>
      </c>
      <c r="W72" s="1399">
        <v>15</v>
      </c>
      <c r="X72" s="1399">
        <v>20</v>
      </c>
      <c r="Y72" s="1798">
        <v>1000</v>
      </c>
      <c r="Z72" s="1798">
        <v>1000</v>
      </c>
      <c r="AA72" s="1798">
        <v>1000</v>
      </c>
      <c r="AB72" s="1399">
        <v>35</v>
      </c>
      <c r="AC72" s="1399">
        <v>33</v>
      </c>
      <c r="AD72" s="1399">
        <v>27</v>
      </c>
      <c r="AE72" s="1798">
        <v>1000</v>
      </c>
      <c r="AF72" s="1798">
        <v>1000</v>
      </c>
      <c r="AG72" s="1798">
        <v>1000</v>
      </c>
      <c r="AH72" s="1798">
        <f t="shared" si="100"/>
        <v>12000</v>
      </c>
      <c r="AI72" s="1798">
        <v>12000</v>
      </c>
      <c r="AJ72" s="1798"/>
      <c r="AK72" s="1798"/>
      <c r="AL72" s="1798"/>
      <c r="AM72" s="1798"/>
      <c r="AN72" s="1798"/>
      <c r="AO72" s="538" t="s">
        <v>4164</v>
      </c>
      <c r="AP72" s="1379" t="s">
        <v>4165</v>
      </c>
      <c r="AQ72" s="547"/>
    </row>
    <row r="73" spans="1:43" ht="105">
      <c r="A73" s="1401" t="s">
        <v>4170</v>
      </c>
      <c r="B73" s="538" t="s">
        <v>4171</v>
      </c>
      <c r="C73" s="539">
        <f t="shared" si="99"/>
        <v>2</v>
      </c>
      <c r="D73" s="540" t="s">
        <v>52</v>
      </c>
      <c r="E73" s="538" t="s">
        <v>4151</v>
      </c>
      <c r="F73" s="538" t="s">
        <v>4172</v>
      </c>
      <c r="G73" s="541">
        <f t="shared" si="0"/>
        <v>2.5393633054384273</v>
      </c>
      <c r="H73" s="542"/>
      <c r="I73" s="541">
        <f t="shared" si="101"/>
        <v>12.690355329949238</v>
      </c>
      <c r="J73" s="1797"/>
      <c r="K73" s="1797"/>
      <c r="L73" s="1797"/>
      <c r="M73" s="1798"/>
      <c r="N73" s="1798"/>
      <c r="O73" s="1798"/>
      <c r="P73" s="1797"/>
      <c r="Q73" s="1797"/>
      <c r="R73" s="1797">
        <v>1</v>
      </c>
      <c r="S73" s="1798"/>
      <c r="T73" s="1798"/>
      <c r="U73" s="1798">
        <v>50000</v>
      </c>
      <c r="V73" s="1797"/>
      <c r="W73" s="1797"/>
      <c r="X73" s="1797"/>
      <c r="Y73" s="1798"/>
      <c r="Z73" s="1798"/>
      <c r="AA73" s="1798"/>
      <c r="AB73" s="1797"/>
      <c r="AC73" s="1797"/>
      <c r="AD73" s="1797">
        <v>1</v>
      </c>
      <c r="AE73" s="1798"/>
      <c r="AF73" s="1798"/>
      <c r="AG73" s="1798">
        <v>50000</v>
      </c>
      <c r="AH73" s="1798">
        <f t="shared" si="100"/>
        <v>100000</v>
      </c>
      <c r="AI73" s="1798">
        <v>100000</v>
      </c>
      <c r="AJ73" s="1798"/>
      <c r="AK73" s="1798"/>
      <c r="AL73" s="1798"/>
      <c r="AM73" s="1798"/>
      <c r="AN73" s="1798"/>
      <c r="AO73" s="538" t="s">
        <v>4164</v>
      </c>
      <c r="AP73" s="538" t="s">
        <v>4173</v>
      </c>
      <c r="AQ73" s="547"/>
    </row>
    <row r="74" spans="1:43" ht="120">
      <c r="A74" s="1401" t="s">
        <v>4174</v>
      </c>
      <c r="B74" s="538" t="s">
        <v>4175</v>
      </c>
      <c r="C74" s="539">
        <f t="shared" si="99"/>
        <v>12</v>
      </c>
      <c r="D74" s="540" t="s">
        <v>52</v>
      </c>
      <c r="E74" s="538" t="s">
        <v>4151</v>
      </c>
      <c r="F74" s="538" t="s">
        <v>4176</v>
      </c>
      <c r="G74" s="541">
        <f t="shared" si="0"/>
        <v>3.0472359665261131</v>
      </c>
      <c r="H74" s="542"/>
      <c r="I74" s="541">
        <f t="shared" si="101"/>
        <v>15.228426395939088</v>
      </c>
      <c r="J74" s="1797">
        <v>1</v>
      </c>
      <c r="K74" s="1797">
        <v>1</v>
      </c>
      <c r="L74" s="1797">
        <v>1</v>
      </c>
      <c r="M74" s="1798">
        <v>10000</v>
      </c>
      <c r="N74" s="1798">
        <v>10000</v>
      </c>
      <c r="O74" s="1798">
        <v>10000</v>
      </c>
      <c r="P74" s="1797">
        <v>1</v>
      </c>
      <c r="Q74" s="1797">
        <v>1</v>
      </c>
      <c r="R74" s="1797">
        <v>1</v>
      </c>
      <c r="S74" s="1798">
        <v>10000</v>
      </c>
      <c r="T74" s="1798">
        <v>10000</v>
      </c>
      <c r="U74" s="1798">
        <v>10000</v>
      </c>
      <c r="V74" s="1797">
        <v>1</v>
      </c>
      <c r="W74" s="1797">
        <v>1</v>
      </c>
      <c r="X74" s="1797">
        <v>1</v>
      </c>
      <c r="Y74" s="1798">
        <v>10000</v>
      </c>
      <c r="Z74" s="1798">
        <v>10000</v>
      </c>
      <c r="AA74" s="1798">
        <v>10000</v>
      </c>
      <c r="AB74" s="1797">
        <v>1</v>
      </c>
      <c r="AC74" s="1797">
        <v>1</v>
      </c>
      <c r="AD74" s="1797">
        <v>1</v>
      </c>
      <c r="AE74" s="1798">
        <v>10000</v>
      </c>
      <c r="AF74" s="1798">
        <v>10000</v>
      </c>
      <c r="AG74" s="1798">
        <v>10000</v>
      </c>
      <c r="AH74" s="1798">
        <f t="shared" si="100"/>
        <v>120000</v>
      </c>
      <c r="AI74" s="1798">
        <v>120000</v>
      </c>
      <c r="AJ74" s="1798"/>
      <c r="AK74" s="1798"/>
      <c r="AL74" s="1798"/>
      <c r="AM74" s="1798"/>
      <c r="AN74" s="1798"/>
      <c r="AO74" s="538" t="s">
        <v>4164</v>
      </c>
      <c r="AP74" s="538" t="s">
        <v>4173</v>
      </c>
      <c r="AQ74" s="547"/>
    </row>
    <row r="75" spans="1:43" ht="75">
      <c r="A75" s="1401" t="s">
        <v>4177</v>
      </c>
      <c r="B75" s="538" t="s">
        <v>4178</v>
      </c>
      <c r="C75" s="539">
        <f t="shared" si="99"/>
        <v>4</v>
      </c>
      <c r="D75" s="540" t="s">
        <v>52</v>
      </c>
      <c r="E75" s="538" t="s">
        <v>4179</v>
      </c>
      <c r="F75" s="538" t="s">
        <v>4180</v>
      </c>
      <c r="G75" s="541">
        <f t="shared" ref="G75:G78" si="102">AH75/$AH$79*100</f>
        <v>2.5393633054384273</v>
      </c>
      <c r="H75" s="542"/>
      <c r="I75" s="541">
        <f t="shared" si="101"/>
        <v>12.690355329949238</v>
      </c>
      <c r="J75" s="1797"/>
      <c r="K75" s="1797"/>
      <c r="L75" s="1797">
        <v>1</v>
      </c>
      <c r="M75" s="1798"/>
      <c r="N75" s="1798"/>
      <c r="O75" s="1798">
        <v>25000</v>
      </c>
      <c r="P75" s="1797"/>
      <c r="Q75" s="1797"/>
      <c r="R75" s="1797">
        <v>1</v>
      </c>
      <c r="S75" s="1798"/>
      <c r="T75" s="1798"/>
      <c r="U75" s="1798">
        <v>25000</v>
      </c>
      <c r="V75" s="1797"/>
      <c r="W75" s="1797"/>
      <c r="X75" s="1797">
        <v>1</v>
      </c>
      <c r="Y75" s="1798"/>
      <c r="Z75" s="1798"/>
      <c r="AA75" s="1798">
        <v>25000</v>
      </c>
      <c r="AB75" s="1797"/>
      <c r="AC75" s="1797"/>
      <c r="AD75" s="1797">
        <v>1</v>
      </c>
      <c r="AE75" s="1798"/>
      <c r="AF75" s="1798"/>
      <c r="AG75" s="1798">
        <v>25000</v>
      </c>
      <c r="AH75" s="1798">
        <f t="shared" si="100"/>
        <v>100000</v>
      </c>
      <c r="AI75" s="1798">
        <v>100000</v>
      </c>
      <c r="AJ75" s="1798"/>
      <c r="AK75" s="1798"/>
      <c r="AL75" s="1798"/>
      <c r="AM75" s="1798"/>
      <c r="AN75" s="1798"/>
      <c r="AO75" s="538" t="s">
        <v>4164</v>
      </c>
      <c r="AP75" s="538" t="s">
        <v>4173</v>
      </c>
      <c r="AQ75" s="547"/>
    </row>
    <row r="76" spans="1:43" ht="90">
      <c r="A76" s="1401" t="s">
        <v>4181</v>
      </c>
      <c r="B76" s="538" t="s">
        <v>4182</v>
      </c>
      <c r="C76" s="539">
        <f t="shared" si="99"/>
        <v>12</v>
      </c>
      <c r="D76" s="540" t="s">
        <v>309</v>
      </c>
      <c r="E76" s="538" t="s">
        <v>4183</v>
      </c>
      <c r="F76" s="538" t="s">
        <v>4124</v>
      </c>
      <c r="G76" s="541">
        <f t="shared" si="102"/>
        <v>4.5708539497891696</v>
      </c>
      <c r="H76" s="542"/>
      <c r="I76" s="541">
        <f t="shared" si="101"/>
        <v>22.842639593908629</v>
      </c>
      <c r="J76" s="1797">
        <v>1</v>
      </c>
      <c r="K76" s="1797">
        <v>1</v>
      </c>
      <c r="L76" s="1797">
        <v>1</v>
      </c>
      <c r="M76" s="1798">
        <v>15000</v>
      </c>
      <c r="N76" s="1798">
        <v>15000</v>
      </c>
      <c r="O76" s="1798">
        <v>15000</v>
      </c>
      <c r="P76" s="1797">
        <v>1</v>
      </c>
      <c r="Q76" s="1797">
        <v>1</v>
      </c>
      <c r="R76" s="1797">
        <v>1</v>
      </c>
      <c r="S76" s="1798">
        <v>15000</v>
      </c>
      <c r="T76" s="1798">
        <v>15000</v>
      </c>
      <c r="U76" s="1798">
        <v>15000</v>
      </c>
      <c r="V76" s="1797">
        <v>1</v>
      </c>
      <c r="W76" s="1797">
        <v>1</v>
      </c>
      <c r="X76" s="1797">
        <v>1</v>
      </c>
      <c r="Y76" s="1798">
        <v>15000</v>
      </c>
      <c r="Z76" s="1798">
        <v>15000</v>
      </c>
      <c r="AA76" s="1798">
        <v>15000</v>
      </c>
      <c r="AB76" s="1797">
        <v>1</v>
      </c>
      <c r="AC76" s="1797">
        <v>1</v>
      </c>
      <c r="AD76" s="1797">
        <v>1</v>
      </c>
      <c r="AE76" s="1798">
        <v>15000</v>
      </c>
      <c r="AF76" s="1798">
        <v>15000</v>
      </c>
      <c r="AG76" s="1798">
        <v>15000</v>
      </c>
      <c r="AH76" s="1798">
        <f t="shared" si="100"/>
        <v>180000</v>
      </c>
      <c r="AI76" s="1798">
        <v>180000</v>
      </c>
      <c r="AJ76" s="1798"/>
      <c r="AK76" s="1798"/>
      <c r="AL76" s="1798"/>
      <c r="AM76" s="1798"/>
      <c r="AN76" s="1798"/>
      <c r="AO76" s="538" t="s">
        <v>4164</v>
      </c>
      <c r="AP76" s="538" t="s">
        <v>4173</v>
      </c>
      <c r="AQ76" s="547"/>
    </row>
    <row r="77" spans="1:43" ht="90">
      <c r="A77" s="1401" t="s">
        <v>4184</v>
      </c>
      <c r="B77" s="538" t="s">
        <v>4185</v>
      </c>
      <c r="C77" s="539">
        <f t="shared" si="99"/>
        <v>12</v>
      </c>
      <c r="D77" s="540" t="s">
        <v>309</v>
      </c>
      <c r="E77" s="538" t="s">
        <v>4186</v>
      </c>
      <c r="F77" s="538" t="s">
        <v>4187</v>
      </c>
      <c r="G77" s="541">
        <f t="shared" si="102"/>
        <v>3.0472359665261131</v>
      </c>
      <c r="H77" s="542"/>
      <c r="I77" s="541">
        <f t="shared" si="101"/>
        <v>15.228426395939088</v>
      </c>
      <c r="J77" s="1797">
        <v>1</v>
      </c>
      <c r="K77" s="1797">
        <v>1</v>
      </c>
      <c r="L77" s="1797">
        <v>1</v>
      </c>
      <c r="M77" s="1798">
        <v>10000</v>
      </c>
      <c r="N77" s="1798">
        <v>10000</v>
      </c>
      <c r="O77" s="1798">
        <v>10000</v>
      </c>
      <c r="P77" s="1797">
        <v>1</v>
      </c>
      <c r="Q77" s="1797">
        <v>1</v>
      </c>
      <c r="R77" s="1797">
        <v>1</v>
      </c>
      <c r="S77" s="1798">
        <v>10000</v>
      </c>
      <c r="T77" s="1798">
        <v>10000</v>
      </c>
      <c r="U77" s="1798">
        <v>10000</v>
      </c>
      <c r="V77" s="1797">
        <v>1</v>
      </c>
      <c r="W77" s="1797">
        <v>1</v>
      </c>
      <c r="X77" s="1797">
        <v>1</v>
      </c>
      <c r="Y77" s="1798">
        <v>10000</v>
      </c>
      <c r="Z77" s="1798">
        <v>10000</v>
      </c>
      <c r="AA77" s="1798">
        <v>10000</v>
      </c>
      <c r="AB77" s="1797">
        <v>1</v>
      </c>
      <c r="AC77" s="1797">
        <v>1</v>
      </c>
      <c r="AD77" s="1797">
        <v>1</v>
      </c>
      <c r="AE77" s="1798">
        <v>10000</v>
      </c>
      <c r="AF77" s="1798">
        <v>10000</v>
      </c>
      <c r="AG77" s="1798">
        <v>10000</v>
      </c>
      <c r="AH77" s="1798">
        <f t="shared" si="100"/>
        <v>120000</v>
      </c>
      <c r="AI77" s="1798">
        <v>120000</v>
      </c>
      <c r="AJ77" s="1798"/>
      <c r="AK77" s="1798"/>
      <c r="AL77" s="1798"/>
      <c r="AM77" s="1798"/>
      <c r="AN77" s="1798"/>
      <c r="AO77" s="538" t="s">
        <v>4164</v>
      </c>
      <c r="AP77" s="538" t="s">
        <v>4173</v>
      </c>
      <c r="AQ77" s="547"/>
    </row>
    <row r="78" spans="1:43" ht="105">
      <c r="A78" s="1401" t="s">
        <v>4188</v>
      </c>
      <c r="B78" s="538" t="s">
        <v>4189</v>
      </c>
      <c r="C78" s="539">
        <f t="shared" si="99"/>
        <v>12</v>
      </c>
      <c r="D78" s="540" t="s">
        <v>52</v>
      </c>
      <c r="E78" s="538" t="s">
        <v>4190</v>
      </c>
      <c r="F78" s="538" t="s">
        <v>4191</v>
      </c>
      <c r="G78" s="541">
        <f t="shared" si="102"/>
        <v>3.0472359665261131</v>
      </c>
      <c r="H78" s="542"/>
      <c r="I78" s="541">
        <f t="shared" si="101"/>
        <v>15.228426395939088</v>
      </c>
      <c r="J78" s="1797">
        <v>1</v>
      </c>
      <c r="K78" s="1797">
        <v>1</v>
      </c>
      <c r="L78" s="1797">
        <v>1</v>
      </c>
      <c r="M78" s="1798">
        <v>10000</v>
      </c>
      <c r="N78" s="1798">
        <v>10000</v>
      </c>
      <c r="O78" s="1798">
        <v>10000</v>
      </c>
      <c r="P78" s="1797">
        <v>1</v>
      </c>
      <c r="Q78" s="1797">
        <v>1</v>
      </c>
      <c r="R78" s="1797">
        <v>1</v>
      </c>
      <c r="S78" s="1798">
        <v>10000</v>
      </c>
      <c r="T78" s="1798">
        <v>10000</v>
      </c>
      <c r="U78" s="1798">
        <v>10000</v>
      </c>
      <c r="V78" s="1797">
        <v>1</v>
      </c>
      <c r="W78" s="1797">
        <v>1</v>
      </c>
      <c r="X78" s="1797">
        <v>1</v>
      </c>
      <c r="Y78" s="1798">
        <v>10000</v>
      </c>
      <c r="Z78" s="1798">
        <v>10000</v>
      </c>
      <c r="AA78" s="1798">
        <v>10000</v>
      </c>
      <c r="AB78" s="1797">
        <v>1</v>
      </c>
      <c r="AC78" s="1797">
        <v>1</v>
      </c>
      <c r="AD78" s="1797">
        <v>1</v>
      </c>
      <c r="AE78" s="1798">
        <v>10000</v>
      </c>
      <c r="AF78" s="1798">
        <v>10000</v>
      </c>
      <c r="AG78" s="1798">
        <v>10000</v>
      </c>
      <c r="AH78" s="1798">
        <f>SUM(M78,N78,O78,S78,T78,U78,Y78,Z78,AA78,AE78,AF78,AG78)</f>
        <v>120000</v>
      </c>
      <c r="AI78" s="1798">
        <v>120000</v>
      </c>
      <c r="AJ78" s="1798"/>
      <c r="AK78" s="1798"/>
      <c r="AL78" s="1798"/>
      <c r="AM78" s="1798"/>
      <c r="AN78" s="1798"/>
      <c r="AO78" s="538" t="s">
        <v>4164</v>
      </c>
      <c r="AP78" s="538" t="s">
        <v>4173</v>
      </c>
      <c r="AQ78" s="547"/>
    </row>
    <row r="79" spans="1:43" ht="15">
      <c r="A79" s="1411"/>
      <c r="B79" s="1412" t="s">
        <v>1728</v>
      </c>
      <c r="C79" s="1412"/>
      <c r="D79" s="1800"/>
      <c r="E79" s="1411"/>
      <c r="F79" s="1411"/>
      <c r="G79" s="1414"/>
      <c r="H79" s="1414"/>
      <c r="I79" s="1414"/>
      <c r="J79" s="1416"/>
      <c r="K79" s="1416"/>
      <c r="L79" s="1416"/>
      <c r="M79" s="1415">
        <f>SUM(M11+M24)</f>
        <v>250145</v>
      </c>
      <c r="N79" s="1415">
        <f t="shared" ref="N79:O79" si="103">SUM(N11+N24)</f>
        <v>272875</v>
      </c>
      <c r="O79" s="1415">
        <f t="shared" si="103"/>
        <v>527145</v>
      </c>
      <c r="P79" s="1416"/>
      <c r="Q79" s="1416"/>
      <c r="R79" s="1416"/>
      <c r="S79" s="1415">
        <f t="shared" ref="S79:U79" si="104">SUM(S11+S24)</f>
        <v>216665</v>
      </c>
      <c r="T79" s="1415">
        <f t="shared" si="104"/>
        <v>213165</v>
      </c>
      <c r="U79" s="1415">
        <f t="shared" si="104"/>
        <v>539667.5</v>
      </c>
      <c r="V79" s="1416"/>
      <c r="W79" s="1416"/>
      <c r="X79" s="1416"/>
      <c r="Y79" s="1415">
        <f t="shared" ref="Y79:AA79" si="105">SUM(Y11+Y24)</f>
        <v>211145</v>
      </c>
      <c r="Z79" s="1415">
        <f t="shared" si="105"/>
        <v>221145</v>
      </c>
      <c r="AA79" s="1415">
        <f t="shared" si="105"/>
        <v>399145</v>
      </c>
      <c r="AB79" s="1416"/>
      <c r="AC79" s="1416"/>
      <c r="AD79" s="1416"/>
      <c r="AE79" s="1415">
        <f t="shared" ref="AE79:AI79" si="106">SUM(AE11+AE24)</f>
        <v>221145</v>
      </c>
      <c r="AF79" s="1415">
        <f t="shared" si="106"/>
        <v>208145</v>
      </c>
      <c r="AG79" s="1415">
        <f t="shared" si="106"/>
        <v>657607.5</v>
      </c>
      <c r="AH79" s="1415">
        <f t="shared" si="106"/>
        <v>3937995</v>
      </c>
      <c r="AI79" s="1415">
        <f t="shared" si="106"/>
        <v>3937995</v>
      </c>
      <c r="AJ79" s="1416"/>
      <c r="AK79" s="1416"/>
      <c r="AL79" s="1415">
        <f t="shared" ref="AL79" si="107">SUM(AL11+AL24)</f>
        <v>0</v>
      </c>
      <c r="AM79" s="1416"/>
      <c r="AN79" s="1416"/>
      <c r="AO79" s="1411"/>
      <c r="AP79" s="1411"/>
      <c r="AQ79" s="1411"/>
    </row>
  </sheetData>
  <sheetProtection algorithmName="SHA-512" hashValue="nudaciUCvHNAJkEBpIOvg7rqq6pxMO+xRZZfUsOl9Gs/PASHI+oMvizKnle/GUbDLvmuhO3gZnG5QbP5H+q46A==" saltValue="akl04fKyzwAjfOgcU4NCpQ==" spinCount="100000" sheet="1" objects="1" scenarios="1"/>
  <mergeCells count="70">
    <mergeCell ref="A69:A70"/>
    <mergeCell ref="B69:B70"/>
    <mergeCell ref="E69:E70"/>
    <mergeCell ref="F69:F70"/>
    <mergeCell ref="A71:A72"/>
    <mergeCell ref="B71:B72"/>
    <mergeCell ref="E71:E72"/>
    <mergeCell ref="F71:F72"/>
    <mergeCell ref="A47:A48"/>
    <mergeCell ref="B47:B48"/>
    <mergeCell ref="E47:E48"/>
    <mergeCell ref="F47:F48"/>
    <mergeCell ref="A49:A50"/>
    <mergeCell ref="B49:B50"/>
    <mergeCell ref="E49:E50"/>
    <mergeCell ref="F49:F50"/>
    <mergeCell ref="AP20:AP21"/>
    <mergeCell ref="A17:A18"/>
    <mergeCell ref="B17:B18"/>
    <mergeCell ref="E17:E18"/>
    <mergeCell ref="F17:F18"/>
    <mergeCell ref="AO17:AO18"/>
    <mergeCell ref="AP17:AP18"/>
    <mergeCell ref="A20:A21"/>
    <mergeCell ref="B20:B21"/>
    <mergeCell ref="E20:E21"/>
    <mergeCell ref="F20:F21"/>
    <mergeCell ref="AO20:AO21"/>
    <mergeCell ref="A15:A16"/>
    <mergeCell ref="B15:B16"/>
    <mergeCell ref="E15:E16"/>
    <mergeCell ref="F15:F16"/>
    <mergeCell ref="AO15:AO16"/>
    <mergeCell ref="AP15:AP16"/>
    <mergeCell ref="AM8:AM10"/>
    <mergeCell ref="AN8:AN10"/>
    <mergeCell ref="J9:L9"/>
    <mergeCell ref="M9:O9"/>
    <mergeCell ref="P9:R9"/>
    <mergeCell ref="S9:U9"/>
    <mergeCell ref="V9:X9"/>
    <mergeCell ref="Y9:AA9"/>
    <mergeCell ref="AB9:AD9"/>
    <mergeCell ref="AE9:AG9"/>
    <mergeCell ref="AH8:AH10"/>
    <mergeCell ref="AK8:AK10"/>
    <mergeCell ref="AL8:AL10"/>
    <mergeCell ref="A8:A10"/>
    <mergeCell ref="J8:O8"/>
    <mergeCell ref="P8:U8"/>
    <mergeCell ref="V8:AA8"/>
    <mergeCell ref="AB8:AG8"/>
    <mergeCell ref="I7:I10"/>
    <mergeCell ref="J7:AH7"/>
    <mergeCell ref="A1:AQ1"/>
    <mergeCell ref="A2:AQ2"/>
    <mergeCell ref="A3:AQ3"/>
    <mergeCell ref="B7:B10"/>
    <mergeCell ref="C7:C10"/>
    <mergeCell ref="D7:D10"/>
    <mergeCell ref="E7:E10"/>
    <mergeCell ref="F7:F10"/>
    <mergeCell ref="G7:G10"/>
    <mergeCell ref="H7:H10"/>
    <mergeCell ref="AI7:AN7"/>
    <mergeCell ref="AO7:AO10"/>
    <mergeCell ref="AP7:AP10"/>
    <mergeCell ref="AQ7:AQ10"/>
    <mergeCell ref="AI8:AI10"/>
    <mergeCell ref="AJ8:AJ10"/>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7"/>
  <sheetViews>
    <sheetView topLeftCell="V25" workbookViewId="0">
      <selection activeCell="AJ26" sqref="AJ26"/>
    </sheetView>
  </sheetViews>
  <sheetFormatPr baseColWidth="10" defaultRowHeight="14.4"/>
  <cols>
    <col min="1" max="1" width="18.44140625" bestFit="1" customWidth="1"/>
    <col min="2" max="2" width="22.109375" customWidth="1"/>
    <col min="3" max="3" width="8.33203125" bestFit="1" customWidth="1"/>
    <col min="4" max="4" width="17.88671875" customWidth="1"/>
    <col min="5" max="6" width="17.6640625" customWidth="1"/>
    <col min="7" max="7" width="9.44140625" customWidth="1"/>
    <col min="8" max="8" width="8.6640625" customWidth="1"/>
    <col min="9" max="9" width="9.109375" customWidth="1"/>
    <col min="10" max="11" width="3.6640625" bestFit="1" customWidth="1"/>
    <col min="12" max="12" width="4.109375" bestFit="1" customWidth="1"/>
    <col min="13" max="15" width="11.44140625" bestFit="1" customWidth="1"/>
    <col min="16" max="16" width="3.88671875" bestFit="1" customWidth="1"/>
    <col min="17" max="17" width="4.109375" bestFit="1" customWidth="1"/>
    <col min="18" max="18" width="3.88671875" bestFit="1" customWidth="1"/>
    <col min="19" max="21" width="11.44140625" bestFit="1" customWidth="1"/>
    <col min="22" max="24" width="3.88671875" bestFit="1" customWidth="1"/>
    <col min="25" max="27" width="11.44140625" bestFit="1" customWidth="1"/>
    <col min="28" max="28" width="4.109375" bestFit="1" customWidth="1"/>
    <col min="29" max="30" width="3.88671875" bestFit="1" customWidth="1"/>
    <col min="31" max="33" width="11.44140625" bestFit="1" customWidth="1"/>
    <col min="34" max="34" width="16.6640625" bestFit="1" customWidth="1"/>
    <col min="35" max="35" width="15.6640625" customWidth="1"/>
    <col min="36" max="36" width="12.33203125" customWidth="1"/>
    <col min="37" max="38" width="7.6640625" customWidth="1"/>
    <col min="39" max="39" width="10.6640625" customWidth="1"/>
    <col min="40" max="40" width="9.88671875" customWidth="1"/>
    <col min="41" max="41" width="17.88671875" customWidth="1"/>
    <col min="42" max="42" width="19.5546875" customWidth="1"/>
    <col min="43" max="43" width="18.6640625" customWidth="1"/>
  </cols>
  <sheetData>
    <row r="1" spans="1:43" ht="17.399999999999999">
      <c r="A1" s="2143" t="s">
        <v>0</v>
      </c>
      <c r="B1" s="2143"/>
      <c r="C1" s="2143"/>
      <c r="D1" s="2143"/>
      <c r="E1" s="2143"/>
      <c r="F1" s="2143"/>
      <c r="G1" s="2143"/>
      <c r="H1" s="2143"/>
      <c r="I1" s="2143"/>
      <c r="J1" s="2143"/>
      <c r="K1" s="2143"/>
      <c r="L1" s="2143"/>
      <c r="M1" s="2143"/>
      <c r="N1" s="2143"/>
      <c r="O1" s="2143"/>
      <c r="P1" s="2143"/>
      <c r="Q1" s="2143"/>
      <c r="R1" s="2143"/>
      <c r="S1" s="2143"/>
      <c r="T1" s="2143"/>
      <c r="U1" s="2143"/>
      <c r="V1" s="2143"/>
      <c r="W1" s="2143"/>
      <c r="X1" s="2143"/>
      <c r="Y1" s="2143"/>
      <c r="Z1" s="2143"/>
      <c r="AA1" s="2143"/>
      <c r="AB1" s="2143"/>
      <c r="AC1" s="2143"/>
      <c r="AD1" s="2143"/>
      <c r="AE1" s="2143"/>
      <c r="AF1" s="2143"/>
      <c r="AG1" s="2143"/>
      <c r="AH1" s="2143"/>
      <c r="AI1" s="2143"/>
      <c r="AJ1" s="2143"/>
      <c r="AK1" s="2143"/>
      <c r="AL1" s="2143"/>
      <c r="AM1" s="2143"/>
      <c r="AN1" s="2143"/>
      <c r="AO1" s="2143"/>
      <c r="AP1" s="2143"/>
      <c r="AQ1" s="2143"/>
    </row>
    <row r="2" spans="1:43" ht="17.399999999999999">
      <c r="A2" s="2220" t="s">
        <v>4192</v>
      </c>
      <c r="B2" s="2220"/>
      <c r="C2" s="2220"/>
      <c r="D2" s="2220"/>
      <c r="E2" s="2220"/>
      <c r="F2" s="2220"/>
      <c r="G2" s="2220"/>
      <c r="H2" s="2220"/>
      <c r="I2" s="2220"/>
      <c r="J2" s="2220"/>
      <c r="K2" s="2220"/>
      <c r="L2" s="2220"/>
      <c r="M2" s="2220"/>
      <c r="N2" s="2220"/>
      <c r="O2" s="2220"/>
      <c r="P2" s="2220"/>
      <c r="Q2" s="2220"/>
      <c r="R2" s="2220"/>
      <c r="S2" s="2220"/>
      <c r="T2" s="2220"/>
      <c r="U2" s="2220"/>
      <c r="V2" s="2220"/>
      <c r="W2" s="2220"/>
      <c r="X2" s="2220"/>
      <c r="Y2" s="2220"/>
      <c r="Z2" s="2220"/>
      <c r="AA2" s="2220"/>
      <c r="AB2" s="2220"/>
      <c r="AC2" s="2220"/>
      <c r="AD2" s="2220"/>
      <c r="AE2" s="2220"/>
      <c r="AF2" s="2220"/>
      <c r="AG2" s="2220"/>
      <c r="AH2" s="2220"/>
      <c r="AI2" s="2220"/>
      <c r="AJ2" s="2220"/>
      <c r="AK2" s="2220"/>
      <c r="AL2" s="2220"/>
      <c r="AM2" s="2220"/>
      <c r="AN2" s="2220"/>
      <c r="AO2" s="2220"/>
      <c r="AP2" s="2220"/>
      <c r="AQ2" s="2220"/>
    </row>
    <row r="3" spans="1:43" ht="17.399999999999999">
      <c r="A3" s="1417"/>
      <c r="B3" s="1417"/>
      <c r="C3" s="1801"/>
      <c r="D3" s="1417"/>
      <c r="E3" s="1417"/>
      <c r="F3" s="1417"/>
      <c r="G3" s="1417"/>
      <c r="H3" s="1417"/>
      <c r="I3" s="1419"/>
      <c r="J3" s="1417"/>
      <c r="K3" s="1417"/>
      <c r="L3" s="1417"/>
      <c r="M3" s="1417"/>
      <c r="N3" s="1417"/>
      <c r="O3" s="1417"/>
      <c r="P3" s="1417"/>
      <c r="Q3" s="1417"/>
      <c r="R3" s="1417"/>
      <c r="S3" s="1417"/>
      <c r="T3" s="1417"/>
      <c r="U3" s="1417"/>
      <c r="V3" s="1417"/>
      <c r="W3" s="1419"/>
      <c r="X3" s="1419"/>
      <c r="Y3" s="1417"/>
      <c r="Z3" s="1417"/>
      <c r="AA3" s="1417"/>
      <c r="AB3" s="1417"/>
      <c r="AC3" s="1417"/>
      <c r="AD3" s="1417"/>
      <c r="AE3" s="1417"/>
      <c r="AF3" s="1417"/>
      <c r="AG3" s="1417"/>
      <c r="AH3" s="1420"/>
      <c r="AI3" s="1420"/>
      <c r="AJ3" s="1417"/>
      <c r="AK3" s="1417"/>
      <c r="AL3" s="1417"/>
      <c r="AM3" s="1417"/>
      <c r="AN3" s="1417"/>
      <c r="AO3" s="1417"/>
      <c r="AP3" s="1417"/>
      <c r="AQ3" s="1417"/>
    </row>
    <row r="4" spans="1:43" ht="17.399999999999999">
      <c r="A4" s="83"/>
      <c r="B4" s="1421" t="s">
        <v>1390</v>
      </c>
      <c r="C4" s="87"/>
      <c r="D4" s="87"/>
      <c r="E4" s="87"/>
      <c r="F4" s="87"/>
      <c r="G4" s="87"/>
      <c r="H4" s="87"/>
      <c r="I4" s="1422"/>
      <c r="J4" s="87"/>
      <c r="K4" s="87"/>
      <c r="L4" s="87"/>
      <c r="M4" s="87"/>
      <c r="N4" s="87"/>
      <c r="O4" s="87"/>
      <c r="P4" s="87"/>
      <c r="Q4" s="87"/>
      <c r="R4" s="87"/>
      <c r="S4" s="87"/>
      <c r="T4" s="87"/>
      <c r="U4" s="87"/>
      <c r="V4" s="87"/>
      <c r="W4" s="1422"/>
      <c r="X4" s="1422"/>
      <c r="Y4" s="87"/>
      <c r="Z4" s="87"/>
      <c r="AA4" s="1422"/>
      <c r="AB4" s="1423"/>
      <c r="AC4" s="87"/>
      <c r="AD4" s="87"/>
      <c r="AE4" s="87"/>
      <c r="AF4" s="1424"/>
      <c r="AG4" s="87"/>
      <c r="AH4" s="1425"/>
      <c r="AI4" s="1425"/>
      <c r="AJ4" s="87"/>
      <c r="AK4" s="87"/>
      <c r="AL4" s="87"/>
      <c r="AM4" s="87"/>
      <c r="AN4" s="87"/>
      <c r="AO4" s="1418"/>
      <c r="AP4" s="87"/>
      <c r="AQ4" s="87"/>
    </row>
    <row r="5" spans="1:43" ht="17.399999999999999">
      <c r="A5" s="83"/>
      <c r="B5" s="1422" t="s">
        <v>4193</v>
      </c>
      <c r="C5" s="87"/>
      <c r="D5" s="87"/>
      <c r="E5" s="87"/>
      <c r="F5" s="87"/>
      <c r="G5" s="87"/>
      <c r="H5" s="87"/>
      <c r="I5" s="1426"/>
      <c r="J5" s="87"/>
      <c r="K5" s="87"/>
      <c r="L5" s="87"/>
      <c r="M5" s="87"/>
      <c r="N5" s="87"/>
      <c r="O5" s="87"/>
      <c r="P5" s="87"/>
      <c r="Q5" s="87"/>
      <c r="R5" s="87"/>
      <c r="S5" s="87"/>
      <c r="T5" s="87"/>
      <c r="U5" s="87"/>
      <c r="V5" s="87"/>
      <c r="W5" s="1427"/>
      <c r="X5" s="1422"/>
      <c r="Y5" s="87"/>
      <c r="Z5" s="87"/>
      <c r="AA5" s="1428"/>
      <c r="AB5" s="1428"/>
      <c r="AC5" s="87"/>
      <c r="AD5" s="87"/>
      <c r="AE5" s="1429"/>
      <c r="AF5" s="1430"/>
      <c r="AG5" s="87"/>
      <c r="AH5" s="1425"/>
      <c r="AI5" s="1431"/>
      <c r="AJ5" s="87"/>
      <c r="AK5" s="87"/>
      <c r="AL5" s="87"/>
      <c r="AM5" s="87"/>
      <c r="AN5" s="87"/>
      <c r="AO5" s="1432"/>
      <c r="AP5" s="87"/>
      <c r="AQ5" s="87"/>
    </row>
    <row r="6" spans="1:43" ht="17.399999999999999">
      <c r="A6" s="83"/>
      <c r="B6" s="87" t="s">
        <v>3403</v>
      </c>
      <c r="C6" s="1433"/>
      <c r="D6" s="87"/>
      <c r="E6" s="83"/>
      <c r="F6" s="83"/>
      <c r="G6" s="83"/>
      <c r="H6" s="83"/>
      <c r="I6" s="1434"/>
      <c r="J6" s="92"/>
      <c r="K6" s="92"/>
      <c r="L6" s="92"/>
      <c r="M6" s="92"/>
      <c r="N6" s="1802"/>
      <c r="O6" s="92"/>
      <c r="P6" s="92"/>
      <c r="Q6" s="92"/>
      <c r="R6" s="92"/>
      <c r="S6" s="92"/>
      <c r="T6" s="92"/>
      <c r="U6" s="92"/>
      <c r="V6" s="92"/>
      <c r="W6" s="1435"/>
      <c r="X6" s="1435"/>
      <c r="Y6" s="92"/>
      <c r="Z6" s="92"/>
      <c r="AA6" s="92"/>
      <c r="AB6" s="92"/>
      <c r="AC6" s="92"/>
      <c r="AD6" s="92"/>
      <c r="AE6" s="92"/>
      <c r="AF6" s="92"/>
      <c r="AG6" s="92"/>
      <c r="AH6" s="1436"/>
      <c r="AI6" s="1437"/>
      <c r="AJ6" s="92"/>
      <c r="AK6" s="92"/>
      <c r="AL6" s="92"/>
      <c r="AM6" s="92"/>
      <c r="AN6" s="92"/>
      <c r="AO6" s="1417"/>
      <c r="AP6" s="92"/>
      <c r="AQ6" s="92"/>
    </row>
    <row r="7" spans="1:43" ht="15.6">
      <c r="A7" s="2106" t="s">
        <v>5</v>
      </c>
      <c r="B7" s="2109" t="s">
        <v>6</v>
      </c>
      <c r="C7" s="2109" t="s">
        <v>7</v>
      </c>
      <c r="D7" s="2109" t="s">
        <v>8</v>
      </c>
      <c r="E7" s="2109" t="s">
        <v>9</v>
      </c>
      <c r="F7" s="2111" t="s">
        <v>10</v>
      </c>
      <c r="G7" s="2114" t="s">
        <v>11</v>
      </c>
      <c r="H7" s="2115" t="s">
        <v>12</v>
      </c>
      <c r="I7" s="2115" t="s">
        <v>13</v>
      </c>
      <c r="J7" s="2120" t="s">
        <v>14</v>
      </c>
      <c r="K7" s="2121"/>
      <c r="L7" s="2121"/>
      <c r="M7" s="2121"/>
      <c r="N7" s="2121"/>
      <c r="O7" s="2121"/>
      <c r="P7" s="2121"/>
      <c r="Q7" s="2121"/>
      <c r="R7" s="2121"/>
      <c r="S7" s="2121"/>
      <c r="T7" s="2121"/>
      <c r="U7" s="2121"/>
      <c r="V7" s="2121"/>
      <c r="W7" s="2121"/>
      <c r="X7" s="2121"/>
      <c r="Y7" s="2121"/>
      <c r="Z7" s="2121"/>
      <c r="AA7" s="2121"/>
      <c r="AB7" s="2121"/>
      <c r="AC7" s="2121"/>
      <c r="AD7" s="2121"/>
      <c r="AE7" s="2121"/>
      <c r="AF7" s="2121"/>
      <c r="AG7" s="2121"/>
      <c r="AH7" s="2122"/>
      <c r="AI7" s="2119" t="s">
        <v>15</v>
      </c>
      <c r="AJ7" s="2119"/>
      <c r="AK7" s="2119"/>
      <c r="AL7" s="2119"/>
      <c r="AM7" s="2119"/>
      <c r="AN7" s="2119"/>
      <c r="AO7" s="2119" t="s">
        <v>16</v>
      </c>
      <c r="AP7" s="2119" t="s">
        <v>17</v>
      </c>
      <c r="AQ7" s="2119" t="s">
        <v>18</v>
      </c>
    </row>
    <row r="8" spans="1:43" ht="15.6">
      <c r="A8" s="2107"/>
      <c r="B8" s="2109"/>
      <c r="C8" s="2109"/>
      <c r="D8" s="2109"/>
      <c r="E8" s="2109"/>
      <c r="F8" s="2112"/>
      <c r="G8" s="2114"/>
      <c r="H8" s="2116"/>
      <c r="I8" s="2116"/>
      <c r="J8" s="2109" t="s">
        <v>19</v>
      </c>
      <c r="K8" s="2109"/>
      <c r="L8" s="2109"/>
      <c r="M8" s="2109"/>
      <c r="N8" s="2109"/>
      <c r="O8" s="2109"/>
      <c r="P8" s="2109" t="s">
        <v>20</v>
      </c>
      <c r="Q8" s="2109"/>
      <c r="R8" s="2109"/>
      <c r="S8" s="2109"/>
      <c r="T8" s="2109"/>
      <c r="U8" s="2109"/>
      <c r="V8" s="2109" t="s">
        <v>21</v>
      </c>
      <c r="W8" s="2109"/>
      <c r="X8" s="2109"/>
      <c r="Y8" s="2109"/>
      <c r="Z8" s="2109"/>
      <c r="AA8" s="2109"/>
      <c r="AB8" s="2109" t="s">
        <v>22</v>
      </c>
      <c r="AC8" s="2109"/>
      <c r="AD8" s="2109"/>
      <c r="AE8" s="2109"/>
      <c r="AF8" s="2109"/>
      <c r="AG8" s="2109"/>
      <c r="AH8" s="2109" t="s">
        <v>23</v>
      </c>
      <c r="AI8" s="1957" t="s">
        <v>24</v>
      </c>
      <c r="AJ8" s="1954" t="s">
        <v>25</v>
      </c>
      <c r="AK8" s="1954" t="s">
        <v>916</v>
      </c>
      <c r="AL8" s="2044" t="s">
        <v>27</v>
      </c>
      <c r="AM8" s="1954" t="s">
        <v>28</v>
      </c>
      <c r="AN8" s="1954" t="s">
        <v>29</v>
      </c>
      <c r="AO8" s="2119"/>
      <c r="AP8" s="2119"/>
      <c r="AQ8" s="2119"/>
    </row>
    <row r="9" spans="1:43" ht="15.6">
      <c r="A9" s="2107"/>
      <c r="B9" s="2109"/>
      <c r="C9" s="2109"/>
      <c r="D9" s="2109"/>
      <c r="E9" s="2109"/>
      <c r="F9" s="2112"/>
      <c r="G9" s="2114"/>
      <c r="H9" s="2116"/>
      <c r="I9" s="2116"/>
      <c r="J9" s="2109" t="s">
        <v>30</v>
      </c>
      <c r="K9" s="2109"/>
      <c r="L9" s="2109"/>
      <c r="M9" s="2109" t="s">
        <v>31</v>
      </c>
      <c r="N9" s="2109"/>
      <c r="O9" s="2109"/>
      <c r="P9" s="2109" t="s">
        <v>30</v>
      </c>
      <c r="Q9" s="2109"/>
      <c r="R9" s="2109"/>
      <c r="S9" s="2109" t="s">
        <v>31</v>
      </c>
      <c r="T9" s="2109"/>
      <c r="U9" s="2109"/>
      <c r="V9" s="2109" t="s">
        <v>30</v>
      </c>
      <c r="W9" s="2109"/>
      <c r="X9" s="2109"/>
      <c r="Y9" s="2109" t="s">
        <v>31</v>
      </c>
      <c r="Z9" s="2109"/>
      <c r="AA9" s="2109"/>
      <c r="AB9" s="2109" t="s">
        <v>30</v>
      </c>
      <c r="AC9" s="2109"/>
      <c r="AD9" s="2109"/>
      <c r="AE9" s="2109" t="s">
        <v>31</v>
      </c>
      <c r="AF9" s="2109"/>
      <c r="AG9" s="2109"/>
      <c r="AH9" s="2109"/>
      <c r="AI9" s="1957"/>
      <c r="AJ9" s="1955"/>
      <c r="AK9" s="1955"/>
      <c r="AL9" s="2044"/>
      <c r="AM9" s="1955"/>
      <c r="AN9" s="1955"/>
      <c r="AO9" s="2119"/>
      <c r="AP9" s="2119"/>
      <c r="AQ9" s="2119"/>
    </row>
    <row r="10" spans="1:43" ht="15.6">
      <c r="A10" s="2108"/>
      <c r="B10" s="2109"/>
      <c r="C10" s="2109"/>
      <c r="D10" s="2109"/>
      <c r="E10" s="2109"/>
      <c r="F10" s="2113"/>
      <c r="G10" s="2114"/>
      <c r="H10" s="2117"/>
      <c r="I10" s="2117"/>
      <c r="J10" s="1107" t="s">
        <v>32</v>
      </c>
      <c r="K10" s="1107" t="s">
        <v>33</v>
      </c>
      <c r="L10" s="1107" t="s">
        <v>34</v>
      </c>
      <c r="M10" s="1107" t="s">
        <v>32</v>
      </c>
      <c r="N10" s="1107" t="s">
        <v>33</v>
      </c>
      <c r="O10" s="1107" t="s">
        <v>34</v>
      </c>
      <c r="P10" s="1107" t="s">
        <v>35</v>
      </c>
      <c r="Q10" s="1108" t="s">
        <v>34</v>
      </c>
      <c r="R10" s="1107" t="s">
        <v>36</v>
      </c>
      <c r="S10" s="1107" t="s">
        <v>35</v>
      </c>
      <c r="T10" s="1107" t="s">
        <v>34</v>
      </c>
      <c r="U10" s="1107" t="s">
        <v>36</v>
      </c>
      <c r="V10" s="1107" t="s">
        <v>36</v>
      </c>
      <c r="W10" s="1107" t="s">
        <v>35</v>
      </c>
      <c r="X10" s="1107" t="s">
        <v>37</v>
      </c>
      <c r="Y10" s="1107" t="s">
        <v>36</v>
      </c>
      <c r="Z10" s="1107" t="s">
        <v>35</v>
      </c>
      <c r="AA10" s="1107" t="s">
        <v>37</v>
      </c>
      <c r="AB10" s="1107" t="s">
        <v>38</v>
      </c>
      <c r="AC10" s="1107" t="s">
        <v>39</v>
      </c>
      <c r="AD10" s="1107" t="s">
        <v>40</v>
      </c>
      <c r="AE10" s="1107" t="s">
        <v>38</v>
      </c>
      <c r="AF10" s="1107" t="s">
        <v>39</v>
      </c>
      <c r="AG10" s="1107" t="s">
        <v>40</v>
      </c>
      <c r="AH10" s="2109"/>
      <c r="AI10" s="1957"/>
      <c r="AJ10" s="1956"/>
      <c r="AK10" s="1956"/>
      <c r="AL10" s="2044"/>
      <c r="AM10" s="1956"/>
      <c r="AN10" s="1956"/>
      <c r="AO10" s="2119"/>
      <c r="AP10" s="2119"/>
      <c r="AQ10" s="2119"/>
    </row>
    <row r="11" spans="1:43" ht="30">
      <c r="A11" s="47" t="s">
        <v>349</v>
      </c>
      <c r="B11" s="47" t="s">
        <v>350</v>
      </c>
      <c r="C11" s="1447"/>
      <c r="D11" s="47"/>
      <c r="E11" s="47"/>
      <c r="F11" s="47"/>
      <c r="G11" s="1443">
        <f>AH11/AH$27*100</f>
        <v>100</v>
      </c>
      <c r="H11" s="1443"/>
      <c r="I11" s="1443"/>
      <c r="J11" s="1803"/>
      <c r="K11" s="1803"/>
      <c r="L11" s="1803"/>
      <c r="M11" s="1445">
        <f t="shared" ref="M11:O11" si="0">+M12+M17</f>
        <v>6200</v>
      </c>
      <c r="N11" s="1445">
        <f t="shared" si="0"/>
        <v>6860</v>
      </c>
      <c r="O11" s="1445">
        <f t="shared" si="0"/>
        <v>2480</v>
      </c>
      <c r="P11" s="1804"/>
      <c r="Q11" s="1804"/>
      <c r="R11" s="1804"/>
      <c r="S11" s="1445">
        <f t="shared" ref="S11:U11" si="1">+S12+S17</f>
        <v>6610</v>
      </c>
      <c r="T11" s="1445">
        <f t="shared" si="1"/>
        <v>2480</v>
      </c>
      <c r="U11" s="1445">
        <f t="shared" si="1"/>
        <v>2480</v>
      </c>
      <c r="V11" s="1803"/>
      <c r="W11" s="1803"/>
      <c r="X11" s="1803"/>
      <c r="Y11" s="1445">
        <f t="shared" ref="Y11:AA11" si="2">+Y12+Y17</f>
        <v>9835</v>
      </c>
      <c r="Z11" s="1445">
        <f t="shared" si="2"/>
        <v>2480</v>
      </c>
      <c r="AA11" s="1445">
        <f t="shared" si="2"/>
        <v>2480</v>
      </c>
      <c r="AB11" s="1803"/>
      <c r="AC11" s="1803"/>
      <c r="AD11" s="1803"/>
      <c r="AE11" s="1445">
        <f t="shared" ref="AE11:AI11" si="3">+AE12+AE17</f>
        <v>2480</v>
      </c>
      <c r="AF11" s="1445">
        <f t="shared" si="3"/>
        <v>2730</v>
      </c>
      <c r="AG11" s="1445">
        <f t="shared" si="3"/>
        <v>2480</v>
      </c>
      <c r="AH11" s="1445">
        <f t="shared" si="3"/>
        <v>49595</v>
      </c>
      <c r="AI11" s="1445">
        <f t="shared" si="3"/>
        <v>49595</v>
      </c>
      <c r="AJ11" s="1805"/>
      <c r="AK11" s="1805"/>
      <c r="AL11" s="1805"/>
      <c r="AM11" s="1805"/>
      <c r="AN11" s="1805"/>
      <c r="AO11" s="1806"/>
      <c r="AP11" s="1806"/>
      <c r="AQ11" s="1806"/>
    </row>
    <row r="12" spans="1:43" ht="30">
      <c r="A12" s="355" t="s">
        <v>351</v>
      </c>
      <c r="B12" s="355" t="s">
        <v>352</v>
      </c>
      <c r="C12" s="1456"/>
      <c r="D12" s="355"/>
      <c r="E12" s="355"/>
      <c r="F12" s="355"/>
      <c r="G12" s="1452">
        <f t="shared" ref="G12:G26" si="4">AH12/AH$27*100</f>
        <v>1.0081661457808246</v>
      </c>
      <c r="H12" s="1452"/>
      <c r="I12" s="1452"/>
      <c r="J12" s="1807"/>
      <c r="K12" s="1807"/>
      <c r="L12" s="1807"/>
      <c r="M12" s="1452"/>
      <c r="N12" s="1454">
        <f>+N13</f>
        <v>250</v>
      </c>
      <c r="O12" s="1452"/>
      <c r="P12" s="1808"/>
      <c r="Q12" s="1808"/>
      <c r="R12" s="1808"/>
      <c r="S12" s="1809"/>
      <c r="T12" s="1452"/>
      <c r="U12" s="1452"/>
      <c r="V12" s="1807"/>
      <c r="W12" s="1807"/>
      <c r="X12" s="1807"/>
      <c r="Y12" s="1452"/>
      <c r="Z12" s="1452"/>
      <c r="AA12" s="1452"/>
      <c r="AB12" s="1807"/>
      <c r="AC12" s="1807"/>
      <c r="AD12" s="1807"/>
      <c r="AE12" s="1452"/>
      <c r="AF12" s="1454">
        <f>+AF13</f>
        <v>250</v>
      </c>
      <c r="AG12" s="1452"/>
      <c r="AH12" s="1454">
        <f t="shared" ref="AH12:AI13" si="5">+AH13</f>
        <v>500</v>
      </c>
      <c r="AI12" s="1454">
        <f t="shared" si="5"/>
        <v>500</v>
      </c>
      <c r="AJ12" s="1810"/>
      <c r="AK12" s="1810"/>
      <c r="AL12" s="1810"/>
      <c r="AM12" s="1810"/>
      <c r="AN12" s="1810"/>
      <c r="AO12" s="1811"/>
      <c r="AP12" s="1811"/>
      <c r="AQ12" s="1811"/>
    </row>
    <row r="13" spans="1:43" ht="45">
      <c r="A13" s="363" t="s">
        <v>353</v>
      </c>
      <c r="B13" s="363" t="s">
        <v>354</v>
      </c>
      <c r="C13" s="661"/>
      <c r="D13" s="363"/>
      <c r="E13" s="363"/>
      <c r="F13" s="363"/>
      <c r="G13" s="1461">
        <f t="shared" si="4"/>
        <v>1.0081661457808246</v>
      </c>
      <c r="H13" s="1461">
        <f>G13</f>
        <v>1.0081661457808246</v>
      </c>
      <c r="I13" s="1461"/>
      <c r="J13" s="660"/>
      <c r="K13" s="660"/>
      <c r="L13" s="660"/>
      <c r="M13" s="1461"/>
      <c r="N13" s="664">
        <f>+N14</f>
        <v>250</v>
      </c>
      <c r="O13" s="1461"/>
      <c r="P13" s="1812"/>
      <c r="Q13" s="1812"/>
      <c r="R13" s="1812"/>
      <c r="S13" s="1813"/>
      <c r="T13" s="1461"/>
      <c r="U13" s="1461"/>
      <c r="V13" s="660"/>
      <c r="W13" s="660"/>
      <c r="X13" s="660"/>
      <c r="Y13" s="1461"/>
      <c r="Z13" s="1461"/>
      <c r="AA13" s="1461"/>
      <c r="AB13" s="660"/>
      <c r="AC13" s="660"/>
      <c r="AD13" s="660"/>
      <c r="AE13" s="1461"/>
      <c r="AF13" s="664">
        <f>+AF14</f>
        <v>250</v>
      </c>
      <c r="AG13" s="1461"/>
      <c r="AH13" s="664">
        <f t="shared" si="5"/>
        <v>500</v>
      </c>
      <c r="AI13" s="664">
        <f t="shared" si="5"/>
        <v>500</v>
      </c>
      <c r="AJ13" s="322"/>
      <c r="AK13" s="322"/>
      <c r="AL13" s="322"/>
      <c r="AM13" s="322"/>
      <c r="AN13" s="322"/>
      <c r="AO13" s="659"/>
      <c r="AP13" s="659"/>
      <c r="AQ13" s="659"/>
    </row>
    <row r="14" spans="1:43" ht="165">
      <c r="A14" s="371" t="s">
        <v>355</v>
      </c>
      <c r="B14" s="371" t="s">
        <v>356</v>
      </c>
      <c r="C14" s="1814"/>
      <c r="D14" s="371" t="s">
        <v>357</v>
      </c>
      <c r="E14" s="371" t="s">
        <v>358</v>
      </c>
      <c r="F14" s="371" t="s">
        <v>57</v>
      </c>
      <c r="G14" s="1467">
        <f t="shared" si="4"/>
        <v>1.0081661457808246</v>
      </c>
      <c r="H14" s="1467"/>
      <c r="I14" s="1467"/>
      <c r="J14" s="669"/>
      <c r="K14" s="669"/>
      <c r="L14" s="1815"/>
      <c r="M14" s="670"/>
      <c r="N14" s="670">
        <f>N15+N16</f>
        <v>250</v>
      </c>
      <c r="O14" s="670"/>
      <c r="P14" s="1816"/>
      <c r="Q14" s="1816"/>
      <c r="R14" s="1816"/>
      <c r="S14" s="1817"/>
      <c r="T14" s="670"/>
      <c r="U14" s="670"/>
      <c r="V14" s="1816"/>
      <c r="W14" s="669"/>
      <c r="X14" s="669"/>
      <c r="Y14" s="1818"/>
      <c r="Z14" s="1818"/>
      <c r="AA14" s="1818"/>
      <c r="AB14" s="669"/>
      <c r="AC14" s="669"/>
      <c r="AD14" s="669"/>
      <c r="AE14" s="670"/>
      <c r="AF14" s="670">
        <f>AF15+AF16</f>
        <v>250</v>
      </c>
      <c r="AG14" s="670"/>
      <c r="AH14" s="670">
        <f t="shared" ref="AH14:AI14" si="6">AH15+AH16</f>
        <v>500</v>
      </c>
      <c r="AI14" s="670">
        <f t="shared" si="6"/>
        <v>500</v>
      </c>
      <c r="AJ14" s="1819"/>
      <c r="AK14" s="1819"/>
      <c r="AL14" s="1819"/>
      <c r="AM14" s="1819"/>
      <c r="AN14" s="1819"/>
      <c r="AO14" s="665" t="s">
        <v>928</v>
      </c>
      <c r="AP14" s="665" t="s">
        <v>4194</v>
      </c>
      <c r="AQ14" s="665"/>
    </row>
    <row r="15" spans="1:43" ht="120">
      <c r="A15" s="379" t="s">
        <v>4195</v>
      </c>
      <c r="B15" s="22" t="s">
        <v>4196</v>
      </c>
      <c r="C15" s="1820">
        <f>J15+K15+L15+P15+Q15+R15+V15+W15+X15+AB15+AC15+AD15</f>
        <v>1</v>
      </c>
      <c r="D15" s="22" t="s">
        <v>57</v>
      </c>
      <c r="E15" s="22" t="s">
        <v>4197</v>
      </c>
      <c r="F15" s="22" t="s">
        <v>4198</v>
      </c>
      <c r="G15" s="1474">
        <f t="shared" si="4"/>
        <v>0.50408307289041232</v>
      </c>
      <c r="H15" s="1474"/>
      <c r="I15" s="1473">
        <v>50</v>
      </c>
      <c r="J15" s="1285"/>
      <c r="K15" s="1821">
        <v>1</v>
      </c>
      <c r="L15" s="1285"/>
      <c r="M15" s="1490"/>
      <c r="N15" s="1490">
        <f>MROUND('[3]POA 2021 OIR '!N15,5)</f>
        <v>250</v>
      </c>
      <c r="O15" s="1490"/>
      <c r="P15" s="1822"/>
      <c r="Q15" s="1822"/>
      <c r="R15" s="1822"/>
      <c r="S15" s="1823"/>
      <c r="T15" s="1490"/>
      <c r="U15" s="1490"/>
      <c r="V15" s="1824"/>
      <c r="W15" s="678"/>
      <c r="X15" s="678"/>
      <c r="Y15" s="1825"/>
      <c r="Z15" s="1825"/>
      <c r="AA15" s="1825"/>
      <c r="AB15" s="1285"/>
      <c r="AC15" s="1824"/>
      <c r="AD15" s="1285"/>
      <c r="AE15" s="1490"/>
      <c r="AF15" s="677"/>
      <c r="AG15" s="1490"/>
      <c r="AH15" s="677">
        <f>SUM(M15,N15,O15,S15,T15,U15,Y15,Z15,AA15,AE15,AF15,AG15)</f>
        <v>250</v>
      </c>
      <c r="AI15" s="1490">
        <f>AH15</f>
        <v>250</v>
      </c>
      <c r="AJ15" s="1826"/>
      <c r="AK15" s="1826"/>
      <c r="AL15" s="1826"/>
      <c r="AM15" s="1826"/>
      <c r="AN15" s="1826"/>
      <c r="AO15" s="671" t="s">
        <v>928</v>
      </c>
      <c r="AP15" s="671" t="s">
        <v>4194</v>
      </c>
      <c r="AQ15" s="671" t="s">
        <v>4199</v>
      </c>
    </row>
    <row r="16" spans="1:43" ht="120">
      <c r="A16" s="379" t="s">
        <v>4200</v>
      </c>
      <c r="B16" s="22" t="s">
        <v>4201</v>
      </c>
      <c r="C16" s="672">
        <v>1</v>
      </c>
      <c r="D16" s="22" t="s">
        <v>57</v>
      </c>
      <c r="E16" s="22" t="s">
        <v>4202</v>
      </c>
      <c r="F16" s="22" t="s">
        <v>4203</v>
      </c>
      <c r="G16" s="1474">
        <f t="shared" si="4"/>
        <v>0.50408307289041232</v>
      </c>
      <c r="H16" s="1474"/>
      <c r="I16" s="1473">
        <v>50</v>
      </c>
      <c r="J16" s="1285"/>
      <c r="K16" s="1821"/>
      <c r="L16" s="1285"/>
      <c r="M16" s="1490"/>
      <c r="N16" s="1490"/>
      <c r="O16" s="1490"/>
      <c r="P16" s="1822"/>
      <c r="Q16" s="1822"/>
      <c r="R16" s="1822"/>
      <c r="S16" s="1823"/>
      <c r="T16" s="1490"/>
      <c r="U16" s="1490"/>
      <c r="V16" s="1824"/>
      <c r="W16" s="678"/>
      <c r="X16" s="678"/>
      <c r="Y16" s="1825"/>
      <c r="Z16" s="1825"/>
      <c r="AA16" s="1825"/>
      <c r="AB16" s="1285"/>
      <c r="AC16" s="1824">
        <v>1</v>
      </c>
      <c r="AD16" s="1285"/>
      <c r="AE16" s="1490"/>
      <c r="AF16" s="1490">
        <f>MROUND('[3]POA 2021 OIR '!AF16,5)</f>
        <v>250</v>
      </c>
      <c r="AG16" s="1490"/>
      <c r="AH16" s="677">
        <f>SUM(M16,N16,O16,S16,T16,U16,Y16,Z16,AA16,AE16,AF16,AG16)</f>
        <v>250</v>
      </c>
      <c r="AI16" s="1490">
        <f>AH16</f>
        <v>250</v>
      </c>
      <c r="AJ16" s="1826"/>
      <c r="AK16" s="1826"/>
      <c r="AL16" s="1826"/>
      <c r="AM16" s="1826"/>
      <c r="AN16" s="1826"/>
      <c r="AO16" s="671"/>
      <c r="AP16" s="671"/>
      <c r="AQ16" s="671" t="s">
        <v>4199</v>
      </c>
    </row>
    <row r="17" spans="1:43" ht="30">
      <c r="A17" s="355" t="s">
        <v>4204</v>
      </c>
      <c r="B17" s="355" t="s">
        <v>4205</v>
      </c>
      <c r="C17" s="1456"/>
      <c r="D17" s="355"/>
      <c r="E17" s="355"/>
      <c r="F17" s="355"/>
      <c r="G17" s="1452">
        <f t="shared" si="4"/>
        <v>98.99183385421918</v>
      </c>
      <c r="H17" s="1452"/>
      <c r="I17" s="1452"/>
      <c r="J17" s="1807"/>
      <c r="K17" s="1807"/>
      <c r="L17" s="1807"/>
      <c r="M17" s="1452">
        <f>+M18</f>
        <v>6200</v>
      </c>
      <c r="N17" s="1452">
        <f t="shared" ref="N17:O18" si="7">+N18</f>
        <v>6610</v>
      </c>
      <c r="O17" s="1452">
        <f t="shared" si="7"/>
        <v>2480</v>
      </c>
      <c r="P17" s="1807"/>
      <c r="Q17" s="1807"/>
      <c r="R17" s="1807"/>
      <c r="S17" s="1452">
        <f t="shared" ref="S17:U18" si="8">+S18</f>
        <v>6610</v>
      </c>
      <c r="T17" s="1452">
        <f t="shared" si="8"/>
        <v>2480</v>
      </c>
      <c r="U17" s="1452">
        <f t="shared" si="8"/>
        <v>2480</v>
      </c>
      <c r="V17" s="1807"/>
      <c r="W17" s="1807"/>
      <c r="X17" s="1807"/>
      <c r="Y17" s="1452">
        <f t="shared" ref="Y17:AA18" si="9">+Y18</f>
        <v>9835</v>
      </c>
      <c r="Z17" s="1452">
        <f t="shared" si="9"/>
        <v>2480</v>
      </c>
      <c r="AA17" s="1452">
        <f t="shared" si="9"/>
        <v>2480</v>
      </c>
      <c r="AB17" s="1807"/>
      <c r="AC17" s="1807"/>
      <c r="AD17" s="1807"/>
      <c r="AE17" s="1452">
        <f t="shared" ref="AE17:AI18" si="10">+AE18</f>
        <v>2480</v>
      </c>
      <c r="AF17" s="1452">
        <f t="shared" si="10"/>
        <v>2480</v>
      </c>
      <c r="AG17" s="1452">
        <f t="shared" si="10"/>
        <v>2480</v>
      </c>
      <c r="AH17" s="1452">
        <f t="shared" si="10"/>
        <v>49095</v>
      </c>
      <c r="AI17" s="1452">
        <f t="shared" si="10"/>
        <v>49095</v>
      </c>
      <c r="AJ17" s="1810"/>
      <c r="AK17" s="1810"/>
      <c r="AL17" s="1810"/>
      <c r="AM17" s="1810"/>
      <c r="AN17" s="1810"/>
      <c r="AO17" s="1811"/>
      <c r="AP17" s="1811"/>
      <c r="AQ17" s="1811"/>
    </row>
    <row r="18" spans="1:43" ht="30">
      <c r="A18" s="363" t="s">
        <v>4206</v>
      </c>
      <c r="B18" s="363" t="s">
        <v>4207</v>
      </c>
      <c r="C18" s="661"/>
      <c r="D18" s="363"/>
      <c r="E18" s="363"/>
      <c r="F18" s="363"/>
      <c r="G18" s="1461">
        <f t="shared" si="4"/>
        <v>98.99183385421918</v>
      </c>
      <c r="H18" s="1461">
        <f>G18</f>
        <v>98.99183385421918</v>
      </c>
      <c r="I18" s="1461"/>
      <c r="J18" s="660"/>
      <c r="K18" s="660"/>
      <c r="L18" s="660"/>
      <c r="M18" s="1461">
        <f>+M19</f>
        <v>6200</v>
      </c>
      <c r="N18" s="1461">
        <f t="shared" si="7"/>
        <v>6610</v>
      </c>
      <c r="O18" s="1461">
        <f t="shared" si="7"/>
        <v>2480</v>
      </c>
      <c r="P18" s="1812"/>
      <c r="Q18" s="1812"/>
      <c r="R18" s="1812"/>
      <c r="S18" s="1461">
        <f t="shared" si="8"/>
        <v>6610</v>
      </c>
      <c r="T18" s="1461">
        <f t="shared" si="8"/>
        <v>2480</v>
      </c>
      <c r="U18" s="1461">
        <f t="shared" si="8"/>
        <v>2480</v>
      </c>
      <c r="V18" s="660"/>
      <c r="W18" s="660"/>
      <c r="X18" s="660"/>
      <c r="Y18" s="1461">
        <f t="shared" si="9"/>
        <v>9835</v>
      </c>
      <c r="Z18" s="1461">
        <f t="shared" si="9"/>
        <v>2480</v>
      </c>
      <c r="AA18" s="1461">
        <f t="shared" si="9"/>
        <v>2480</v>
      </c>
      <c r="AB18" s="660"/>
      <c r="AC18" s="660"/>
      <c r="AD18" s="660"/>
      <c r="AE18" s="1461">
        <f t="shared" si="10"/>
        <v>2480</v>
      </c>
      <c r="AF18" s="1461">
        <f t="shared" si="10"/>
        <v>2480</v>
      </c>
      <c r="AG18" s="1461">
        <f t="shared" si="10"/>
        <v>2480</v>
      </c>
      <c r="AH18" s="1461">
        <f t="shared" si="10"/>
        <v>49095</v>
      </c>
      <c r="AI18" s="1461">
        <f t="shared" si="10"/>
        <v>49095</v>
      </c>
      <c r="AJ18" s="322"/>
      <c r="AK18" s="322"/>
      <c r="AL18" s="322"/>
      <c r="AM18" s="322"/>
      <c r="AN18" s="322"/>
      <c r="AO18" s="659"/>
      <c r="AP18" s="659"/>
      <c r="AQ18" s="659"/>
    </row>
    <row r="19" spans="1:43" ht="120">
      <c r="A19" s="371" t="s">
        <v>4208</v>
      </c>
      <c r="B19" s="371" t="s">
        <v>4209</v>
      </c>
      <c r="C19" s="1814"/>
      <c r="D19" s="371" t="s">
        <v>4210</v>
      </c>
      <c r="E19" s="371" t="s">
        <v>4211</v>
      </c>
      <c r="F19" s="371"/>
      <c r="G19" s="1467">
        <f t="shared" si="4"/>
        <v>98.99183385421918</v>
      </c>
      <c r="H19" s="1467"/>
      <c r="I19" s="1467"/>
      <c r="J19" s="669"/>
      <c r="K19" s="669"/>
      <c r="L19" s="1815"/>
      <c r="M19" s="670">
        <f t="shared" ref="M19" si="11">SUM(M20:M26)</f>
        <v>6200</v>
      </c>
      <c r="N19" s="670">
        <f t="shared" ref="N19:O19" si="12">SUM(N20:N26)</f>
        <v>6610</v>
      </c>
      <c r="O19" s="670">
        <f t="shared" si="12"/>
        <v>2480</v>
      </c>
      <c r="P19" s="669"/>
      <c r="Q19" s="669"/>
      <c r="R19" s="669"/>
      <c r="S19" s="670">
        <f t="shared" ref="S19:U19" si="13">SUM(S20:S26)</f>
        <v>6610</v>
      </c>
      <c r="T19" s="670">
        <f t="shared" si="13"/>
        <v>2480</v>
      </c>
      <c r="U19" s="670">
        <f t="shared" si="13"/>
        <v>2480</v>
      </c>
      <c r="V19" s="1816"/>
      <c r="W19" s="669"/>
      <c r="X19" s="669"/>
      <c r="Y19" s="670">
        <f t="shared" ref="Y19:AA19" si="14">SUM(Y20:Y26)</f>
        <v>9835</v>
      </c>
      <c r="Z19" s="670">
        <f t="shared" si="14"/>
        <v>2480</v>
      </c>
      <c r="AA19" s="670">
        <f t="shared" si="14"/>
        <v>2480</v>
      </c>
      <c r="AB19" s="669"/>
      <c r="AC19" s="669"/>
      <c r="AD19" s="669"/>
      <c r="AE19" s="670">
        <f t="shared" ref="AE19:AI19" si="15">SUM(AE20:AE26)</f>
        <v>2480</v>
      </c>
      <c r="AF19" s="670">
        <f t="shared" si="15"/>
        <v>2480</v>
      </c>
      <c r="AG19" s="670">
        <f t="shared" si="15"/>
        <v>2480</v>
      </c>
      <c r="AH19" s="670">
        <f t="shared" si="15"/>
        <v>49095</v>
      </c>
      <c r="AI19" s="670">
        <f t="shared" si="15"/>
        <v>49095</v>
      </c>
      <c r="AJ19" s="1819"/>
      <c r="AK19" s="1819"/>
      <c r="AL19" s="1819"/>
      <c r="AM19" s="1819"/>
      <c r="AN19" s="1819"/>
      <c r="AO19" s="665" t="s">
        <v>928</v>
      </c>
      <c r="AP19" s="665" t="s">
        <v>4194</v>
      </c>
      <c r="AQ19" s="665"/>
    </row>
    <row r="20" spans="1:43" ht="135">
      <c r="A20" s="379" t="s">
        <v>4212</v>
      </c>
      <c r="B20" s="22" t="s">
        <v>4213</v>
      </c>
      <c r="C20" s="672">
        <f>J20+K20+L20+P20+Q20+R20+V20+W20+X20+AB20+AC20+AD20</f>
        <v>1</v>
      </c>
      <c r="D20" s="22" t="s">
        <v>1189</v>
      </c>
      <c r="E20" s="22" t="s">
        <v>4214</v>
      </c>
      <c r="F20" s="22" t="s">
        <v>4215</v>
      </c>
      <c r="G20" s="1474">
        <f t="shared" si="4"/>
        <v>0.99808448432301633</v>
      </c>
      <c r="H20" s="1474"/>
      <c r="I20" s="1473">
        <v>2</v>
      </c>
      <c r="J20" s="1827">
        <v>1</v>
      </c>
      <c r="K20" s="1828"/>
      <c r="L20" s="1827"/>
      <c r="M20" s="1490">
        <f>MROUND('[3]POA 2021 OIR '!M20,5)</f>
        <v>495</v>
      </c>
      <c r="N20" s="1490"/>
      <c r="O20" s="1490"/>
      <c r="P20" s="1827"/>
      <c r="Q20" s="1827"/>
      <c r="R20" s="1827"/>
      <c r="S20" s="1490"/>
      <c r="T20" s="1490"/>
      <c r="U20" s="1490"/>
      <c r="V20" s="1827"/>
      <c r="W20" s="1829"/>
      <c r="X20" s="1830"/>
      <c r="Y20" s="1490"/>
      <c r="Z20" s="1490"/>
      <c r="AA20" s="1490"/>
      <c r="AB20" s="1827"/>
      <c r="AC20" s="1828"/>
      <c r="AD20" s="1827"/>
      <c r="AE20" s="1490"/>
      <c r="AF20" s="1490"/>
      <c r="AG20" s="1490"/>
      <c r="AH20" s="677">
        <f t="shared" ref="AH20:AH26" si="16">SUM(M20,N20,O20,S20,T20,U20,Y20,Z20,AA20,AE20,AF20,AG20)</f>
        <v>495</v>
      </c>
      <c r="AI20" s="1490">
        <f t="shared" ref="AI20:AI26" si="17">AH20</f>
        <v>495</v>
      </c>
      <c r="AJ20" s="1826"/>
      <c r="AK20" s="1826"/>
      <c r="AL20" s="1826"/>
      <c r="AM20" s="1826"/>
      <c r="AN20" s="1826"/>
      <c r="AO20" s="671" t="s">
        <v>928</v>
      </c>
      <c r="AP20" s="671" t="s">
        <v>4194</v>
      </c>
      <c r="AQ20" s="671"/>
    </row>
    <row r="21" spans="1:43" ht="30">
      <c r="A21" s="2135" t="s">
        <v>4216</v>
      </c>
      <c r="B21" s="2171" t="s">
        <v>4217</v>
      </c>
      <c r="C21" s="672">
        <f>J21+K21+L21+P21+Q21+R21+V21+W21+X21+AB21+AC21+AD21</f>
        <v>73</v>
      </c>
      <c r="D21" s="673" t="s">
        <v>419</v>
      </c>
      <c r="E21" s="2171" t="s">
        <v>4218</v>
      </c>
      <c r="F21" s="2171" t="s">
        <v>4219</v>
      </c>
      <c r="G21" s="1831">
        <f t="shared" si="4"/>
        <v>25.042847061195683</v>
      </c>
      <c r="H21" s="1831"/>
      <c r="I21" s="2223">
        <v>50</v>
      </c>
      <c r="J21" s="1832">
        <v>10</v>
      </c>
      <c r="K21" s="1832">
        <v>9</v>
      </c>
      <c r="L21" s="1832">
        <v>9</v>
      </c>
      <c r="M21" s="1490">
        <f>MROUND('[3]POA 2021 OIR '!M21,5)</f>
        <v>1035</v>
      </c>
      <c r="N21" s="1490">
        <f>MROUND('[3]POA 2021 OIR '!N21,5)</f>
        <v>1035</v>
      </c>
      <c r="O21" s="1490">
        <f>MROUND('[3]POA 2021 OIR '!O21,5)</f>
        <v>1035</v>
      </c>
      <c r="P21" s="1833">
        <v>4</v>
      </c>
      <c r="Q21" s="1833">
        <v>3</v>
      </c>
      <c r="R21" s="1833">
        <v>6</v>
      </c>
      <c r="S21" s="1490">
        <f>MROUND('[3]POA 2021 OIR '!S21,5)</f>
        <v>1035</v>
      </c>
      <c r="T21" s="1490">
        <f>MROUND('[3]POA 2021 OIR '!T21,5)</f>
        <v>1035</v>
      </c>
      <c r="U21" s="1490">
        <f>MROUND('[3]POA 2021 OIR '!U21,5)</f>
        <v>1035</v>
      </c>
      <c r="V21" s="1833">
        <v>12</v>
      </c>
      <c r="W21" s="1833">
        <v>4</v>
      </c>
      <c r="X21" s="1833">
        <v>3</v>
      </c>
      <c r="Y21" s="1490">
        <f>MROUND('[3]POA 2021 OIR '!Y21,5)</f>
        <v>1035</v>
      </c>
      <c r="Z21" s="1490">
        <f>MROUND('[3]POA 2021 OIR '!Z21,5)</f>
        <v>1035</v>
      </c>
      <c r="AA21" s="1490">
        <f>MROUND('[3]POA 2021 OIR '!AA21,5)</f>
        <v>1035</v>
      </c>
      <c r="AB21" s="1833">
        <v>5</v>
      </c>
      <c r="AC21" s="1833">
        <v>7</v>
      </c>
      <c r="AD21" s="1833">
        <v>1</v>
      </c>
      <c r="AE21" s="1490">
        <f>MROUND('[3]POA 2021 OIR '!AE21,5)</f>
        <v>1035</v>
      </c>
      <c r="AF21" s="1490">
        <f>MROUND('[3]POA 2021 OIR '!AF21,5)</f>
        <v>1035</v>
      </c>
      <c r="AG21" s="1490">
        <f>MROUND('[3]POA 2021 OIR '!AG21,5)</f>
        <v>1035</v>
      </c>
      <c r="AH21" s="677">
        <f t="shared" si="16"/>
        <v>12420</v>
      </c>
      <c r="AI21" s="1490">
        <f t="shared" si="17"/>
        <v>12420</v>
      </c>
      <c r="AJ21" s="1834"/>
      <c r="AK21" s="1834"/>
      <c r="AL21" s="1834"/>
      <c r="AM21" s="1834"/>
      <c r="AN21" s="1834"/>
      <c r="AO21" s="671" t="s">
        <v>928</v>
      </c>
      <c r="AP21" s="671" t="s">
        <v>4194</v>
      </c>
      <c r="AQ21" s="2221" t="s">
        <v>4220</v>
      </c>
    </row>
    <row r="22" spans="1:43" ht="30">
      <c r="A22" s="2060"/>
      <c r="B22" s="2060"/>
      <c r="C22" s="672">
        <f>J22+K22+L22+P22+Q22+R22+V22+W22+X22+AB22+AC22+AD22</f>
        <v>64</v>
      </c>
      <c r="D22" s="673" t="s">
        <v>424</v>
      </c>
      <c r="E22" s="2222"/>
      <c r="F22" s="2222"/>
      <c r="G22" s="1831">
        <f t="shared" si="4"/>
        <v>25.042847061195683</v>
      </c>
      <c r="H22" s="1831"/>
      <c r="I22" s="2223"/>
      <c r="J22" s="1832">
        <v>5</v>
      </c>
      <c r="K22" s="1832">
        <v>5</v>
      </c>
      <c r="L22" s="1832">
        <v>7</v>
      </c>
      <c r="M22" s="1490">
        <f>MROUND('[3]POA 2021 OIR '!M22,5)</f>
        <v>1035</v>
      </c>
      <c r="N22" s="1490">
        <f>MROUND('[3]POA 2021 OIR '!N22,5)</f>
        <v>1035</v>
      </c>
      <c r="O22" s="1490">
        <f>MROUND('[3]POA 2021 OIR '!O22,5)</f>
        <v>1035</v>
      </c>
      <c r="P22" s="1833">
        <v>8</v>
      </c>
      <c r="Q22" s="1833">
        <v>5</v>
      </c>
      <c r="R22" s="1833">
        <v>6</v>
      </c>
      <c r="S22" s="1490">
        <f>MROUND('[3]POA 2021 OIR '!S22,5)</f>
        <v>1035</v>
      </c>
      <c r="T22" s="1490">
        <f>MROUND('[3]POA 2021 OIR '!T22,5)</f>
        <v>1035</v>
      </c>
      <c r="U22" s="1490">
        <f>MROUND('[3]POA 2021 OIR '!U22,5)</f>
        <v>1035</v>
      </c>
      <c r="V22" s="1833">
        <v>5</v>
      </c>
      <c r="W22" s="1833">
        <v>5</v>
      </c>
      <c r="X22" s="1833">
        <v>7</v>
      </c>
      <c r="Y22" s="1490">
        <f>MROUND('[3]POA 2021 OIR '!Y22,5)</f>
        <v>1035</v>
      </c>
      <c r="Z22" s="1490">
        <f>MROUND('[3]POA 2021 OIR '!Z22,5)</f>
        <v>1035</v>
      </c>
      <c r="AA22" s="1490">
        <f>MROUND('[3]POA 2021 OIR '!AA22,5)</f>
        <v>1035</v>
      </c>
      <c r="AB22" s="1833">
        <v>6</v>
      </c>
      <c r="AC22" s="1833">
        <v>4</v>
      </c>
      <c r="AD22" s="1833">
        <v>1</v>
      </c>
      <c r="AE22" s="1490">
        <f>MROUND('[3]POA 2021 OIR '!AE22,5)</f>
        <v>1035</v>
      </c>
      <c r="AF22" s="1490">
        <f>MROUND('[3]POA 2021 OIR '!AF22,5)</f>
        <v>1035</v>
      </c>
      <c r="AG22" s="1490">
        <f>MROUND('[3]POA 2021 OIR '!AG22,5)</f>
        <v>1035</v>
      </c>
      <c r="AH22" s="677">
        <f t="shared" si="16"/>
        <v>12420</v>
      </c>
      <c r="AI22" s="1490">
        <f t="shared" si="17"/>
        <v>12420</v>
      </c>
      <c r="AJ22" s="1834"/>
      <c r="AK22" s="1834"/>
      <c r="AL22" s="1834"/>
      <c r="AM22" s="1834"/>
      <c r="AN22" s="1834"/>
      <c r="AO22" s="671" t="s">
        <v>928</v>
      </c>
      <c r="AP22" s="671" t="s">
        <v>4194</v>
      </c>
      <c r="AQ22" s="2221"/>
    </row>
    <row r="23" spans="1:43" ht="90">
      <c r="A23" s="379" t="s">
        <v>4221</v>
      </c>
      <c r="B23" s="22" t="s">
        <v>4222</v>
      </c>
      <c r="C23" s="672">
        <f t="shared" ref="C23:C26" si="18">J23+K23+L23+P23+Q23+R23+V23+W23+X23+AB23+AC23+AD23</f>
        <v>2</v>
      </c>
      <c r="D23" s="22" t="s">
        <v>4223</v>
      </c>
      <c r="E23" s="22" t="s">
        <v>4224</v>
      </c>
      <c r="F23" s="22" t="s">
        <v>4225</v>
      </c>
      <c r="G23" s="1831">
        <f t="shared" si="4"/>
        <v>13.005343280572637</v>
      </c>
      <c r="H23" s="1831"/>
      <c r="I23" s="1835">
        <v>13</v>
      </c>
      <c r="J23" s="1833">
        <v>1</v>
      </c>
      <c r="K23" s="1833"/>
      <c r="L23" s="1833"/>
      <c r="M23" s="1490">
        <f>MROUND('[3]POA 2021 OIR '!M23,5)</f>
        <v>3225</v>
      </c>
      <c r="N23" s="1490"/>
      <c r="O23" s="1490"/>
      <c r="P23" s="1833"/>
      <c r="Q23" s="1833"/>
      <c r="R23" s="1833"/>
      <c r="S23" s="1490"/>
      <c r="T23" s="1490"/>
      <c r="U23" s="1490"/>
      <c r="V23" s="1833">
        <v>1</v>
      </c>
      <c r="W23" s="1829"/>
      <c r="X23" s="1829"/>
      <c r="Y23" s="1490">
        <f>MROUND('[3]POA 2021 OIR '!Y23,5)</f>
        <v>3225</v>
      </c>
      <c r="Z23" s="1490"/>
      <c r="AA23" s="1490"/>
      <c r="AB23" s="1833"/>
      <c r="AC23" s="1833"/>
      <c r="AD23" s="1833"/>
      <c r="AE23" s="1490"/>
      <c r="AF23" s="1490"/>
      <c r="AG23" s="1490"/>
      <c r="AH23" s="677">
        <f t="shared" si="16"/>
        <v>6450</v>
      </c>
      <c r="AI23" s="1490">
        <f t="shared" si="17"/>
        <v>6450</v>
      </c>
      <c r="AJ23" s="1834"/>
      <c r="AK23" s="1834"/>
      <c r="AL23" s="1834"/>
      <c r="AM23" s="1834"/>
      <c r="AN23" s="1834"/>
      <c r="AO23" s="671" t="s">
        <v>928</v>
      </c>
      <c r="AP23" s="671" t="s">
        <v>4194</v>
      </c>
      <c r="AQ23" s="1836"/>
    </row>
    <row r="24" spans="1:43" ht="180">
      <c r="A24" s="379" t="s">
        <v>4226</v>
      </c>
      <c r="B24" s="22" t="s">
        <v>4227</v>
      </c>
      <c r="C24" s="672">
        <f t="shared" si="18"/>
        <v>3</v>
      </c>
      <c r="D24" s="22" t="s">
        <v>4228</v>
      </c>
      <c r="E24" s="22" t="s">
        <v>4229</v>
      </c>
      <c r="F24" s="22" t="s">
        <v>4230</v>
      </c>
      <c r="G24" s="1831">
        <f t="shared" si="4"/>
        <v>24.982357092448837</v>
      </c>
      <c r="H24" s="1831"/>
      <c r="I24" s="1835">
        <v>25</v>
      </c>
      <c r="J24" s="1833"/>
      <c r="K24" s="1833"/>
      <c r="L24" s="1833">
        <v>1</v>
      </c>
      <c r="M24" s="1837"/>
      <c r="N24" s="1490">
        <v>4130</v>
      </c>
      <c r="O24" s="1490"/>
      <c r="P24" s="1833"/>
      <c r="Q24" s="1833"/>
      <c r="R24" s="1833">
        <v>1</v>
      </c>
      <c r="S24" s="1490">
        <v>4130</v>
      </c>
      <c r="T24" s="1490"/>
      <c r="U24" s="1490"/>
      <c r="V24" s="1833"/>
      <c r="W24" s="1829"/>
      <c r="X24" s="1829">
        <v>1</v>
      </c>
      <c r="Y24" s="1490">
        <v>4130</v>
      </c>
      <c r="Z24" s="1490"/>
      <c r="AA24" s="1490"/>
      <c r="AB24" s="1833"/>
      <c r="AC24" s="1833"/>
      <c r="AD24" s="1833"/>
      <c r="AE24" s="677"/>
      <c r="AF24" s="1837"/>
      <c r="AG24" s="1490"/>
      <c r="AH24" s="677">
        <f t="shared" si="16"/>
        <v>12390</v>
      </c>
      <c r="AI24" s="1490">
        <f t="shared" si="17"/>
        <v>12390</v>
      </c>
      <c r="AJ24" s="1838"/>
      <c r="AK24" s="1834"/>
      <c r="AL24" s="1834"/>
      <c r="AM24" s="1834"/>
      <c r="AN24" s="1834"/>
      <c r="AO24" s="671" t="s">
        <v>928</v>
      </c>
      <c r="AP24" s="671" t="s">
        <v>4194</v>
      </c>
      <c r="AQ24" s="1836"/>
    </row>
    <row r="25" spans="1:43" ht="30">
      <c r="A25" s="2224" t="s">
        <v>4231</v>
      </c>
      <c r="B25" s="2224" t="s">
        <v>4232</v>
      </c>
      <c r="C25" s="672">
        <f t="shared" si="18"/>
        <v>83</v>
      </c>
      <c r="D25" s="673" t="s">
        <v>419</v>
      </c>
      <c r="E25" s="2224" t="s">
        <v>4233</v>
      </c>
      <c r="F25" s="2224" t="s">
        <v>4234</v>
      </c>
      <c r="G25" s="1831">
        <f t="shared" si="4"/>
        <v>4.9601774372416569</v>
      </c>
      <c r="H25" s="1831"/>
      <c r="I25" s="2223">
        <v>10</v>
      </c>
      <c r="J25" s="1833">
        <v>10</v>
      </c>
      <c r="K25" s="1833">
        <v>5</v>
      </c>
      <c r="L25" s="1833">
        <v>15</v>
      </c>
      <c r="M25" s="1490">
        <f>MROUND('[3]POA 2021 OIR '!M25,5)</f>
        <v>205</v>
      </c>
      <c r="N25" s="1490">
        <f>MROUND('[3]POA 2021 OIR '!N25,5)</f>
        <v>205</v>
      </c>
      <c r="O25" s="1490">
        <f>MROUND('[3]POA 2021 OIR '!O25,5)</f>
        <v>205</v>
      </c>
      <c r="P25" s="1833">
        <v>10</v>
      </c>
      <c r="Q25" s="1833">
        <v>10</v>
      </c>
      <c r="R25" s="1833">
        <v>10</v>
      </c>
      <c r="S25" s="1490">
        <f>MROUND('[3]POA 2021 OIR '!S25,5)</f>
        <v>205</v>
      </c>
      <c r="T25" s="1490">
        <f>MROUND('[3]POA 2021 OIR '!T25,5)</f>
        <v>205</v>
      </c>
      <c r="U25" s="1490">
        <f>MROUND('[3]POA 2021 OIR '!U25,5)</f>
        <v>205</v>
      </c>
      <c r="V25" s="1833">
        <v>3</v>
      </c>
      <c r="W25" s="1829">
        <v>6</v>
      </c>
      <c r="X25" s="1829">
        <v>8</v>
      </c>
      <c r="Y25" s="1490">
        <f>MROUND('[3]POA 2021 OIR '!Y25,5)</f>
        <v>205</v>
      </c>
      <c r="Z25" s="1490">
        <f>MROUND('[3]POA 2021 OIR '!Z25,5)</f>
        <v>205</v>
      </c>
      <c r="AA25" s="1490">
        <f>MROUND('[3]POA 2021 OIR '!AA25,5)</f>
        <v>205</v>
      </c>
      <c r="AB25" s="1833">
        <v>2</v>
      </c>
      <c r="AC25" s="1833">
        <v>2</v>
      </c>
      <c r="AD25" s="1833">
        <v>2</v>
      </c>
      <c r="AE25" s="1490">
        <f>MROUND('[3]POA 2021 OIR '!AE25,5)</f>
        <v>205</v>
      </c>
      <c r="AF25" s="1490">
        <f>MROUND('[3]POA 2021 OIR '!AF25,5)</f>
        <v>205</v>
      </c>
      <c r="AG25" s="1490">
        <f>MROUND('[3]POA 2021 OIR '!AG25,5)</f>
        <v>205</v>
      </c>
      <c r="AH25" s="677">
        <f t="shared" si="16"/>
        <v>2460</v>
      </c>
      <c r="AI25" s="1490">
        <f t="shared" si="17"/>
        <v>2460</v>
      </c>
      <c r="AJ25" s="1834"/>
      <c r="AK25" s="1834"/>
      <c r="AL25" s="1834"/>
      <c r="AM25" s="1834"/>
      <c r="AN25" s="1834"/>
      <c r="AO25" s="671" t="s">
        <v>928</v>
      </c>
      <c r="AP25" s="671" t="s">
        <v>4194</v>
      </c>
      <c r="AQ25" s="2221" t="s">
        <v>4220</v>
      </c>
    </row>
    <row r="26" spans="1:43" ht="30">
      <c r="A26" s="2224"/>
      <c r="B26" s="2224"/>
      <c r="C26" s="672">
        <f t="shared" si="18"/>
        <v>71</v>
      </c>
      <c r="D26" s="673" t="s">
        <v>424</v>
      </c>
      <c r="E26" s="2224"/>
      <c r="F26" s="2224"/>
      <c r="G26" s="1831">
        <f t="shared" si="4"/>
        <v>4.9601774372416569</v>
      </c>
      <c r="H26" s="1831"/>
      <c r="I26" s="2223"/>
      <c r="J26" s="1833">
        <v>2</v>
      </c>
      <c r="K26" s="1833">
        <v>10</v>
      </c>
      <c r="L26" s="1833">
        <v>10</v>
      </c>
      <c r="M26" s="1490">
        <f>MROUND('[3]POA 2021 OIR '!M26,5)</f>
        <v>205</v>
      </c>
      <c r="N26" s="1490">
        <f>MROUND('[3]POA 2021 OIR '!N26,5)</f>
        <v>205</v>
      </c>
      <c r="O26" s="1490">
        <f>MROUND('[3]POA 2021 OIR '!O26,5)</f>
        <v>205</v>
      </c>
      <c r="P26" s="1833">
        <v>10</v>
      </c>
      <c r="Q26" s="1833">
        <v>10</v>
      </c>
      <c r="R26" s="1833">
        <v>5</v>
      </c>
      <c r="S26" s="1490">
        <f>MROUND('[3]POA 2021 OIR '!S26,5)</f>
        <v>205</v>
      </c>
      <c r="T26" s="1490">
        <f>MROUND('[3]POA 2021 OIR '!T26,5)</f>
        <v>205</v>
      </c>
      <c r="U26" s="1490">
        <f>MROUND('[3]POA 2021 OIR '!U26,5)</f>
        <v>205</v>
      </c>
      <c r="V26" s="1833">
        <v>4</v>
      </c>
      <c r="W26" s="1829">
        <v>6</v>
      </c>
      <c r="X26" s="1829">
        <v>5</v>
      </c>
      <c r="Y26" s="1490">
        <f>MROUND('[3]POA 2021 OIR '!Y26,5)</f>
        <v>205</v>
      </c>
      <c r="Z26" s="1490">
        <f>MROUND('[3]POA 2021 OIR '!Z26,5)</f>
        <v>205</v>
      </c>
      <c r="AA26" s="1490">
        <f>MROUND('[3]POA 2021 OIR '!AA26,5)</f>
        <v>205</v>
      </c>
      <c r="AB26" s="1833">
        <v>5</v>
      </c>
      <c r="AC26" s="1833">
        <v>2</v>
      </c>
      <c r="AD26" s="1833">
        <v>2</v>
      </c>
      <c r="AE26" s="1490">
        <f>MROUND('[3]POA 2021 OIR '!AE26,5)</f>
        <v>205</v>
      </c>
      <c r="AF26" s="1490">
        <f>MROUND('[3]POA 2021 OIR '!AF26,5)</f>
        <v>205</v>
      </c>
      <c r="AG26" s="1490">
        <f>MROUND('[3]POA 2021 OIR '!AG26,5)</f>
        <v>205</v>
      </c>
      <c r="AH26" s="677">
        <f t="shared" si="16"/>
        <v>2460</v>
      </c>
      <c r="AI26" s="1490">
        <f t="shared" si="17"/>
        <v>2460</v>
      </c>
      <c r="AJ26" s="1834"/>
      <c r="AK26" s="1834"/>
      <c r="AL26" s="1834"/>
      <c r="AM26" s="1834"/>
      <c r="AN26" s="1834"/>
      <c r="AO26" s="671" t="s">
        <v>928</v>
      </c>
      <c r="AP26" s="671" t="s">
        <v>4194</v>
      </c>
      <c r="AQ26" s="2221"/>
    </row>
    <row r="27" spans="1:43" ht="15">
      <c r="A27" s="1494"/>
      <c r="B27" s="322" t="s">
        <v>1728</v>
      </c>
      <c r="C27" s="1495"/>
      <c r="D27" s="1496"/>
      <c r="E27" s="1496"/>
      <c r="F27" s="1496"/>
      <c r="G27" s="1497"/>
      <c r="H27" s="1497">
        <f>SUM(H11:H26)</f>
        <v>100</v>
      </c>
      <c r="I27" s="1497"/>
      <c r="J27" s="1498">
        <f>J14+J19</f>
        <v>0</v>
      </c>
      <c r="K27" s="1498"/>
      <c r="L27" s="1498"/>
      <c r="M27" s="1499">
        <f>SUM(M11)</f>
        <v>6200</v>
      </c>
      <c r="N27" s="1499">
        <f t="shared" ref="N27:O27" si="19">SUM(N11)</f>
        <v>6860</v>
      </c>
      <c r="O27" s="1499">
        <f t="shared" si="19"/>
        <v>2480</v>
      </c>
      <c r="P27" s="1500"/>
      <c r="Q27" s="1500"/>
      <c r="R27" s="1500"/>
      <c r="S27" s="1499">
        <f t="shared" ref="S27:U27" si="20">SUM(S11)</f>
        <v>6610</v>
      </c>
      <c r="T27" s="1499">
        <f t="shared" si="20"/>
        <v>2480</v>
      </c>
      <c r="U27" s="1499">
        <f t="shared" si="20"/>
        <v>2480</v>
      </c>
      <c r="V27" s="1501"/>
      <c r="W27" s="1501"/>
      <c r="X27" s="1501"/>
      <c r="Y27" s="1499">
        <f t="shared" ref="Y27:AA27" si="21">SUM(Y11)</f>
        <v>9835</v>
      </c>
      <c r="Z27" s="1499">
        <f t="shared" si="21"/>
        <v>2480</v>
      </c>
      <c r="AA27" s="1499">
        <f t="shared" si="21"/>
        <v>2480</v>
      </c>
      <c r="AB27" s="1500"/>
      <c r="AC27" s="1500"/>
      <c r="AD27" s="1500"/>
      <c r="AE27" s="1499">
        <f t="shared" ref="AE27:AI27" si="22">SUM(AE11)</f>
        <v>2480</v>
      </c>
      <c r="AF27" s="1499">
        <f t="shared" si="22"/>
        <v>2730</v>
      </c>
      <c r="AG27" s="1499">
        <f t="shared" si="22"/>
        <v>2480</v>
      </c>
      <c r="AH27" s="1499">
        <f t="shared" si="22"/>
        <v>49595</v>
      </c>
      <c r="AI27" s="1499">
        <f t="shared" si="22"/>
        <v>49595</v>
      </c>
      <c r="AJ27" s="1839"/>
      <c r="AK27" s="1839"/>
      <c r="AL27" s="1839"/>
      <c r="AM27" s="1839"/>
      <c r="AN27" s="1839"/>
      <c r="AO27" s="1502"/>
      <c r="AP27" s="1502"/>
      <c r="AQ27" s="1502"/>
    </row>
  </sheetData>
  <sheetProtection algorithmName="SHA-512" hashValue="FbqGabTfX1t+o3PaiqPw3teAA60LrCi4Kjjsk+OdFHHhrCCPXeuTR2i0Q5CJHQVL9JpnnFQxognUoOXRu8vA8w==" saltValue="9d5pLrbIc4bu+h1OjbEetg==" spinCount="100000" sheet="1" objects="1" scenarios="1"/>
  <mergeCells count="47">
    <mergeCell ref="AK8:AK10"/>
    <mergeCell ref="AL8:AL10"/>
    <mergeCell ref="AM8:AM10"/>
    <mergeCell ref="AQ25:AQ26"/>
    <mergeCell ref="A21:A22"/>
    <mergeCell ref="B21:B22"/>
    <mergeCell ref="E21:E22"/>
    <mergeCell ref="F21:F22"/>
    <mergeCell ref="I21:I22"/>
    <mergeCell ref="AQ21:AQ22"/>
    <mergeCell ref="A25:A26"/>
    <mergeCell ref="B25:B26"/>
    <mergeCell ref="E25:E26"/>
    <mergeCell ref="F25:F26"/>
    <mergeCell ref="I25:I26"/>
    <mergeCell ref="J7:AH7"/>
    <mergeCell ref="AI7:AN7"/>
    <mergeCell ref="AO7:AO10"/>
    <mergeCell ref="AP7:AP10"/>
    <mergeCell ref="AN8:AN10"/>
    <mergeCell ref="J9:L9"/>
    <mergeCell ref="M9:O9"/>
    <mergeCell ref="P9:R9"/>
    <mergeCell ref="S9:U9"/>
    <mergeCell ref="V9:X9"/>
    <mergeCell ref="Y9:AA9"/>
    <mergeCell ref="AB9:AD9"/>
    <mergeCell ref="AE9:AG9"/>
    <mergeCell ref="AH8:AH10"/>
    <mergeCell ref="AI8:AI10"/>
    <mergeCell ref="AJ8:AJ10"/>
    <mergeCell ref="A1:AQ1"/>
    <mergeCell ref="A2:AQ2"/>
    <mergeCell ref="A7:A10"/>
    <mergeCell ref="B7:B10"/>
    <mergeCell ref="C7:C10"/>
    <mergeCell ref="D7:D10"/>
    <mergeCell ref="E7:E10"/>
    <mergeCell ref="F7:F10"/>
    <mergeCell ref="G7:G10"/>
    <mergeCell ref="H7:H10"/>
    <mergeCell ref="AQ7:AQ10"/>
    <mergeCell ref="J8:O8"/>
    <mergeCell ref="P8:U8"/>
    <mergeCell ref="V8:AA8"/>
    <mergeCell ref="AB8:AG8"/>
    <mergeCell ref="I7:I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96"/>
  <sheetViews>
    <sheetView workbookViewId="0">
      <selection activeCell="D13" sqref="D13"/>
    </sheetView>
  </sheetViews>
  <sheetFormatPr baseColWidth="10" defaultRowHeight="14.4"/>
  <cols>
    <col min="1" max="1" width="16.5546875" bestFit="1" customWidth="1"/>
    <col min="2" max="2" width="31" customWidth="1"/>
    <col min="3" max="3" width="9.109375" customWidth="1"/>
    <col min="4" max="4" width="12.6640625" bestFit="1" customWidth="1"/>
    <col min="5" max="5" width="22.6640625" customWidth="1"/>
    <col min="6" max="6" width="17.88671875" customWidth="1"/>
    <col min="7" max="7" width="9.44140625" customWidth="1"/>
    <col min="8" max="8" width="9.109375" customWidth="1"/>
    <col min="9" max="9" width="9" customWidth="1"/>
    <col min="10" max="12" width="8.33203125" bestFit="1" customWidth="1"/>
    <col min="13" max="13" width="14.5546875" customWidth="1"/>
    <col min="14" max="14" width="16" customWidth="1"/>
    <col min="15" max="15" width="15.33203125" customWidth="1"/>
    <col min="16" max="16" width="9" customWidth="1"/>
    <col min="17" max="17" width="9.44140625" customWidth="1"/>
    <col min="18" max="18" width="8.5546875" customWidth="1"/>
    <col min="19" max="19" width="13.44140625" customWidth="1"/>
    <col min="20" max="20" width="14.5546875" bestFit="1" customWidth="1"/>
    <col min="21" max="21" width="11.88671875" customWidth="1"/>
    <col min="22" max="24" width="8.33203125" bestFit="1" customWidth="1"/>
    <col min="25" max="25" width="14.33203125" customWidth="1"/>
    <col min="26" max="26" width="15.33203125" customWidth="1"/>
    <col min="27" max="27" width="14" customWidth="1"/>
    <col min="28" max="30" width="8.33203125" bestFit="1" customWidth="1"/>
    <col min="31" max="31" width="14.44140625" customWidth="1"/>
    <col min="32" max="32" width="14.109375" customWidth="1"/>
    <col min="33" max="33" width="13.109375" customWidth="1"/>
    <col min="34" max="34" width="17.109375" customWidth="1"/>
    <col min="35" max="35" width="16" customWidth="1"/>
    <col min="36" max="36" width="8.109375" bestFit="1" customWidth="1"/>
    <col min="37" max="37" width="14.44140625" bestFit="1" customWidth="1"/>
    <col min="38" max="38" width="14.5546875" bestFit="1" customWidth="1"/>
    <col min="39" max="39" width="12.6640625" bestFit="1" customWidth="1"/>
    <col min="40" max="40" width="9.88671875" bestFit="1" customWidth="1"/>
    <col min="41" max="41" width="14.6640625" customWidth="1"/>
    <col min="42" max="42" width="21.44140625" customWidth="1"/>
    <col min="43" max="43" width="15" customWidth="1"/>
  </cols>
  <sheetData>
    <row r="1" spans="1:43" ht="17.399999999999999">
      <c r="A1" s="1966" t="s">
        <v>393</v>
      </c>
      <c r="B1" s="1966"/>
      <c r="C1" s="1966"/>
      <c r="D1" s="1966"/>
      <c r="E1" s="1966"/>
      <c r="F1" s="1966"/>
      <c r="G1" s="1966"/>
      <c r="H1" s="1966"/>
      <c r="I1" s="1966"/>
      <c r="J1" s="1966"/>
      <c r="K1" s="1966"/>
      <c r="L1" s="1966"/>
      <c r="M1" s="1966"/>
      <c r="N1" s="1966"/>
      <c r="O1" s="1966"/>
      <c r="P1" s="1966"/>
      <c r="Q1" s="1966"/>
      <c r="R1" s="1966"/>
      <c r="S1" s="1966"/>
      <c r="T1" s="1966"/>
      <c r="U1" s="1966"/>
      <c r="V1" s="1966"/>
      <c r="W1" s="1966"/>
      <c r="X1" s="1966"/>
      <c r="Y1" s="1966"/>
      <c r="Z1" s="1966"/>
      <c r="AA1" s="1966"/>
      <c r="AB1" s="1966"/>
      <c r="AC1" s="1966"/>
      <c r="AD1" s="1966"/>
      <c r="AE1" s="1966"/>
      <c r="AF1" s="1966"/>
      <c r="AG1" s="1966"/>
      <c r="AH1" s="1966"/>
      <c r="AI1" s="1966"/>
      <c r="AJ1" s="1966"/>
      <c r="AK1" s="1966"/>
      <c r="AL1" s="1966"/>
      <c r="AM1" s="1966"/>
      <c r="AN1" s="1966"/>
      <c r="AO1" s="1966"/>
      <c r="AP1" s="1966"/>
      <c r="AQ1" s="1967"/>
    </row>
    <row r="2" spans="1:43" ht="17.399999999999999">
      <c r="A2" s="1966" t="s">
        <v>394</v>
      </c>
      <c r="B2" s="1966"/>
      <c r="C2" s="1966"/>
      <c r="D2" s="1966"/>
      <c r="E2" s="1966"/>
      <c r="F2" s="1966"/>
      <c r="G2" s="1966"/>
      <c r="H2" s="1966"/>
      <c r="I2" s="1966"/>
      <c r="J2" s="1966"/>
      <c r="K2" s="1966"/>
      <c r="L2" s="1966"/>
      <c r="M2" s="1966"/>
      <c r="N2" s="1966"/>
      <c r="O2" s="1966"/>
      <c r="P2" s="1966"/>
      <c r="Q2" s="1966"/>
      <c r="R2" s="1966"/>
      <c r="S2" s="1966"/>
      <c r="T2" s="1966"/>
      <c r="U2" s="1966"/>
      <c r="V2" s="1966"/>
      <c r="W2" s="1966"/>
      <c r="X2" s="1966"/>
      <c r="Y2" s="1966"/>
      <c r="Z2" s="1966"/>
      <c r="AA2" s="1966"/>
      <c r="AB2" s="1966"/>
      <c r="AC2" s="1966"/>
      <c r="AD2" s="1966"/>
      <c r="AE2" s="1966"/>
      <c r="AF2" s="1966"/>
      <c r="AG2" s="1966"/>
      <c r="AH2" s="1966"/>
      <c r="AI2" s="1966"/>
      <c r="AJ2" s="1966"/>
      <c r="AK2" s="1966"/>
      <c r="AL2" s="1966"/>
      <c r="AM2" s="1966"/>
      <c r="AN2" s="1966"/>
      <c r="AO2" s="1966"/>
      <c r="AP2" s="1966"/>
      <c r="AQ2" s="1967"/>
    </row>
    <row r="3" spans="1:43" ht="17.399999999999999">
      <c r="A3" s="1968" t="s">
        <v>395</v>
      </c>
      <c r="B3" s="1968"/>
      <c r="C3" s="1968"/>
      <c r="D3" s="1968"/>
      <c r="E3" s="1968"/>
      <c r="F3" s="1968"/>
      <c r="G3" s="1968"/>
      <c r="H3" s="1968"/>
      <c r="I3" s="1968"/>
      <c r="J3" s="1968"/>
      <c r="K3" s="1968"/>
      <c r="L3" s="1968"/>
      <c r="M3" s="1968"/>
      <c r="N3" s="1968"/>
      <c r="O3" s="1968"/>
      <c r="P3" s="1968"/>
      <c r="Q3" s="1968"/>
      <c r="R3" s="1968"/>
      <c r="S3" s="1968"/>
      <c r="T3" s="1968"/>
      <c r="U3" s="1968"/>
      <c r="V3" s="1968"/>
      <c r="W3" s="1968"/>
      <c r="X3" s="1968"/>
      <c r="Y3" s="1968"/>
      <c r="Z3" s="1968"/>
      <c r="AA3" s="1968"/>
      <c r="AB3" s="1968"/>
      <c r="AC3" s="1968"/>
      <c r="AD3" s="1968"/>
      <c r="AE3" s="1968"/>
      <c r="AF3" s="1968"/>
      <c r="AG3" s="1968"/>
      <c r="AH3" s="1968"/>
      <c r="AI3" s="1968"/>
      <c r="AJ3" s="1968"/>
      <c r="AK3" s="1968"/>
      <c r="AL3" s="1968"/>
      <c r="AM3" s="1968"/>
      <c r="AN3" s="1968"/>
      <c r="AO3" s="1968"/>
      <c r="AP3" s="1968"/>
      <c r="AQ3" s="1968"/>
    </row>
    <row r="4" spans="1:43" ht="17.399999999999999">
      <c r="A4" s="83"/>
      <c r="B4" s="1969" t="s">
        <v>396</v>
      </c>
      <c r="C4" s="1969"/>
      <c r="D4" s="1969"/>
      <c r="E4" s="1969"/>
      <c r="F4" s="84"/>
      <c r="G4" s="85"/>
      <c r="H4" s="84"/>
      <c r="I4" s="84"/>
      <c r="J4" s="84"/>
      <c r="K4" s="84"/>
      <c r="L4" s="84"/>
      <c r="M4" s="86"/>
      <c r="N4" s="86"/>
      <c r="O4" s="86"/>
      <c r="P4" s="84"/>
      <c r="Q4" s="84"/>
      <c r="R4" s="84"/>
      <c r="S4" s="86"/>
      <c r="T4" s="86"/>
      <c r="U4" s="86"/>
      <c r="V4" s="84"/>
      <c r="W4" s="84"/>
      <c r="X4" s="84"/>
      <c r="Y4" s="84"/>
      <c r="Z4" s="84"/>
      <c r="AA4" s="84"/>
      <c r="AB4" s="84"/>
      <c r="AC4" s="84"/>
      <c r="AD4" s="84"/>
      <c r="AE4" s="84"/>
      <c r="AF4" s="84"/>
      <c r="AG4" s="84"/>
      <c r="AH4" s="84"/>
      <c r="AI4" s="84"/>
      <c r="AJ4" s="84"/>
      <c r="AK4" s="84"/>
      <c r="AL4" s="84"/>
      <c r="AM4" s="84"/>
      <c r="AN4" s="84"/>
      <c r="AO4" s="87"/>
      <c r="AP4" s="87"/>
      <c r="AQ4" s="87"/>
    </row>
    <row r="5" spans="1:43" ht="17.399999999999999">
      <c r="A5" s="83"/>
      <c r="B5" s="1969" t="s">
        <v>397</v>
      </c>
      <c r="C5" s="1969"/>
      <c r="D5" s="1969"/>
      <c r="E5" s="1969"/>
      <c r="F5" s="1969"/>
      <c r="G5" s="1969"/>
      <c r="H5" s="1969"/>
      <c r="I5" s="1969"/>
      <c r="J5" s="84"/>
      <c r="K5" s="84"/>
      <c r="L5" s="84"/>
      <c r="M5" s="86"/>
      <c r="N5" s="86"/>
      <c r="O5" s="86"/>
      <c r="P5" s="84"/>
      <c r="Q5" s="84"/>
      <c r="R5" s="84"/>
      <c r="S5" s="86"/>
      <c r="T5" s="86"/>
      <c r="U5" s="86"/>
      <c r="V5" s="84"/>
      <c r="W5" s="84"/>
      <c r="X5" s="84"/>
      <c r="Y5" s="84"/>
      <c r="Z5" s="84"/>
      <c r="AA5" s="84"/>
      <c r="AB5" s="84"/>
      <c r="AC5" s="84"/>
      <c r="AD5" s="84"/>
      <c r="AE5" s="84"/>
      <c r="AF5" s="84"/>
      <c r="AG5" s="84"/>
      <c r="AH5" s="84"/>
      <c r="AI5" s="84"/>
      <c r="AJ5" s="84"/>
      <c r="AK5" s="84"/>
      <c r="AL5" s="84"/>
      <c r="AM5" s="84"/>
      <c r="AN5" s="84"/>
      <c r="AO5" s="87"/>
      <c r="AP5" s="87"/>
      <c r="AQ5" s="87"/>
    </row>
    <row r="6" spans="1:43" ht="17.399999999999999">
      <c r="A6" s="83"/>
      <c r="B6" s="1970" t="s">
        <v>4</v>
      </c>
      <c r="C6" s="1970"/>
      <c r="D6" s="1970"/>
      <c r="E6" s="1970"/>
      <c r="F6" s="88"/>
      <c r="G6" s="89"/>
      <c r="H6" s="88"/>
      <c r="I6" s="90"/>
      <c r="J6" s="90"/>
      <c r="K6" s="90"/>
      <c r="L6" s="90"/>
      <c r="M6" s="91"/>
      <c r="N6" s="91"/>
      <c r="O6" s="91"/>
      <c r="P6" s="90"/>
      <c r="Q6" s="90"/>
      <c r="R6" s="90"/>
      <c r="S6" s="91"/>
      <c r="T6" s="91"/>
      <c r="U6" s="91"/>
      <c r="V6" s="90"/>
      <c r="W6" s="90"/>
      <c r="X6" s="90"/>
      <c r="Y6" s="90"/>
      <c r="Z6" s="90"/>
      <c r="AA6" s="90"/>
      <c r="AB6" s="90"/>
      <c r="AC6" s="90"/>
      <c r="AD6" s="90"/>
      <c r="AE6" s="90"/>
      <c r="AF6" s="90"/>
      <c r="AG6" s="90"/>
      <c r="AH6" s="90"/>
      <c r="AI6" s="90"/>
      <c r="AJ6" s="90"/>
      <c r="AK6" s="90"/>
      <c r="AL6" s="90"/>
      <c r="AM6" s="90"/>
      <c r="AN6" s="90"/>
      <c r="AO6" s="92"/>
      <c r="AP6" s="92"/>
      <c r="AQ6" s="92"/>
    </row>
    <row r="7" spans="1:43" ht="15.6">
      <c r="A7" s="1991" t="s">
        <v>5</v>
      </c>
      <c r="B7" s="1973" t="s">
        <v>398</v>
      </c>
      <c r="C7" s="1994" t="s">
        <v>7</v>
      </c>
      <c r="D7" s="1971" t="s">
        <v>399</v>
      </c>
      <c r="E7" s="1971" t="s">
        <v>9</v>
      </c>
      <c r="F7" s="1995" t="s">
        <v>10</v>
      </c>
      <c r="G7" s="1988" t="s">
        <v>400</v>
      </c>
      <c r="H7" s="1989" t="s">
        <v>12</v>
      </c>
      <c r="I7" s="1990" t="s">
        <v>401</v>
      </c>
      <c r="J7" s="1973" t="s">
        <v>14</v>
      </c>
      <c r="K7" s="1973"/>
      <c r="L7" s="1973"/>
      <c r="M7" s="1973"/>
      <c r="N7" s="1973"/>
      <c r="O7" s="1973"/>
      <c r="P7" s="1973"/>
      <c r="Q7" s="1973"/>
      <c r="R7" s="1973"/>
      <c r="S7" s="1973"/>
      <c r="T7" s="1973"/>
      <c r="U7" s="1973"/>
      <c r="V7" s="1973"/>
      <c r="W7" s="1973"/>
      <c r="X7" s="1973"/>
      <c r="Y7" s="1973"/>
      <c r="Z7" s="1973"/>
      <c r="AA7" s="1973"/>
      <c r="AB7" s="1973"/>
      <c r="AC7" s="1973"/>
      <c r="AD7" s="1973"/>
      <c r="AE7" s="1973"/>
      <c r="AF7" s="1973"/>
      <c r="AG7" s="1973"/>
      <c r="AH7" s="1973"/>
      <c r="AI7" s="1975" t="s">
        <v>15</v>
      </c>
      <c r="AJ7" s="1975"/>
      <c r="AK7" s="1975"/>
      <c r="AL7" s="1975"/>
      <c r="AM7" s="1975"/>
      <c r="AN7" s="1975"/>
      <c r="AO7" s="1971" t="s">
        <v>402</v>
      </c>
      <c r="AP7" s="1971" t="s">
        <v>17</v>
      </c>
      <c r="AQ7" s="1972" t="s">
        <v>18</v>
      </c>
    </row>
    <row r="8" spans="1:43" ht="15.6">
      <c r="A8" s="1992"/>
      <c r="B8" s="1973"/>
      <c r="C8" s="1994"/>
      <c r="D8" s="1971"/>
      <c r="E8" s="1971"/>
      <c r="F8" s="1995"/>
      <c r="G8" s="1988"/>
      <c r="H8" s="1989"/>
      <c r="I8" s="1990"/>
      <c r="J8" s="1973" t="s">
        <v>19</v>
      </c>
      <c r="K8" s="1973"/>
      <c r="L8" s="1973"/>
      <c r="M8" s="1973"/>
      <c r="N8" s="1973"/>
      <c r="O8" s="1973"/>
      <c r="P8" s="1973" t="s">
        <v>20</v>
      </c>
      <c r="Q8" s="1973"/>
      <c r="R8" s="1973"/>
      <c r="S8" s="1973"/>
      <c r="T8" s="1973"/>
      <c r="U8" s="1973"/>
      <c r="V8" s="1973" t="s">
        <v>21</v>
      </c>
      <c r="W8" s="1973"/>
      <c r="X8" s="1973"/>
      <c r="Y8" s="1973"/>
      <c r="Z8" s="1973"/>
      <c r="AA8" s="1973"/>
      <c r="AB8" s="1973" t="s">
        <v>22</v>
      </c>
      <c r="AC8" s="1973"/>
      <c r="AD8" s="1973"/>
      <c r="AE8" s="1973"/>
      <c r="AF8" s="1973"/>
      <c r="AG8" s="1973"/>
      <c r="AH8" s="1974" t="s">
        <v>403</v>
      </c>
      <c r="AI8" s="1975" t="s">
        <v>24</v>
      </c>
      <c r="AJ8" s="1975" t="s">
        <v>404</v>
      </c>
      <c r="AK8" s="1976" t="s">
        <v>405</v>
      </c>
      <c r="AL8" s="1975" t="s">
        <v>406</v>
      </c>
      <c r="AM8" s="1979" t="s">
        <v>407</v>
      </c>
      <c r="AN8" s="1979" t="s">
        <v>408</v>
      </c>
      <c r="AO8" s="1971"/>
      <c r="AP8" s="1971"/>
      <c r="AQ8" s="1972"/>
    </row>
    <row r="9" spans="1:43" ht="15.6">
      <c r="A9" s="1992"/>
      <c r="B9" s="1973"/>
      <c r="C9" s="1994"/>
      <c r="D9" s="1971"/>
      <c r="E9" s="1971"/>
      <c r="F9" s="1995"/>
      <c r="G9" s="1988"/>
      <c r="H9" s="1989"/>
      <c r="I9" s="1990"/>
      <c r="J9" s="1973" t="s">
        <v>30</v>
      </c>
      <c r="K9" s="1973"/>
      <c r="L9" s="1973"/>
      <c r="M9" s="1975" t="s">
        <v>31</v>
      </c>
      <c r="N9" s="1975"/>
      <c r="O9" s="1975"/>
      <c r="P9" s="1973" t="s">
        <v>30</v>
      </c>
      <c r="Q9" s="1973"/>
      <c r="R9" s="1973"/>
      <c r="S9" s="1975" t="s">
        <v>31</v>
      </c>
      <c r="T9" s="1975"/>
      <c r="U9" s="1975"/>
      <c r="V9" s="1973" t="s">
        <v>30</v>
      </c>
      <c r="W9" s="1973"/>
      <c r="X9" s="1973"/>
      <c r="Y9" s="1975" t="s">
        <v>31</v>
      </c>
      <c r="Z9" s="1975"/>
      <c r="AA9" s="1975"/>
      <c r="AB9" s="1973" t="s">
        <v>30</v>
      </c>
      <c r="AC9" s="1973"/>
      <c r="AD9" s="1973"/>
      <c r="AE9" s="1975" t="s">
        <v>31</v>
      </c>
      <c r="AF9" s="1975"/>
      <c r="AG9" s="1975"/>
      <c r="AH9" s="1974"/>
      <c r="AI9" s="1975"/>
      <c r="AJ9" s="1975"/>
      <c r="AK9" s="1977"/>
      <c r="AL9" s="1975"/>
      <c r="AM9" s="1979"/>
      <c r="AN9" s="1979"/>
      <c r="AO9" s="1971"/>
      <c r="AP9" s="1971"/>
      <c r="AQ9" s="1972"/>
    </row>
    <row r="10" spans="1:43" ht="15.6">
      <c r="A10" s="1993"/>
      <c r="B10" s="1973"/>
      <c r="C10" s="1994"/>
      <c r="D10" s="1971"/>
      <c r="E10" s="1971"/>
      <c r="F10" s="1995"/>
      <c r="G10" s="1988"/>
      <c r="H10" s="1989"/>
      <c r="I10" s="1990"/>
      <c r="J10" s="93" t="s">
        <v>32</v>
      </c>
      <c r="K10" s="93" t="s">
        <v>33</v>
      </c>
      <c r="L10" s="93" t="s">
        <v>34</v>
      </c>
      <c r="M10" s="94" t="s">
        <v>32</v>
      </c>
      <c r="N10" s="94" t="s">
        <v>33</v>
      </c>
      <c r="O10" s="94" t="s">
        <v>34</v>
      </c>
      <c r="P10" s="93" t="s">
        <v>35</v>
      </c>
      <c r="Q10" s="93" t="s">
        <v>34</v>
      </c>
      <c r="R10" s="93" t="s">
        <v>36</v>
      </c>
      <c r="S10" s="94" t="s">
        <v>35</v>
      </c>
      <c r="T10" s="94" t="s">
        <v>34</v>
      </c>
      <c r="U10" s="94" t="s">
        <v>36</v>
      </c>
      <c r="V10" s="95" t="s">
        <v>36</v>
      </c>
      <c r="W10" s="93" t="s">
        <v>35</v>
      </c>
      <c r="X10" s="93" t="s">
        <v>37</v>
      </c>
      <c r="Y10" s="94" t="s">
        <v>36</v>
      </c>
      <c r="Z10" s="94" t="s">
        <v>35</v>
      </c>
      <c r="AA10" s="94" t="s">
        <v>37</v>
      </c>
      <c r="AB10" s="93" t="s">
        <v>38</v>
      </c>
      <c r="AC10" s="93" t="s">
        <v>39</v>
      </c>
      <c r="AD10" s="93" t="s">
        <v>40</v>
      </c>
      <c r="AE10" s="94" t="s">
        <v>38</v>
      </c>
      <c r="AF10" s="94" t="s">
        <v>39</v>
      </c>
      <c r="AG10" s="94" t="s">
        <v>40</v>
      </c>
      <c r="AH10" s="1974"/>
      <c r="AI10" s="1975"/>
      <c r="AJ10" s="1975"/>
      <c r="AK10" s="1978"/>
      <c r="AL10" s="1975"/>
      <c r="AM10" s="1979"/>
      <c r="AN10" s="1979"/>
      <c r="AO10" s="1971"/>
      <c r="AP10" s="1971"/>
      <c r="AQ10" s="1972"/>
    </row>
    <row r="11" spans="1:43" ht="46.8">
      <c r="A11" s="96" t="s">
        <v>409</v>
      </c>
      <c r="B11" s="97" t="s">
        <v>410</v>
      </c>
      <c r="C11" s="98"/>
      <c r="D11" s="99"/>
      <c r="E11" s="99"/>
      <c r="F11" s="100"/>
      <c r="G11" s="101"/>
      <c r="H11" s="102"/>
      <c r="I11" s="101"/>
      <c r="J11" s="103"/>
      <c r="K11" s="103"/>
      <c r="L11" s="103"/>
      <c r="M11" s="104">
        <f t="shared" ref="M11:N11" si="0">M12+M74+M87</f>
        <v>45541</v>
      </c>
      <c r="N11" s="104">
        <f t="shared" si="0"/>
        <v>56291</v>
      </c>
      <c r="O11" s="104">
        <f>O12+O74+O87</f>
        <v>57466</v>
      </c>
      <c r="P11" s="105"/>
      <c r="Q11" s="105"/>
      <c r="R11" s="105"/>
      <c r="S11" s="104">
        <f t="shared" ref="S11:T11" si="1">S12+S74+S87</f>
        <v>52441</v>
      </c>
      <c r="T11" s="104">
        <f t="shared" si="1"/>
        <v>82942</v>
      </c>
      <c r="U11" s="104">
        <f>U12+U74+U87</f>
        <v>93327</v>
      </c>
      <c r="V11" s="105"/>
      <c r="W11" s="105"/>
      <c r="X11" s="105"/>
      <c r="Y11" s="104">
        <f t="shared" ref="Y11:Z11" si="2">Y12+Y74+Y87</f>
        <v>94127</v>
      </c>
      <c r="Z11" s="104">
        <f t="shared" si="2"/>
        <v>75807</v>
      </c>
      <c r="AA11" s="104">
        <f>AA12+AA74+AA87</f>
        <v>83700</v>
      </c>
      <c r="AB11" s="105"/>
      <c r="AC11" s="105"/>
      <c r="AD11" s="105"/>
      <c r="AE11" s="104">
        <f t="shared" ref="AE11:AF11" si="3">AE12+AE74+AE87</f>
        <v>60966</v>
      </c>
      <c r="AF11" s="104">
        <f t="shared" si="3"/>
        <v>77291</v>
      </c>
      <c r="AG11" s="104">
        <f>AG12+AG74+AG87</f>
        <v>55216</v>
      </c>
      <c r="AH11" s="104">
        <v>835115</v>
      </c>
      <c r="AI11" s="104">
        <v>835115</v>
      </c>
      <c r="AJ11" s="104"/>
      <c r="AK11" s="104"/>
      <c r="AL11" s="104"/>
      <c r="AM11" s="104"/>
      <c r="AN11" s="104"/>
      <c r="AO11" s="106"/>
      <c r="AP11" s="106"/>
      <c r="AQ11" s="107"/>
    </row>
    <row r="12" spans="1:43" ht="46.8">
      <c r="A12" s="108" t="s">
        <v>411</v>
      </c>
      <c r="B12" s="109" t="s">
        <v>412</v>
      </c>
      <c r="C12" s="110"/>
      <c r="D12" s="111"/>
      <c r="E12" s="111"/>
      <c r="F12" s="112"/>
      <c r="G12" s="113"/>
      <c r="H12" s="114"/>
      <c r="I12" s="113"/>
      <c r="J12" s="115"/>
      <c r="K12" s="115"/>
      <c r="L12" s="115"/>
      <c r="M12" s="116">
        <f t="shared" ref="M12:N12" si="4">M13+M27+M32+M43+M52+M59+M63</f>
        <v>45541</v>
      </c>
      <c r="N12" s="116">
        <f t="shared" si="4"/>
        <v>56291</v>
      </c>
      <c r="O12" s="116">
        <f>O13+O27+O32+O43+O52+O59+O63</f>
        <v>57091</v>
      </c>
      <c r="P12" s="115"/>
      <c r="Q12" s="115"/>
      <c r="R12" s="115"/>
      <c r="S12" s="116">
        <f>S13+S27+S32+S43+S52+S59+S63</f>
        <v>52441</v>
      </c>
      <c r="T12" s="116">
        <f t="shared" ref="T12:U12" si="5">T13+T27+T32+T43+T52+T59+T63</f>
        <v>82567</v>
      </c>
      <c r="U12" s="116">
        <f t="shared" si="5"/>
        <v>88552</v>
      </c>
      <c r="V12" s="115"/>
      <c r="W12" s="115"/>
      <c r="X12" s="115"/>
      <c r="Y12" s="116">
        <f>Y13+Y27+Y32+Y43+Y52+Y59+Y63</f>
        <v>90117</v>
      </c>
      <c r="Z12" s="116">
        <f t="shared" ref="Z12:AA12" si="6">Z13+Z27+Z32+Z43+Z52+Z59+Z63</f>
        <v>73832</v>
      </c>
      <c r="AA12" s="116">
        <f t="shared" si="6"/>
        <v>80200</v>
      </c>
      <c r="AB12" s="115"/>
      <c r="AC12" s="115"/>
      <c r="AD12" s="115"/>
      <c r="AE12" s="116">
        <f t="shared" ref="AE12:AG12" si="7">AE13+AE27+AE32+AE43+AE52+AE59+AE63</f>
        <v>60591</v>
      </c>
      <c r="AF12" s="116">
        <f t="shared" si="7"/>
        <v>70291</v>
      </c>
      <c r="AG12" s="116">
        <f t="shared" si="7"/>
        <v>54841</v>
      </c>
      <c r="AH12" s="116">
        <f>AH13+AH27+AH32+AH43+AH52+AH59+AH63</f>
        <v>812355</v>
      </c>
      <c r="AI12" s="116">
        <f>AI13+AI27+AI32+AI43+AI52+AI59+AI63</f>
        <v>812355</v>
      </c>
      <c r="AJ12" s="116"/>
      <c r="AK12" s="116"/>
      <c r="AL12" s="116"/>
      <c r="AM12" s="116"/>
      <c r="AN12" s="116"/>
      <c r="AO12" s="117"/>
      <c r="AP12" s="117"/>
      <c r="AQ12" s="118"/>
    </row>
    <row r="13" spans="1:43" ht="31.2">
      <c r="A13" s="119" t="s">
        <v>413</v>
      </c>
      <c r="B13" s="120" t="s">
        <v>414</v>
      </c>
      <c r="C13" s="121"/>
      <c r="D13" s="122"/>
      <c r="E13" s="122"/>
      <c r="F13" s="123"/>
      <c r="G13" s="124">
        <v>1.3</v>
      </c>
      <c r="H13" s="124">
        <v>1.3</v>
      </c>
      <c r="I13" s="124"/>
      <c r="J13" s="125"/>
      <c r="K13" s="125"/>
      <c r="L13" s="125"/>
      <c r="M13" s="126">
        <f>M14+M17+M20+M25</f>
        <v>7000</v>
      </c>
      <c r="N13" s="126">
        <f>N14+N17+N20+N25</f>
        <v>16750</v>
      </c>
      <c r="O13" s="126">
        <f>O14+O17+O20+O25</f>
        <v>16750</v>
      </c>
      <c r="P13" s="125"/>
      <c r="Q13" s="125"/>
      <c r="R13" s="125"/>
      <c r="S13" s="126">
        <f>S14+S17+S20+S25</f>
        <v>10000</v>
      </c>
      <c r="T13" s="126">
        <f>T14+T17+T20+T25</f>
        <v>10000</v>
      </c>
      <c r="U13" s="126">
        <f>U14+U17+U20+U25</f>
        <v>10000</v>
      </c>
      <c r="V13" s="125"/>
      <c r="W13" s="125"/>
      <c r="X13" s="125"/>
      <c r="Y13" s="126">
        <f>Y14+Y17+Y20+Y25</f>
        <v>7750</v>
      </c>
      <c r="Z13" s="126">
        <f>Z14+Z17+Z20+Z25</f>
        <v>7750</v>
      </c>
      <c r="AA13" s="126">
        <f>AA14+AA17+AA20+AA25</f>
        <v>27190</v>
      </c>
      <c r="AB13" s="125"/>
      <c r="AC13" s="125"/>
      <c r="AD13" s="125"/>
      <c r="AE13" s="126">
        <f>AE14+AE17+AE20+AE25</f>
        <v>16750</v>
      </c>
      <c r="AF13" s="126">
        <f>AF14+AF17+AF20+AF25</f>
        <v>16750</v>
      </c>
      <c r="AG13" s="126">
        <f>AG14+AG17+AG20+AG25</f>
        <v>15100</v>
      </c>
      <c r="AH13" s="126">
        <f>AH14+AH17+AH20+AH25</f>
        <v>161790</v>
      </c>
      <c r="AI13" s="126">
        <f>AI14+AI17+AI20+AI25</f>
        <v>161790</v>
      </c>
      <c r="AJ13" s="126"/>
      <c r="AK13" s="126"/>
      <c r="AL13" s="126"/>
      <c r="AM13" s="126"/>
      <c r="AN13" s="126"/>
      <c r="AO13" s="127"/>
      <c r="AP13" s="127"/>
      <c r="AQ13" s="128"/>
    </row>
    <row r="14" spans="1:43" ht="93.6">
      <c r="A14" s="129" t="s">
        <v>415</v>
      </c>
      <c r="B14" s="130" t="s">
        <v>416</v>
      </c>
      <c r="C14" s="131"/>
      <c r="D14" s="132"/>
      <c r="E14" s="132"/>
      <c r="F14" s="133"/>
      <c r="G14" s="134">
        <v>11</v>
      </c>
      <c r="H14" s="134"/>
      <c r="I14" s="135">
        <v>11</v>
      </c>
      <c r="J14" s="136"/>
      <c r="K14" s="136"/>
      <c r="L14" s="136"/>
      <c r="M14" s="137"/>
      <c r="N14" s="137">
        <f t="shared" ref="N14" si="8">N15+N16</f>
        <v>9000</v>
      </c>
      <c r="O14" s="137">
        <f>O15+O16</f>
        <v>9000</v>
      </c>
      <c r="P14" s="136"/>
      <c r="Q14" s="136"/>
      <c r="R14" s="136"/>
      <c r="S14" s="137"/>
      <c r="T14" s="137"/>
      <c r="U14" s="137"/>
      <c r="V14" s="136"/>
      <c r="W14" s="136"/>
      <c r="X14" s="136"/>
      <c r="Y14" s="137"/>
      <c r="Z14" s="137"/>
      <c r="AA14" s="137"/>
      <c r="AB14" s="136"/>
      <c r="AC14" s="136"/>
      <c r="AD14" s="136"/>
      <c r="AE14" s="137"/>
      <c r="AF14" s="137"/>
      <c r="AG14" s="137"/>
      <c r="AH14" s="137">
        <f>AH15+AH16</f>
        <v>18000</v>
      </c>
      <c r="AI14" s="137">
        <f>AI15+AI16</f>
        <v>18000</v>
      </c>
      <c r="AJ14" s="137"/>
      <c r="AK14" s="137"/>
      <c r="AL14" s="137"/>
      <c r="AM14" s="137"/>
      <c r="AN14" s="137"/>
      <c r="AO14" s="138"/>
      <c r="AP14" s="138"/>
      <c r="AQ14" s="139"/>
    </row>
    <row r="15" spans="1:43" ht="31.2">
      <c r="A15" s="1980" t="s">
        <v>417</v>
      </c>
      <c r="B15" s="1982" t="s">
        <v>418</v>
      </c>
      <c r="C15" s="140">
        <v>600</v>
      </c>
      <c r="D15" s="141" t="s">
        <v>419</v>
      </c>
      <c r="E15" s="1984" t="s">
        <v>420</v>
      </c>
      <c r="F15" s="1984" t="s">
        <v>421</v>
      </c>
      <c r="G15" s="1986">
        <v>100</v>
      </c>
      <c r="H15" s="1986"/>
      <c r="I15" s="1986"/>
      <c r="J15" s="142"/>
      <c r="K15" s="142">
        <v>300</v>
      </c>
      <c r="L15" s="142">
        <v>300</v>
      </c>
      <c r="M15" s="143"/>
      <c r="N15" s="143">
        <v>6300</v>
      </c>
      <c r="O15" s="143">
        <v>6300</v>
      </c>
      <c r="P15" s="142"/>
      <c r="Q15" s="142"/>
      <c r="R15" s="142"/>
      <c r="S15" s="143"/>
      <c r="T15" s="143"/>
      <c r="U15" s="143"/>
      <c r="V15" s="142"/>
      <c r="W15" s="142"/>
      <c r="X15" s="142"/>
      <c r="Y15" s="143"/>
      <c r="Z15" s="143"/>
      <c r="AA15" s="143"/>
      <c r="AB15" s="142"/>
      <c r="AC15" s="142"/>
      <c r="AD15" s="142"/>
      <c r="AE15" s="143"/>
      <c r="AF15" s="143"/>
      <c r="AG15" s="143"/>
      <c r="AH15" s="143">
        <v>12600</v>
      </c>
      <c r="AI15" s="144">
        <v>12600</v>
      </c>
      <c r="AJ15" s="143"/>
      <c r="AK15" s="143"/>
      <c r="AL15" s="143"/>
      <c r="AM15" s="143"/>
      <c r="AN15" s="143"/>
      <c r="AO15" s="145" t="s">
        <v>422</v>
      </c>
      <c r="AP15" s="146" t="s">
        <v>423</v>
      </c>
      <c r="AQ15" s="147"/>
    </row>
    <row r="16" spans="1:43" ht="31.2">
      <c r="A16" s="1981"/>
      <c r="B16" s="1983"/>
      <c r="C16" s="140">
        <v>200</v>
      </c>
      <c r="D16" s="141" t="s">
        <v>424</v>
      </c>
      <c r="E16" s="1985"/>
      <c r="F16" s="1985"/>
      <c r="G16" s="1987"/>
      <c r="H16" s="1987"/>
      <c r="I16" s="1987"/>
      <c r="J16" s="142"/>
      <c r="K16" s="142">
        <v>100</v>
      </c>
      <c r="L16" s="142">
        <v>100</v>
      </c>
      <c r="M16" s="143"/>
      <c r="N16" s="143">
        <v>2700</v>
      </c>
      <c r="O16" s="143">
        <v>2700</v>
      </c>
      <c r="P16" s="142"/>
      <c r="Q16" s="142"/>
      <c r="R16" s="142"/>
      <c r="S16" s="143"/>
      <c r="T16" s="143"/>
      <c r="U16" s="143"/>
      <c r="V16" s="142"/>
      <c r="W16" s="142"/>
      <c r="X16" s="142"/>
      <c r="Y16" s="143"/>
      <c r="Z16" s="143"/>
      <c r="AA16" s="143"/>
      <c r="AB16" s="142"/>
      <c r="AC16" s="142"/>
      <c r="AD16" s="142"/>
      <c r="AE16" s="143"/>
      <c r="AF16" s="143"/>
      <c r="AG16" s="143"/>
      <c r="AH16" s="143">
        <v>5400</v>
      </c>
      <c r="AI16" s="144">
        <v>5400</v>
      </c>
      <c r="AJ16" s="143"/>
      <c r="AK16" s="143"/>
      <c r="AL16" s="143"/>
      <c r="AM16" s="143"/>
      <c r="AN16" s="143"/>
      <c r="AO16" s="145" t="s">
        <v>422</v>
      </c>
      <c r="AP16" s="146" t="s">
        <v>423</v>
      </c>
      <c r="AQ16" s="147"/>
    </row>
    <row r="17" spans="1:43" ht="62.4">
      <c r="A17" s="129" t="s">
        <v>425</v>
      </c>
      <c r="B17" s="130" t="s">
        <v>426</v>
      </c>
      <c r="C17" s="131"/>
      <c r="D17" s="132"/>
      <c r="E17" s="148"/>
      <c r="F17" s="149"/>
      <c r="G17" s="134">
        <v>11</v>
      </c>
      <c r="H17" s="134"/>
      <c r="I17" s="135">
        <v>11</v>
      </c>
      <c r="J17" s="136"/>
      <c r="K17" s="136"/>
      <c r="L17" s="136"/>
      <c r="M17" s="137"/>
      <c r="N17" s="137"/>
      <c r="O17" s="137"/>
      <c r="P17" s="136"/>
      <c r="Q17" s="136"/>
      <c r="R17" s="136"/>
      <c r="S17" s="137"/>
      <c r="T17" s="137"/>
      <c r="U17" s="137"/>
      <c r="V17" s="136"/>
      <c r="W17" s="136"/>
      <c r="X17" s="136"/>
      <c r="Y17" s="137"/>
      <c r="Z17" s="137"/>
      <c r="AA17" s="137"/>
      <c r="AB17" s="136"/>
      <c r="AC17" s="136"/>
      <c r="AD17" s="136"/>
      <c r="AE17" s="137">
        <f>AE18+AE19</f>
        <v>9000</v>
      </c>
      <c r="AF17" s="137">
        <f>AF18+AF19</f>
        <v>9000</v>
      </c>
      <c r="AG17" s="137"/>
      <c r="AH17" s="137">
        <f>AH18+AH19</f>
        <v>18000</v>
      </c>
      <c r="AI17" s="137">
        <f>AI18+AI19</f>
        <v>18000</v>
      </c>
      <c r="AJ17" s="137"/>
      <c r="AK17" s="137"/>
      <c r="AL17" s="137"/>
      <c r="AM17" s="137"/>
      <c r="AN17" s="137"/>
      <c r="AO17" s="150"/>
      <c r="AP17" s="130"/>
      <c r="AQ17" s="151"/>
    </row>
    <row r="18" spans="1:43" ht="31.2">
      <c r="A18" s="1980" t="s">
        <v>427</v>
      </c>
      <c r="B18" s="1982" t="s">
        <v>428</v>
      </c>
      <c r="C18" s="140">
        <v>600</v>
      </c>
      <c r="D18" s="141" t="s">
        <v>419</v>
      </c>
      <c r="E18" s="1984" t="s">
        <v>429</v>
      </c>
      <c r="F18" s="1984" t="s">
        <v>421</v>
      </c>
      <c r="G18" s="1986">
        <v>100</v>
      </c>
      <c r="H18" s="1986"/>
      <c r="I18" s="1986"/>
      <c r="J18" s="142"/>
      <c r="K18" s="142"/>
      <c r="L18" s="142"/>
      <c r="M18" s="143"/>
      <c r="N18" s="143"/>
      <c r="O18" s="143"/>
      <c r="P18" s="142"/>
      <c r="Q18" s="142"/>
      <c r="R18" s="142"/>
      <c r="S18" s="143"/>
      <c r="T18" s="143"/>
      <c r="U18" s="143"/>
      <c r="V18" s="142"/>
      <c r="W18" s="142"/>
      <c r="X18" s="142"/>
      <c r="Y18" s="143"/>
      <c r="Z18" s="143"/>
      <c r="AA18" s="143"/>
      <c r="AB18" s="142">
        <v>300</v>
      </c>
      <c r="AC18" s="142">
        <v>300</v>
      </c>
      <c r="AD18" s="142"/>
      <c r="AE18" s="143">
        <v>6300</v>
      </c>
      <c r="AF18" s="143">
        <v>6300</v>
      </c>
      <c r="AG18" s="143"/>
      <c r="AH18" s="143">
        <v>12600</v>
      </c>
      <c r="AI18" s="144">
        <v>12600</v>
      </c>
      <c r="AJ18" s="143"/>
      <c r="AK18" s="143"/>
      <c r="AL18" s="143"/>
      <c r="AM18" s="143"/>
      <c r="AN18" s="143"/>
      <c r="AO18" s="145" t="s">
        <v>422</v>
      </c>
      <c r="AP18" s="146" t="s">
        <v>423</v>
      </c>
      <c r="AQ18" s="147"/>
    </row>
    <row r="19" spans="1:43" ht="31.2">
      <c r="A19" s="1981"/>
      <c r="B19" s="1983"/>
      <c r="C19" s="140">
        <v>200</v>
      </c>
      <c r="D19" s="141" t="s">
        <v>424</v>
      </c>
      <c r="E19" s="1985"/>
      <c r="F19" s="1985"/>
      <c r="G19" s="1987"/>
      <c r="H19" s="1987"/>
      <c r="I19" s="1987"/>
      <c r="J19" s="142"/>
      <c r="K19" s="142"/>
      <c r="L19" s="142"/>
      <c r="M19" s="143"/>
      <c r="N19" s="143"/>
      <c r="O19" s="143"/>
      <c r="P19" s="142"/>
      <c r="Q19" s="142"/>
      <c r="R19" s="142"/>
      <c r="S19" s="143"/>
      <c r="T19" s="143"/>
      <c r="U19" s="143"/>
      <c r="V19" s="142"/>
      <c r="W19" s="142"/>
      <c r="X19" s="142"/>
      <c r="Y19" s="143"/>
      <c r="Z19" s="143"/>
      <c r="AA19" s="143"/>
      <c r="AB19" s="142">
        <v>100</v>
      </c>
      <c r="AC19" s="142">
        <v>100</v>
      </c>
      <c r="AD19" s="142"/>
      <c r="AE19" s="143">
        <v>2700</v>
      </c>
      <c r="AF19" s="143">
        <v>2700</v>
      </c>
      <c r="AG19" s="143"/>
      <c r="AH19" s="143">
        <v>5400</v>
      </c>
      <c r="AI19" s="144">
        <v>5400</v>
      </c>
      <c r="AJ19" s="143"/>
      <c r="AK19" s="143"/>
      <c r="AL19" s="143"/>
      <c r="AM19" s="143"/>
      <c r="AN19" s="143"/>
      <c r="AO19" s="145" t="s">
        <v>422</v>
      </c>
      <c r="AP19" s="146" t="s">
        <v>423</v>
      </c>
      <c r="AQ19" s="147"/>
    </row>
    <row r="20" spans="1:43" ht="78">
      <c r="A20" s="129" t="s">
        <v>430</v>
      </c>
      <c r="B20" s="130" t="s">
        <v>431</v>
      </c>
      <c r="C20" s="131"/>
      <c r="D20" s="132"/>
      <c r="E20" s="148"/>
      <c r="F20" s="149"/>
      <c r="G20" s="134">
        <v>73</v>
      </c>
      <c r="H20" s="134"/>
      <c r="I20" s="135">
        <v>73</v>
      </c>
      <c r="J20" s="136"/>
      <c r="K20" s="136"/>
      <c r="L20" s="136"/>
      <c r="M20" s="137">
        <f t="shared" ref="M20:N20" si="9">M21+M22+M23+M24</f>
        <v>7000</v>
      </c>
      <c r="N20" s="137">
        <f t="shared" si="9"/>
        <v>7000</v>
      </c>
      <c r="O20" s="137">
        <f>O21+O22+O23+O24</f>
        <v>7000</v>
      </c>
      <c r="P20" s="136"/>
      <c r="Q20" s="136"/>
      <c r="R20" s="136"/>
      <c r="S20" s="137">
        <f t="shared" ref="S20:T20" si="10">S21+S22+S23+S24</f>
        <v>9250</v>
      </c>
      <c r="T20" s="137">
        <f t="shared" si="10"/>
        <v>9250</v>
      </c>
      <c r="U20" s="137">
        <f>U21+U22+U23+U24</f>
        <v>9250</v>
      </c>
      <c r="V20" s="136"/>
      <c r="W20" s="136"/>
      <c r="X20" s="136"/>
      <c r="Y20" s="137">
        <f t="shared" ref="Y20:Z20" si="11">Y21+Y22+Y23+Y24</f>
        <v>7000</v>
      </c>
      <c r="Z20" s="137">
        <f t="shared" si="11"/>
        <v>7000</v>
      </c>
      <c r="AA20" s="137">
        <f>AA21+AA22+AA23+AA24</f>
        <v>26440</v>
      </c>
      <c r="AB20" s="136"/>
      <c r="AC20" s="136"/>
      <c r="AD20" s="136"/>
      <c r="AE20" s="137">
        <f t="shared" ref="AE20:AI20" si="12">AE21+AE22+AE23+AE24</f>
        <v>7000</v>
      </c>
      <c r="AF20" s="137">
        <f t="shared" si="12"/>
        <v>7000</v>
      </c>
      <c r="AG20" s="137">
        <f t="shared" si="12"/>
        <v>15100</v>
      </c>
      <c r="AH20" s="137">
        <f>AH21+AH22+AH23+AH24</f>
        <v>118290</v>
      </c>
      <c r="AI20" s="137">
        <f t="shared" si="12"/>
        <v>118290</v>
      </c>
      <c r="AJ20" s="137"/>
      <c r="AK20" s="137"/>
      <c r="AL20" s="137"/>
      <c r="AM20" s="137"/>
      <c r="AN20" s="137"/>
      <c r="AO20" s="150"/>
      <c r="AP20" s="130"/>
      <c r="AQ20" s="151"/>
    </row>
    <row r="21" spans="1:43" ht="31.2">
      <c r="A21" s="1980" t="s">
        <v>432</v>
      </c>
      <c r="B21" s="1982" t="s">
        <v>433</v>
      </c>
      <c r="C21" s="140">
        <v>800</v>
      </c>
      <c r="D21" s="141" t="s">
        <v>419</v>
      </c>
      <c r="E21" s="1984" t="s">
        <v>434</v>
      </c>
      <c r="F21" s="1984" t="s">
        <v>435</v>
      </c>
      <c r="G21" s="1986">
        <v>71</v>
      </c>
      <c r="H21" s="1986"/>
      <c r="I21" s="1986"/>
      <c r="J21" s="142">
        <v>800</v>
      </c>
      <c r="K21" s="142">
        <v>800</v>
      </c>
      <c r="L21" s="142">
        <v>800</v>
      </c>
      <c r="M21" s="143">
        <v>5761</v>
      </c>
      <c r="N21" s="143">
        <v>5761</v>
      </c>
      <c r="O21" s="143">
        <v>5761</v>
      </c>
      <c r="P21" s="142">
        <v>800</v>
      </c>
      <c r="Q21" s="142">
        <v>800</v>
      </c>
      <c r="R21" s="142">
        <v>800</v>
      </c>
      <c r="S21" s="143">
        <v>5761</v>
      </c>
      <c r="T21" s="143">
        <v>5761</v>
      </c>
      <c r="U21" s="143">
        <v>5761</v>
      </c>
      <c r="V21" s="142">
        <v>800</v>
      </c>
      <c r="W21" s="142">
        <v>800</v>
      </c>
      <c r="X21" s="142">
        <v>800</v>
      </c>
      <c r="Y21" s="143">
        <v>5761</v>
      </c>
      <c r="Z21" s="143">
        <v>5761</v>
      </c>
      <c r="AA21" s="143">
        <v>5761</v>
      </c>
      <c r="AB21" s="142">
        <v>800</v>
      </c>
      <c r="AC21" s="142">
        <v>800</v>
      </c>
      <c r="AD21" s="142">
        <v>800</v>
      </c>
      <c r="AE21" s="143">
        <v>5761</v>
      </c>
      <c r="AF21" s="143">
        <v>5761</v>
      </c>
      <c r="AG21" s="143">
        <v>5761</v>
      </c>
      <c r="AH21" s="143">
        <v>69132</v>
      </c>
      <c r="AI21" s="144">
        <v>69132</v>
      </c>
      <c r="AJ21" s="143"/>
      <c r="AK21" s="143"/>
      <c r="AL21" s="143"/>
      <c r="AM21" s="143"/>
      <c r="AN21" s="143"/>
      <c r="AO21" s="145" t="s">
        <v>422</v>
      </c>
      <c r="AP21" s="146" t="s">
        <v>423</v>
      </c>
      <c r="AQ21" s="146" t="s">
        <v>436</v>
      </c>
    </row>
    <row r="22" spans="1:43" ht="31.2">
      <c r="A22" s="1981"/>
      <c r="B22" s="1983"/>
      <c r="C22" s="140">
        <v>150</v>
      </c>
      <c r="D22" s="141" t="s">
        <v>424</v>
      </c>
      <c r="E22" s="1985"/>
      <c r="F22" s="1985"/>
      <c r="G22" s="1987"/>
      <c r="H22" s="1987"/>
      <c r="I22" s="1987"/>
      <c r="J22" s="142">
        <v>150</v>
      </c>
      <c r="K22" s="142">
        <v>150</v>
      </c>
      <c r="L22" s="142">
        <v>150</v>
      </c>
      <c r="M22" s="143">
        <v>1239</v>
      </c>
      <c r="N22" s="143">
        <v>1239</v>
      </c>
      <c r="O22" s="143">
        <v>1239</v>
      </c>
      <c r="P22" s="142">
        <v>150</v>
      </c>
      <c r="Q22" s="142">
        <v>150</v>
      </c>
      <c r="R22" s="142">
        <v>150</v>
      </c>
      <c r="S22" s="143">
        <v>1239</v>
      </c>
      <c r="T22" s="143">
        <v>1239</v>
      </c>
      <c r="U22" s="143">
        <v>1239</v>
      </c>
      <c r="V22" s="142">
        <v>150</v>
      </c>
      <c r="W22" s="142">
        <v>150</v>
      </c>
      <c r="X22" s="142">
        <v>150</v>
      </c>
      <c r="Y22" s="143">
        <v>1239</v>
      </c>
      <c r="Z22" s="143">
        <v>1239</v>
      </c>
      <c r="AA22" s="143">
        <v>1239</v>
      </c>
      <c r="AB22" s="142">
        <v>150</v>
      </c>
      <c r="AC22" s="142">
        <v>150</v>
      </c>
      <c r="AD22" s="142">
        <v>150</v>
      </c>
      <c r="AE22" s="143">
        <v>1239</v>
      </c>
      <c r="AF22" s="143">
        <v>1239</v>
      </c>
      <c r="AG22" s="143">
        <v>1239</v>
      </c>
      <c r="AH22" s="143">
        <v>14868</v>
      </c>
      <c r="AI22" s="144">
        <v>14868</v>
      </c>
      <c r="AJ22" s="143"/>
      <c r="AK22" s="143"/>
      <c r="AL22" s="143"/>
      <c r="AM22" s="143"/>
      <c r="AN22" s="143"/>
      <c r="AO22" s="145" t="s">
        <v>422</v>
      </c>
      <c r="AP22" s="146" t="s">
        <v>423</v>
      </c>
      <c r="AQ22" s="146" t="s">
        <v>436</v>
      </c>
    </row>
    <row r="23" spans="1:43" ht="62.4">
      <c r="A23" s="152" t="s">
        <v>437</v>
      </c>
      <c r="B23" s="153" t="s">
        <v>438</v>
      </c>
      <c r="C23" s="154">
        <v>45</v>
      </c>
      <c r="D23" s="155" t="s">
        <v>439</v>
      </c>
      <c r="E23" s="156" t="s">
        <v>440</v>
      </c>
      <c r="F23" s="157" t="s">
        <v>421</v>
      </c>
      <c r="G23" s="158">
        <v>6</v>
      </c>
      <c r="H23" s="158"/>
      <c r="I23" s="158"/>
      <c r="J23" s="142"/>
      <c r="K23" s="142"/>
      <c r="L23" s="142"/>
      <c r="M23" s="143"/>
      <c r="N23" s="143"/>
      <c r="O23" s="143"/>
      <c r="P23" s="142">
        <v>15</v>
      </c>
      <c r="Q23" s="142">
        <v>15</v>
      </c>
      <c r="R23" s="142">
        <v>15</v>
      </c>
      <c r="S23" s="143">
        <v>2250</v>
      </c>
      <c r="T23" s="143">
        <v>2250</v>
      </c>
      <c r="U23" s="143">
        <v>2250</v>
      </c>
      <c r="V23" s="142"/>
      <c r="W23" s="142"/>
      <c r="X23" s="142"/>
      <c r="Y23" s="143"/>
      <c r="Z23" s="143"/>
      <c r="AA23" s="143"/>
      <c r="AB23" s="142"/>
      <c r="AC23" s="142"/>
      <c r="AD23" s="142"/>
      <c r="AE23" s="143"/>
      <c r="AF23" s="143"/>
      <c r="AG23" s="143"/>
      <c r="AH23" s="143">
        <v>6750</v>
      </c>
      <c r="AI23" s="144">
        <v>6750</v>
      </c>
      <c r="AJ23" s="143"/>
      <c r="AK23" s="143"/>
      <c r="AL23" s="143"/>
      <c r="AM23" s="143"/>
      <c r="AN23" s="143"/>
      <c r="AO23" s="145" t="s">
        <v>441</v>
      </c>
      <c r="AP23" s="146" t="s">
        <v>442</v>
      </c>
      <c r="AQ23" s="146"/>
    </row>
    <row r="24" spans="1:43" ht="46.8">
      <c r="A24" s="152" t="s">
        <v>443</v>
      </c>
      <c r="B24" s="153" t="s">
        <v>444</v>
      </c>
      <c r="C24" s="140">
        <v>306</v>
      </c>
      <c r="D24" s="159" t="s">
        <v>445</v>
      </c>
      <c r="E24" s="160" t="s">
        <v>446</v>
      </c>
      <c r="F24" s="157" t="s">
        <v>447</v>
      </c>
      <c r="G24" s="158">
        <v>23</v>
      </c>
      <c r="H24" s="158"/>
      <c r="I24" s="158"/>
      <c r="J24" s="142"/>
      <c r="K24" s="142"/>
      <c r="L24" s="142"/>
      <c r="M24" s="143"/>
      <c r="N24" s="143"/>
      <c r="O24" s="143"/>
      <c r="P24" s="142"/>
      <c r="Q24" s="142"/>
      <c r="R24" s="142"/>
      <c r="S24" s="143"/>
      <c r="T24" s="143"/>
      <c r="U24" s="143"/>
      <c r="V24" s="142"/>
      <c r="W24" s="142"/>
      <c r="X24" s="142">
        <v>216</v>
      </c>
      <c r="Y24" s="143">
        <v>0</v>
      </c>
      <c r="Z24" s="143"/>
      <c r="AA24" s="143">
        <v>19440</v>
      </c>
      <c r="AB24" s="142"/>
      <c r="AC24" s="142"/>
      <c r="AD24" s="142">
        <v>90</v>
      </c>
      <c r="AE24" s="143"/>
      <c r="AF24" s="143"/>
      <c r="AG24" s="143">
        <v>8100</v>
      </c>
      <c r="AH24" s="143">
        <v>27540</v>
      </c>
      <c r="AI24" s="144">
        <v>27540</v>
      </c>
      <c r="AJ24" s="143"/>
      <c r="AK24" s="143"/>
      <c r="AL24" s="143"/>
      <c r="AM24" s="143"/>
      <c r="AN24" s="143"/>
      <c r="AO24" s="145" t="s">
        <v>441</v>
      </c>
      <c r="AP24" s="146" t="s">
        <v>448</v>
      </c>
      <c r="AQ24" s="146"/>
    </row>
    <row r="25" spans="1:43" ht="78">
      <c r="A25" s="129" t="s">
        <v>449</v>
      </c>
      <c r="B25" s="130" t="s">
        <v>450</v>
      </c>
      <c r="C25" s="131"/>
      <c r="D25" s="161"/>
      <c r="E25" s="162"/>
      <c r="F25" s="149"/>
      <c r="G25" s="134">
        <v>5</v>
      </c>
      <c r="H25" s="134"/>
      <c r="I25" s="135">
        <v>5</v>
      </c>
      <c r="J25" s="136"/>
      <c r="K25" s="136"/>
      <c r="L25" s="136"/>
      <c r="M25" s="137"/>
      <c r="N25" s="137">
        <f t="shared" ref="N25" si="13">N26</f>
        <v>750</v>
      </c>
      <c r="O25" s="137">
        <f>O26</f>
        <v>750</v>
      </c>
      <c r="P25" s="136"/>
      <c r="Q25" s="136"/>
      <c r="R25" s="136"/>
      <c r="S25" s="137">
        <f t="shared" ref="S25:T25" si="14">S26</f>
        <v>750</v>
      </c>
      <c r="T25" s="137">
        <f t="shared" si="14"/>
        <v>750</v>
      </c>
      <c r="U25" s="137">
        <f>U26</f>
        <v>750</v>
      </c>
      <c r="V25" s="136"/>
      <c r="W25" s="136"/>
      <c r="X25" s="136"/>
      <c r="Y25" s="137">
        <f t="shared" ref="Y25:Z25" si="15">Y26</f>
        <v>750</v>
      </c>
      <c r="Z25" s="137">
        <f t="shared" si="15"/>
        <v>750</v>
      </c>
      <c r="AA25" s="137">
        <f>AA26</f>
        <v>750</v>
      </c>
      <c r="AB25" s="136"/>
      <c r="AC25" s="136"/>
      <c r="AD25" s="136"/>
      <c r="AE25" s="137">
        <f t="shared" ref="AE25:AF25" si="16">AE26</f>
        <v>750</v>
      </c>
      <c r="AF25" s="137">
        <f t="shared" si="16"/>
        <v>750</v>
      </c>
      <c r="AG25" s="137"/>
      <c r="AH25" s="163">
        <f>AH26</f>
        <v>7500</v>
      </c>
      <c r="AI25" s="163">
        <f>AI26</f>
        <v>7500</v>
      </c>
      <c r="AJ25" s="137"/>
      <c r="AK25" s="137"/>
      <c r="AL25" s="137"/>
      <c r="AM25" s="137"/>
      <c r="AN25" s="137"/>
      <c r="AO25" s="150"/>
      <c r="AP25" s="130"/>
      <c r="AQ25" s="130"/>
    </row>
    <row r="26" spans="1:43" ht="78">
      <c r="A26" s="152" t="s">
        <v>451</v>
      </c>
      <c r="B26" s="153" t="s">
        <v>452</v>
      </c>
      <c r="C26" s="164">
        <v>100</v>
      </c>
      <c r="D26" s="165" t="s">
        <v>445</v>
      </c>
      <c r="E26" s="166" t="s">
        <v>453</v>
      </c>
      <c r="F26" s="167" t="s">
        <v>454</v>
      </c>
      <c r="G26" s="158">
        <v>100</v>
      </c>
      <c r="H26" s="158"/>
      <c r="I26" s="158"/>
      <c r="J26" s="168">
        <v>0</v>
      </c>
      <c r="K26" s="168">
        <v>10</v>
      </c>
      <c r="L26" s="168">
        <v>10</v>
      </c>
      <c r="M26" s="169"/>
      <c r="N26" s="169">
        <v>750</v>
      </c>
      <c r="O26" s="169">
        <v>750</v>
      </c>
      <c r="P26" s="168">
        <v>10</v>
      </c>
      <c r="Q26" s="168">
        <v>10</v>
      </c>
      <c r="R26" s="168">
        <v>10</v>
      </c>
      <c r="S26" s="169">
        <v>750</v>
      </c>
      <c r="T26" s="169">
        <v>750</v>
      </c>
      <c r="U26" s="169">
        <v>750</v>
      </c>
      <c r="V26" s="168">
        <v>10</v>
      </c>
      <c r="W26" s="168">
        <v>10</v>
      </c>
      <c r="X26" s="168">
        <v>10</v>
      </c>
      <c r="Y26" s="169">
        <v>750</v>
      </c>
      <c r="Z26" s="169">
        <v>750</v>
      </c>
      <c r="AA26" s="169">
        <v>750</v>
      </c>
      <c r="AB26" s="168">
        <v>10</v>
      </c>
      <c r="AC26" s="168">
        <v>10</v>
      </c>
      <c r="AD26" s="168"/>
      <c r="AE26" s="169">
        <v>750</v>
      </c>
      <c r="AF26" s="169">
        <v>750</v>
      </c>
      <c r="AG26" s="169"/>
      <c r="AH26" s="169">
        <v>7500</v>
      </c>
      <c r="AI26" s="144">
        <v>7500</v>
      </c>
      <c r="AJ26" s="143"/>
      <c r="AK26" s="143"/>
      <c r="AL26" s="143"/>
      <c r="AM26" s="143"/>
      <c r="AN26" s="143"/>
      <c r="AO26" s="145" t="s">
        <v>441</v>
      </c>
      <c r="AP26" s="146" t="s">
        <v>455</v>
      </c>
      <c r="AQ26" s="146"/>
    </row>
    <row r="27" spans="1:43" ht="46.8">
      <c r="A27" s="119" t="s">
        <v>456</v>
      </c>
      <c r="B27" s="120" t="s">
        <v>457</v>
      </c>
      <c r="C27" s="121"/>
      <c r="D27" s="122"/>
      <c r="E27" s="170"/>
      <c r="F27" s="171"/>
      <c r="G27" s="124">
        <v>1</v>
      </c>
      <c r="H27" s="124">
        <v>1</v>
      </c>
      <c r="I27" s="124"/>
      <c r="J27" s="125"/>
      <c r="K27" s="125"/>
      <c r="L27" s="125"/>
      <c r="M27" s="126"/>
      <c r="N27" s="126"/>
      <c r="O27" s="126"/>
      <c r="P27" s="125"/>
      <c r="Q27" s="125"/>
      <c r="R27" s="125"/>
      <c r="S27" s="126"/>
      <c r="T27" s="126"/>
      <c r="U27" s="126"/>
      <c r="V27" s="125"/>
      <c r="W27" s="125"/>
      <c r="X27" s="125"/>
      <c r="Y27" s="126">
        <f t="shared" ref="Y27" si="17">Y28</f>
        <v>10500</v>
      </c>
      <c r="Z27" s="126"/>
      <c r="AA27" s="126"/>
      <c r="AB27" s="125"/>
      <c r="AC27" s="125"/>
      <c r="AD27" s="125"/>
      <c r="AE27" s="126"/>
      <c r="AF27" s="126"/>
      <c r="AG27" s="126"/>
      <c r="AH27" s="126">
        <f>AH28</f>
        <v>10500</v>
      </c>
      <c r="AI27" s="126">
        <f t="shared" ref="AI27" si="18">AI28</f>
        <v>10500</v>
      </c>
      <c r="AJ27" s="126"/>
      <c r="AK27" s="126"/>
      <c r="AL27" s="126"/>
      <c r="AM27" s="126"/>
      <c r="AN27" s="126"/>
      <c r="AO27" s="127"/>
      <c r="AP27" s="120"/>
      <c r="AQ27" s="120"/>
    </row>
    <row r="28" spans="1:43" ht="93.6">
      <c r="A28" s="129" t="s">
        <v>458</v>
      </c>
      <c r="B28" s="130" t="s">
        <v>459</v>
      </c>
      <c r="C28" s="131"/>
      <c r="D28" s="161"/>
      <c r="E28" s="162"/>
      <c r="F28" s="149"/>
      <c r="G28" s="134">
        <v>100</v>
      </c>
      <c r="H28" s="134"/>
      <c r="I28" s="135">
        <v>100</v>
      </c>
      <c r="J28" s="136"/>
      <c r="K28" s="136"/>
      <c r="L28" s="136"/>
      <c r="M28" s="137"/>
      <c r="N28" s="137"/>
      <c r="O28" s="137"/>
      <c r="P28" s="136"/>
      <c r="Q28" s="136"/>
      <c r="R28" s="136"/>
      <c r="S28" s="137"/>
      <c r="T28" s="137"/>
      <c r="U28" s="137"/>
      <c r="V28" s="136"/>
      <c r="W28" s="136"/>
      <c r="X28" s="136"/>
      <c r="Y28" s="137">
        <f t="shared" ref="Y28" si="19">Y29+Y30+Y31</f>
        <v>10500</v>
      </c>
      <c r="Z28" s="137"/>
      <c r="AA28" s="137"/>
      <c r="AB28" s="136"/>
      <c r="AC28" s="136"/>
      <c r="AD28" s="136"/>
      <c r="AE28" s="137"/>
      <c r="AF28" s="137"/>
      <c r="AG28" s="137"/>
      <c r="AH28" s="137">
        <f>AH29+AH30+AH31</f>
        <v>10500</v>
      </c>
      <c r="AI28" s="137">
        <f>AI29+AI30+AI31</f>
        <v>10500</v>
      </c>
      <c r="AJ28" s="137"/>
      <c r="AK28" s="137"/>
      <c r="AL28" s="137"/>
      <c r="AM28" s="137"/>
      <c r="AN28" s="137"/>
      <c r="AO28" s="150"/>
      <c r="AP28" s="130"/>
      <c r="AQ28" s="130"/>
    </row>
    <row r="29" spans="1:43" ht="78">
      <c r="A29" s="152" t="s">
        <v>460</v>
      </c>
      <c r="B29" s="153" t="s">
        <v>461</v>
      </c>
      <c r="C29" s="154">
        <v>1</v>
      </c>
      <c r="D29" s="155" t="s">
        <v>462</v>
      </c>
      <c r="E29" s="156" t="s">
        <v>463</v>
      </c>
      <c r="F29" s="157" t="s">
        <v>464</v>
      </c>
      <c r="G29" s="158">
        <v>33</v>
      </c>
      <c r="H29" s="158"/>
      <c r="I29" s="158"/>
      <c r="J29" s="142"/>
      <c r="K29" s="142"/>
      <c r="L29" s="142"/>
      <c r="M29" s="143"/>
      <c r="N29" s="143"/>
      <c r="O29" s="143"/>
      <c r="P29" s="142"/>
      <c r="Q29" s="142"/>
      <c r="R29" s="142"/>
      <c r="S29" s="143"/>
      <c r="T29" s="143"/>
      <c r="U29" s="143"/>
      <c r="V29" s="142">
        <v>1</v>
      </c>
      <c r="W29" s="142"/>
      <c r="X29" s="142"/>
      <c r="Y29" s="143">
        <v>3500</v>
      </c>
      <c r="Z29" s="143"/>
      <c r="AA29" s="143"/>
      <c r="AB29" s="142"/>
      <c r="AC29" s="142"/>
      <c r="AD29" s="142"/>
      <c r="AE29" s="143"/>
      <c r="AF29" s="143"/>
      <c r="AG29" s="143"/>
      <c r="AH29" s="143">
        <v>3500</v>
      </c>
      <c r="AI29" s="172">
        <v>3500</v>
      </c>
      <c r="AJ29" s="143"/>
      <c r="AK29" s="143"/>
      <c r="AL29" s="143"/>
      <c r="AM29" s="143"/>
      <c r="AN29" s="143"/>
      <c r="AO29" s="145" t="s">
        <v>465</v>
      </c>
      <c r="AP29" s="146" t="s">
        <v>466</v>
      </c>
      <c r="AQ29" s="146"/>
    </row>
    <row r="30" spans="1:43" ht="62.4">
      <c r="A30" s="152" t="s">
        <v>427</v>
      </c>
      <c r="B30" s="153" t="s">
        <v>467</v>
      </c>
      <c r="C30" s="154">
        <v>1</v>
      </c>
      <c r="D30" s="155" t="s">
        <v>462</v>
      </c>
      <c r="E30" s="156" t="s">
        <v>468</v>
      </c>
      <c r="F30" s="157" t="s">
        <v>464</v>
      </c>
      <c r="G30" s="158">
        <v>33</v>
      </c>
      <c r="H30" s="158"/>
      <c r="I30" s="158"/>
      <c r="J30" s="142"/>
      <c r="K30" s="142"/>
      <c r="L30" s="142"/>
      <c r="M30" s="143"/>
      <c r="N30" s="143"/>
      <c r="O30" s="143"/>
      <c r="P30" s="142"/>
      <c r="Q30" s="142"/>
      <c r="R30" s="142"/>
      <c r="S30" s="143"/>
      <c r="T30" s="143"/>
      <c r="U30" s="143"/>
      <c r="V30" s="142">
        <v>1</v>
      </c>
      <c r="W30" s="142"/>
      <c r="X30" s="142"/>
      <c r="Y30" s="143">
        <v>3500</v>
      </c>
      <c r="Z30" s="143"/>
      <c r="AA30" s="143"/>
      <c r="AB30" s="142"/>
      <c r="AC30" s="142"/>
      <c r="AD30" s="142"/>
      <c r="AE30" s="143"/>
      <c r="AF30" s="143"/>
      <c r="AG30" s="143"/>
      <c r="AH30" s="143">
        <v>3500</v>
      </c>
      <c r="AI30" s="172">
        <v>3500</v>
      </c>
      <c r="AJ30" s="143"/>
      <c r="AK30" s="143"/>
      <c r="AL30" s="143"/>
      <c r="AM30" s="143"/>
      <c r="AN30" s="143"/>
      <c r="AO30" s="145" t="s">
        <v>465</v>
      </c>
      <c r="AP30" s="146" t="s">
        <v>466</v>
      </c>
      <c r="AQ30" s="146"/>
    </row>
    <row r="31" spans="1:43" ht="62.4">
      <c r="A31" s="152" t="s">
        <v>469</v>
      </c>
      <c r="B31" s="173" t="s">
        <v>470</v>
      </c>
      <c r="C31" s="154">
        <v>1</v>
      </c>
      <c r="D31" s="155" t="s">
        <v>462</v>
      </c>
      <c r="E31" s="156" t="s">
        <v>471</v>
      </c>
      <c r="F31" s="157" t="s">
        <v>464</v>
      </c>
      <c r="G31" s="158">
        <v>34</v>
      </c>
      <c r="H31" s="158"/>
      <c r="I31" s="158"/>
      <c r="J31" s="142"/>
      <c r="K31" s="142"/>
      <c r="L31" s="142"/>
      <c r="M31" s="143"/>
      <c r="N31" s="143"/>
      <c r="O31" s="143"/>
      <c r="P31" s="142"/>
      <c r="Q31" s="142"/>
      <c r="R31" s="142"/>
      <c r="S31" s="143"/>
      <c r="T31" s="143"/>
      <c r="U31" s="143"/>
      <c r="V31" s="142">
        <v>1</v>
      </c>
      <c r="W31" s="142"/>
      <c r="X31" s="142"/>
      <c r="Y31" s="143">
        <v>3500</v>
      </c>
      <c r="Z31" s="143"/>
      <c r="AA31" s="143"/>
      <c r="AB31" s="142"/>
      <c r="AC31" s="142"/>
      <c r="AD31" s="142"/>
      <c r="AE31" s="143"/>
      <c r="AF31" s="143"/>
      <c r="AG31" s="143"/>
      <c r="AH31" s="143">
        <v>3500</v>
      </c>
      <c r="AI31" s="172">
        <v>3500</v>
      </c>
      <c r="AJ31" s="143"/>
      <c r="AK31" s="143"/>
      <c r="AL31" s="143"/>
      <c r="AM31" s="143"/>
      <c r="AN31" s="143"/>
      <c r="AO31" s="145" t="s">
        <v>465</v>
      </c>
      <c r="AP31" s="146" t="s">
        <v>466</v>
      </c>
      <c r="AQ31" s="146"/>
    </row>
    <row r="32" spans="1:43" ht="31.2">
      <c r="A32" s="119" t="s">
        <v>472</v>
      </c>
      <c r="B32" s="120" t="s">
        <v>473</v>
      </c>
      <c r="C32" s="121"/>
      <c r="D32" s="122"/>
      <c r="E32" s="170"/>
      <c r="F32" s="171"/>
      <c r="G32" s="124">
        <v>0.22</v>
      </c>
      <c r="H32" s="124">
        <v>0.22</v>
      </c>
      <c r="I32" s="124"/>
      <c r="J32" s="125"/>
      <c r="K32" s="125"/>
      <c r="L32" s="125"/>
      <c r="M32" s="126">
        <f>M33+M37+M40</f>
        <v>16160</v>
      </c>
      <c r="N32" s="126">
        <f t="shared" ref="N32:AI32" si="20">N33+N37+N40</f>
        <v>17160</v>
      </c>
      <c r="O32" s="126">
        <f t="shared" si="20"/>
        <v>17960</v>
      </c>
      <c r="P32" s="125"/>
      <c r="Q32" s="125"/>
      <c r="R32" s="125"/>
      <c r="S32" s="126">
        <f t="shared" si="20"/>
        <v>20060</v>
      </c>
      <c r="T32" s="126">
        <f t="shared" si="20"/>
        <v>31234</v>
      </c>
      <c r="U32" s="126">
        <f t="shared" si="20"/>
        <v>37219</v>
      </c>
      <c r="V32" s="125"/>
      <c r="W32" s="125"/>
      <c r="X32" s="125"/>
      <c r="Y32" s="126">
        <f t="shared" si="20"/>
        <v>30834</v>
      </c>
      <c r="Z32" s="126">
        <f t="shared" si="20"/>
        <v>24749</v>
      </c>
      <c r="AA32" s="126">
        <f t="shared" si="20"/>
        <v>24749</v>
      </c>
      <c r="AB32" s="125"/>
      <c r="AC32" s="125"/>
      <c r="AD32" s="125"/>
      <c r="AE32" s="126">
        <f t="shared" si="20"/>
        <v>17960</v>
      </c>
      <c r="AF32" s="126">
        <f t="shared" si="20"/>
        <v>17160</v>
      </c>
      <c r="AG32" s="126">
        <f t="shared" si="20"/>
        <v>16160</v>
      </c>
      <c r="AH32" s="126">
        <f>AH33+AH37+AH40</f>
        <v>271405</v>
      </c>
      <c r="AI32" s="126">
        <f t="shared" si="20"/>
        <v>271405</v>
      </c>
      <c r="AJ32" s="126"/>
      <c r="AK32" s="126"/>
      <c r="AL32" s="126"/>
      <c r="AM32" s="126"/>
      <c r="AN32" s="126"/>
      <c r="AO32" s="127"/>
      <c r="AP32" s="120"/>
      <c r="AQ32" s="120"/>
    </row>
    <row r="33" spans="1:43" ht="78">
      <c r="A33" s="129" t="s">
        <v>474</v>
      </c>
      <c r="B33" s="130" t="s">
        <v>475</v>
      </c>
      <c r="C33" s="131"/>
      <c r="D33" s="132"/>
      <c r="E33" s="174"/>
      <c r="F33" s="149"/>
      <c r="G33" s="134">
        <v>21</v>
      </c>
      <c r="H33" s="134"/>
      <c r="I33" s="135">
        <v>21</v>
      </c>
      <c r="J33" s="136"/>
      <c r="K33" s="136"/>
      <c r="L33" s="136"/>
      <c r="M33" s="137">
        <f t="shared" ref="M33:N33" si="21">M34+M35+M36</f>
        <v>200</v>
      </c>
      <c r="N33" s="137">
        <f t="shared" si="21"/>
        <v>200</v>
      </c>
      <c r="O33" s="137">
        <f>O34+O35+O36</f>
        <v>1000</v>
      </c>
      <c r="P33" s="136"/>
      <c r="Q33" s="136"/>
      <c r="R33" s="136"/>
      <c r="S33" s="137">
        <f t="shared" ref="S33:T33" si="22">S34+S35+S36</f>
        <v>1100</v>
      </c>
      <c r="T33" s="137">
        <f t="shared" si="22"/>
        <v>12274</v>
      </c>
      <c r="U33" s="137">
        <f>U34+U35+U36</f>
        <v>18259</v>
      </c>
      <c r="V33" s="136"/>
      <c r="W33" s="136"/>
      <c r="X33" s="136"/>
      <c r="Y33" s="137">
        <f t="shared" ref="Y33:Z33" si="23">Y34+Y35+Y36</f>
        <v>11874</v>
      </c>
      <c r="Z33" s="137">
        <f t="shared" si="23"/>
        <v>5789</v>
      </c>
      <c r="AA33" s="137">
        <f>AA34+AA35+AA36</f>
        <v>5789</v>
      </c>
      <c r="AB33" s="136"/>
      <c r="AC33" s="136"/>
      <c r="AD33" s="136"/>
      <c r="AE33" s="137">
        <f t="shared" ref="AE33:AF33" si="24">AE34+AE35+AE36</f>
        <v>1000</v>
      </c>
      <c r="AF33" s="137">
        <f t="shared" si="24"/>
        <v>200</v>
      </c>
      <c r="AG33" s="137">
        <f>AG34+AG35+AG36</f>
        <v>200</v>
      </c>
      <c r="AH33" s="137">
        <f>AH34+AH35+AH36</f>
        <v>57885</v>
      </c>
      <c r="AI33" s="137">
        <f t="shared" ref="AI33" si="25">AI34+AI35+AI36</f>
        <v>57885</v>
      </c>
      <c r="AJ33" s="137"/>
      <c r="AK33" s="137"/>
      <c r="AL33" s="137"/>
      <c r="AM33" s="137"/>
      <c r="AN33" s="137"/>
      <c r="AO33" s="150"/>
      <c r="AP33" s="130"/>
      <c r="AQ33" s="130"/>
    </row>
    <row r="34" spans="1:43" ht="93.6">
      <c r="A34" s="175" t="s">
        <v>476</v>
      </c>
      <c r="B34" s="153" t="s">
        <v>477</v>
      </c>
      <c r="C34" s="140">
        <v>25</v>
      </c>
      <c r="D34" s="141" t="s">
        <v>478</v>
      </c>
      <c r="E34" s="160" t="s">
        <v>479</v>
      </c>
      <c r="F34" s="176" t="s">
        <v>52</v>
      </c>
      <c r="G34" s="158">
        <v>41</v>
      </c>
      <c r="H34" s="158"/>
      <c r="I34" s="158"/>
      <c r="J34" s="142"/>
      <c r="K34" s="142"/>
      <c r="L34" s="142"/>
      <c r="M34" s="143"/>
      <c r="N34" s="143"/>
      <c r="O34" s="143"/>
      <c r="P34" s="142"/>
      <c r="Q34" s="142">
        <v>5</v>
      </c>
      <c r="R34" s="142">
        <v>5</v>
      </c>
      <c r="S34" s="143"/>
      <c r="T34" s="143">
        <v>4789</v>
      </c>
      <c r="U34" s="143">
        <v>4789</v>
      </c>
      <c r="V34" s="142">
        <v>5</v>
      </c>
      <c r="W34" s="142">
        <v>5</v>
      </c>
      <c r="X34" s="142">
        <v>5</v>
      </c>
      <c r="Y34" s="143">
        <v>4789</v>
      </c>
      <c r="Z34" s="143">
        <v>4789</v>
      </c>
      <c r="AA34" s="143">
        <v>4789</v>
      </c>
      <c r="AB34" s="142"/>
      <c r="AC34" s="142"/>
      <c r="AD34" s="142"/>
      <c r="AE34" s="143"/>
      <c r="AF34" s="143"/>
      <c r="AG34" s="143"/>
      <c r="AH34" s="143">
        <v>23945</v>
      </c>
      <c r="AI34" s="172">
        <v>23945</v>
      </c>
      <c r="AJ34" s="143"/>
      <c r="AK34" s="143"/>
      <c r="AL34" s="143"/>
      <c r="AM34" s="143"/>
      <c r="AN34" s="143"/>
      <c r="AO34" s="145" t="s">
        <v>422</v>
      </c>
      <c r="AP34" s="146" t="s">
        <v>423</v>
      </c>
      <c r="AQ34" s="146"/>
    </row>
    <row r="35" spans="1:43" ht="78">
      <c r="A35" s="175" t="s">
        <v>480</v>
      </c>
      <c r="B35" s="153" t="s">
        <v>481</v>
      </c>
      <c r="C35" s="140">
        <v>15</v>
      </c>
      <c r="D35" s="141" t="s">
        <v>478</v>
      </c>
      <c r="E35" s="160" t="s">
        <v>479</v>
      </c>
      <c r="F35" s="176" t="s">
        <v>52</v>
      </c>
      <c r="G35" s="158">
        <v>41</v>
      </c>
      <c r="H35" s="158"/>
      <c r="I35" s="158"/>
      <c r="J35" s="142"/>
      <c r="K35" s="142"/>
      <c r="L35" s="142"/>
      <c r="M35" s="143"/>
      <c r="N35" s="143"/>
      <c r="O35" s="143"/>
      <c r="P35" s="142"/>
      <c r="Q35" s="142">
        <v>3</v>
      </c>
      <c r="R35" s="142">
        <v>6</v>
      </c>
      <c r="S35" s="143"/>
      <c r="T35" s="143">
        <v>5985</v>
      </c>
      <c r="U35" s="143">
        <v>11970</v>
      </c>
      <c r="V35" s="142">
        <v>6</v>
      </c>
      <c r="W35" s="142"/>
      <c r="X35" s="142"/>
      <c r="Y35" s="143">
        <v>5985</v>
      </c>
      <c r="Z35" s="143"/>
      <c r="AA35" s="143"/>
      <c r="AB35" s="142"/>
      <c r="AC35" s="142"/>
      <c r="AD35" s="142"/>
      <c r="AE35" s="143"/>
      <c r="AF35" s="143"/>
      <c r="AG35" s="143"/>
      <c r="AH35" s="143">
        <v>23940</v>
      </c>
      <c r="AI35" s="172">
        <v>23940</v>
      </c>
      <c r="AJ35" s="143"/>
      <c r="AK35" s="143"/>
      <c r="AL35" s="143"/>
      <c r="AM35" s="143"/>
      <c r="AN35" s="143"/>
      <c r="AO35" s="145" t="s">
        <v>422</v>
      </c>
      <c r="AP35" s="146" t="s">
        <v>423</v>
      </c>
      <c r="AQ35" s="146"/>
    </row>
    <row r="36" spans="1:43" ht="93.6">
      <c r="A36" s="152" t="s">
        <v>482</v>
      </c>
      <c r="B36" s="153" t="s">
        <v>483</v>
      </c>
      <c r="C36" s="154">
        <v>10000</v>
      </c>
      <c r="D36" s="155" t="s">
        <v>484</v>
      </c>
      <c r="E36" s="156" t="s">
        <v>485</v>
      </c>
      <c r="F36" s="157" t="s">
        <v>435</v>
      </c>
      <c r="G36" s="158">
        <v>18</v>
      </c>
      <c r="H36" s="158"/>
      <c r="I36" s="158"/>
      <c r="J36" s="142">
        <v>200</v>
      </c>
      <c r="K36" s="142">
        <v>200</v>
      </c>
      <c r="L36" s="142">
        <v>1000</v>
      </c>
      <c r="M36" s="143">
        <v>200</v>
      </c>
      <c r="N36" s="143">
        <v>200</v>
      </c>
      <c r="O36" s="143">
        <v>1000</v>
      </c>
      <c r="P36" s="142">
        <v>1100</v>
      </c>
      <c r="Q36" s="142">
        <v>1500</v>
      </c>
      <c r="R36" s="142">
        <v>1500</v>
      </c>
      <c r="S36" s="143">
        <v>1100</v>
      </c>
      <c r="T36" s="143">
        <v>1500</v>
      </c>
      <c r="U36" s="143">
        <v>1500</v>
      </c>
      <c r="V36" s="142">
        <v>1100</v>
      </c>
      <c r="W36" s="142">
        <v>1000</v>
      </c>
      <c r="X36" s="142">
        <v>1000</v>
      </c>
      <c r="Y36" s="143">
        <v>1100</v>
      </c>
      <c r="Z36" s="143">
        <v>1000</v>
      </c>
      <c r="AA36" s="143">
        <v>1000</v>
      </c>
      <c r="AB36" s="142">
        <v>1000</v>
      </c>
      <c r="AC36" s="142">
        <v>200</v>
      </c>
      <c r="AD36" s="142">
        <v>200</v>
      </c>
      <c r="AE36" s="143">
        <v>1000</v>
      </c>
      <c r="AF36" s="143">
        <v>200</v>
      </c>
      <c r="AG36" s="143">
        <v>200</v>
      </c>
      <c r="AH36" s="143">
        <v>10000</v>
      </c>
      <c r="AI36" s="172">
        <v>10000</v>
      </c>
      <c r="AJ36" s="143"/>
      <c r="AK36" s="143"/>
      <c r="AL36" s="143"/>
      <c r="AM36" s="143"/>
      <c r="AN36" s="143"/>
      <c r="AO36" s="177" t="s">
        <v>441</v>
      </c>
      <c r="AP36" s="146" t="s">
        <v>486</v>
      </c>
      <c r="AQ36" s="146"/>
    </row>
    <row r="37" spans="1:43" ht="78">
      <c r="A37" s="129" t="s">
        <v>487</v>
      </c>
      <c r="B37" s="130" t="s">
        <v>488</v>
      </c>
      <c r="C37" s="131"/>
      <c r="D37" s="132"/>
      <c r="E37" s="174"/>
      <c r="F37" s="149"/>
      <c r="G37" s="134">
        <v>8</v>
      </c>
      <c r="H37" s="134"/>
      <c r="I37" s="135">
        <v>8</v>
      </c>
      <c r="J37" s="136"/>
      <c r="K37" s="136"/>
      <c r="L37" s="136"/>
      <c r="M37" s="137">
        <f t="shared" ref="M37:N37" si="26">M38+M39</f>
        <v>0</v>
      </c>
      <c r="N37" s="137">
        <f t="shared" si="26"/>
        <v>1000</v>
      </c>
      <c r="O37" s="137">
        <f>O38+O39</f>
        <v>1000</v>
      </c>
      <c r="P37" s="136"/>
      <c r="Q37" s="136"/>
      <c r="R37" s="136"/>
      <c r="S37" s="137">
        <f t="shared" ref="S37:T37" si="27">S38+S39</f>
        <v>3000</v>
      </c>
      <c r="T37" s="137">
        <f t="shared" si="27"/>
        <v>3000</v>
      </c>
      <c r="U37" s="137">
        <f>U38+U39</f>
        <v>3000</v>
      </c>
      <c r="V37" s="136"/>
      <c r="W37" s="136"/>
      <c r="X37" s="136"/>
      <c r="Y37" s="137">
        <f t="shared" ref="Y37:Z37" si="28">Y38+Y39</f>
        <v>3000</v>
      </c>
      <c r="Z37" s="137">
        <f t="shared" si="28"/>
        <v>3000</v>
      </c>
      <c r="AA37" s="137">
        <f>AA38+AA39</f>
        <v>3000</v>
      </c>
      <c r="AB37" s="136"/>
      <c r="AC37" s="136"/>
      <c r="AD37" s="136"/>
      <c r="AE37" s="137">
        <f t="shared" ref="AE37:AF37" si="29">AE38+AE39</f>
        <v>1000</v>
      </c>
      <c r="AF37" s="137">
        <f t="shared" si="29"/>
        <v>1000</v>
      </c>
      <c r="AG37" s="137"/>
      <c r="AH37" s="137">
        <f>AH38+AH39</f>
        <v>22000</v>
      </c>
      <c r="AI37" s="137">
        <f t="shared" ref="AI37" si="30">AI38+AI39</f>
        <v>22000</v>
      </c>
      <c r="AJ37" s="137"/>
      <c r="AK37" s="137"/>
      <c r="AL37" s="137"/>
      <c r="AM37" s="137"/>
      <c r="AN37" s="137"/>
      <c r="AO37" s="150"/>
      <c r="AP37" s="130"/>
      <c r="AQ37" s="130"/>
    </row>
    <row r="38" spans="1:43" ht="78">
      <c r="A38" s="152" t="s">
        <v>489</v>
      </c>
      <c r="B38" s="178" t="s">
        <v>490</v>
      </c>
      <c r="C38" s="179">
        <v>2000</v>
      </c>
      <c r="D38" s="180" t="s">
        <v>484</v>
      </c>
      <c r="E38" s="178" t="s">
        <v>491</v>
      </c>
      <c r="F38" s="181" t="s">
        <v>435</v>
      </c>
      <c r="G38" s="158">
        <v>9</v>
      </c>
      <c r="H38" s="158"/>
      <c r="I38" s="158"/>
      <c r="J38" s="142">
        <v>0</v>
      </c>
      <c r="K38" s="142">
        <v>1000</v>
      </c>
      <c r="L38" s="142">
        <v>1000</v>
      </c>
      <c r="M38" s="143"/>
      <c r="N38" s="143">
        <v>1000</v>
      </c>
      <c r="O38" s="143">
        <v>1000</v>
      </c>
      <c r="P38" s="142"/>
      <c r="Q38" s="142"/>
      <c r="R38" s="142"/>
      <c r="S38" s="143"/>
      <c r="T38" s="143"/>
      <c r="U38" s="143"/>
      <c r="V38" s="142"/>
      <c r="W38" s="142"/>
      <c r="X38" s="142"/>
      <c r="Y38" s="143"/>
      <c r="Z38" s="143"/>
      <c r="AA38" s="143"/>
      <c r="AB38" s="142"/>
      <c r="AC38" s="142"/>
      <c r="AD38" s="142"/>
      <c r="AE38" s="143"/>
      <c r="AF38" s="143"/>
      <c r="AG38" s="143"/>
      <c r="AH38" s="143">
        <v>2000</v>
      </c>
      <c r="AI38" s="172">
        <v>2000</v>
      </c>
      <c r="AJ38" s="143"/>
      <c r="AK38" s="143"/>
      <c r="AL38" s="143"/>
      <c r="AM38" s="143"/>
      <c r="AN38" s="143"/>
      <c r="AO38" s="177" t="s">
        <v>441</v>
      </c>
      <c r="AP38" s="146" t="s">
        <v>492</v>
      </c>
      <c r="AQ38" s="146"/>
    </row>
    <row r="39" spans="1:43" ht="78">
      <c r="A39" s="152" t="s">
        <v>493</v>
      </c>
      <c r="B39" s="178" t="s">
        <v>494</v>
      </c>
      <c r="C39" s="179">
        <v>20000</v>
      </c>
      <c r="D39" s="180" t="s">
        <v>484</v>
      </c>
      <c r="E39" s="178" t="s">
        <v>495</v>
      </c>
      <c r="F39" s="181" t="s">
        <v>435</v>
      </c>
      <c r="G39" s="158">
        <v>91</v>
      </c>
      <c r="H39" s="158"/>
      <c r="I39" s="158"/>
      <c r="J39" s="142"/>
      <c r="K39" s="142"/>
      <c r="L39" s="142"/>
      <c r="M39" s="143"/>
      <c r="N39" s="143"/>
      <c r="O39" s="143"/>
      <c r="P39" s="142">
        <v>3000</v>
      </c>
      <c r="Q39" s="142">
        <v>3000</v>
      </c>
      <c r="R39" s="142">
        <v>3000</v>
      </c>
      <c r="S39" s="143">
        <v>3000</v>
      </c>
      <c r="T39" s="143">
        <v>3000</v>
      </c>
      <c r="U39" s="143">
        <v>3000</v>
      </c>
      <c r="V39" s="142">
        <v>3000</v>
      </c>
      <c r="W39" s="142">
        <v>3000</v>
      </c>
      <c r="X39" s="142">
        <v>3000</v>
      </c>
      <c r="Y39" s="143">
        <v>3000</v>
      </c>
      <c r="Z39" s="143">
        <v>3000</v>
      </c>
      <c r="AA39" s="143">
        <v>3000</v>
      </c>
      <c r="AB39" s="142">
        <v>1000</v>
      </c>
      <c r="AC39" s="142">
        <v>1000</v>
      </c>
      <c r="AD39" s="142"/>
      <c r="AE39" s="143">
        <v>1000</v>
      </c>
      <c r="AF39" s="143">
        <v>1000</v>
      </c>
      <c r="AG39" s="143"/>
      <c r="AH39" s="143">
        <v>20000</v>
      </c>
      <c r="AI39" s="172">
        <v>20000</v>
      </c>
      <c r="AJ39" s="143"/>
      <c r="AK39" s="143"/>
      <c r="AL39" s="143"/>
      <c r="AM39" s="143"/>
      <c r="AN39" s="143"/>
      <c r="AO39" s="177" t="s">
        <v>441</v>
      </c>
      <c r="AP39" s="146" t="s">
        <v>492</v>
      </c>
      <c r="AQ39" s="146"/>
    </row>
    <row r="40" spans="1:43" ht="31.2">
      <c r="A40" s="129" t="s">
        <v>496</v>
      </c>
      <c r="B40" s="130" t="s">
        <v>497</v>
      </c>
      <c r="C40" s="131"/>
      <c r="D40" s="132"/>
      <c r="E40" s="174"/>
      <c r="F40" s="149"/>
      <c r="G40" s="134">
        <v>71</v>
      </c>
      <c r="H40" s="134"/>
      <c r="I40" s="135">
        <v>71</v>
      </c>
      <c r="J40" s="136"/>
      <c r="K40" s="136"/>
      <c r="L40" s="136"/>
      <c r="M40" s="137">
        <f t="shared" ref="M40:N40" si="31">M41+M42</f>
        <v>15960</v>
      </c>
      <c r="N40" s="137">
        <f t="shared" si="31"/>
        <v>15960</v>
      </c>
      <c r="O40" s="137">
        <f>O41+O42</f>
        <v>15960</v>
      </c>
      <c r="P40" s="136"/>
      <c r="Q40" s="136"/>
      <c r="R40" s="136"/>
      <c r="S40" s="137">
        <f t="shared" ref="S40:T40" si="32">S41+S42</f>
        <v>15960</v>
      </c>
      <c r="T40" s="137">
        <f t="shared" si="32"/>
        <v>15960</v>
      </c>
      <c r="U40" s="137">
        <f>U41+U42</f>
        <v>15960</v>
      </c>
      <c r="V40" s="136"/>
      <c r="W40" s="136"/>
      <c r="X40" s="136"/>
      <c r="Y40" s="137">
        <f t="shared" ref="Y40:Z40" si="33">Y41+Y42</f>
        <v>15960</v>
      </c>
      <c r="Z40" s="137">
        <f t="shared" si="33"/>
        <v>15960</v>
      </c>
      <c r="AA40" s="137">
        <f>AA41+AA42</f>
        <v>15960</v>
      </c>
      <c r="AB40" s="136"/>
      <c r="AC40" s="136"/>
      <c r="AD40" s="136"/>
      <c r="AE40" s="137">
        <f t="shared" ref="AE40:AF40" si="34">AE41+AE42</f>
        <v>15960</v>
      </c>
      <c r="AF40" s="137">
        <f t="shared" si="34"/>
        <v>15960</v>
      </c>
      <c r="AG40" s="137">
        <f>AG41+AG42</f>
        <v>15960</v>
      </c>
      <c r="AH40" s="137">
        <f>AH41+AH42</f>
        <v>191520</v>
      </c>
      <c r="AI40" s="137">
        <f t="shared" ref="AI40" si="35">AI41+AI42</f>
        <v>191520</v>
      </c>
      <c r="AJ40" s="137"/>
      <c r="AK40" s="137"/>
      <c r="AL40" s="137"/>
      <c r="AM40" s="137"/>
      <c r="AN40" s="137"/>
      <c r="AO40" s="150"/>
      <c r="AP40" s="130"/>
      <c r="AQ40" s="130"/>
    </row>
    <row r="41" spans="1:43" ht="31.2">
      <c r="A41" s="1999" t="s">
        <v>498</v>
      </c>
      <c r="B41" s="2001" t="s">
        <v>499</v>
      </c>
      <c r="C41" s="142">
        <v>1200</v>
      </c>
      <c r="D41" s="141" t="s">
        <v>419</v>
      </c>
      <c r="E41" s="1984" t="s">
        <v>500</v>
      </c>
      <c r="F41" s="1984" t="s">
        <v>501</v>
      </c>
      <c r="G41" s="1986">
        <v>100</v>
      </c>
      <c r="H41" s="1986"/>
      <c r="I41" s="1986"/>
      <c r="J41" s="142">
        <v>1200</v>
      </c>
      <c r="K41" s="142">
        <v>1200</v>
      </c>
      <c r="L41" s="142">
        <v>1200</v>
      </c>
      <c r="M41" s="143">
        <v>12654</v>
      </c>
      <c r="N41" s="143">
        <v>12654</v>
      </c>
      <c r="O41" s="143">
        <v>12654</v>
      </c>
      <c r="P41" s="142">
        <v>1200</v>
      </c>
      <c r="Q41" s="142">
        <v>1200</v>
      </c>
      <c r="R41" s="142">
        <v>1200</v>
      </c>
      <c r="S41" s="143">
        <v>12654</v>
      </c>
      <c r="T41" s="143">
        <v>12654</v>
      </c>
      <c r="U41" s="143">
        <v>12654</v>
      </c>
      <c r="V41" s="142">
        <v>1200</v>
      </c>
      <c r="W41" s="142">
        <v>1200</v>
      </c>
      <c r="X41" s="142">
        <v>1200</v>
      </c>
      <c r="Y41" s="143">
        <v>12654</v>
      </c>
      <c r="Z41" s="143">
        <v>12654</v>
      </c>
      <c r="AA41" s="143">
        <v>12654</v>
      </c>
      <c r="AB41" s="142">
        <v>1200</v>
      </c>
      <c r="AC41" s="142">
        <v>1200</v>
      </c>
      <c r="AD41" s="142">
        <v>1200</v>
      </c>
      <c r="AE41" s="143">
        <v>12654</v>
      </c>
      <c r="AF41" s="143">
        <v>12654</v>
      </c>
      <c r="AG41" s="143">
        <v>12654</v>
      </c>
      <c r="AH41" s="143">
        <v>151848</v>
      </c>
      <c r="AI41" s="172">
        <v>151848</v>
      </c>
      <c r="AJ41" s="143"/>
      <c r="AK41" s="143"/>
      <c r="AL41" s="143"/>
      <c r="AM41" s="143"/>
      <c r="AN41" s="143"/>
      <c r="AO41" s="145" t="s">
        <v>422</v>
      </c>
      <c r="AP41" s="146" t="s">
        <v>423</v>
      </c>
      <c r="AQ41" s="146" t="s">
        <v>436</v>
      </c>
    </row>
    <row r="42" spans="1:43" ht="31.2">
      <c r="A42" s="2000"/>
      <c r="B42" s="2002"/>
      <c r="C42" s="142">
        <v>300</v>
      </c>
      <c r="D42" s="141" t="s">
        <v>424</v>
      </c>
      <c r="E42" s="1985"/>
      <c r="F42" s="1985"/>
      <c r="G42" s="1987"/>
      <c r="H42" s="1987"/>
      <c r="I42" s="1987"/>
      <c r="J42" s="142">
        <v>300</v>
      </c>
      <c r="K42" s="142">
        <v>300</v>
      </c>
      <c r="L42" s="142">
        <v>300</v>
      </c>
      <c r="M42" s="143">
        <v>3306</v>
      </c>
      <c r="N42" s="143">
        <v>3306</v>
      </c>
      <c r="O42" s="143">
        <v>3306</v>
      </c>
      <c r="P42" s="142">
        <v>300</v>
      </c>
      <c r="Q42" s="142">
        <v>300</v>
      </c>
      <c r="R42" s="142">
        <v>300</v>
      </c>
      <c r="S42" s="143">
        <v>3306</v>
      </c>
      <c r="T42" s="143">
        <v>3306</v>
      </c>
      <c r="U42" s="143">
        <v>3306</v>
      </c>
      <c r="V42" s="142">
        <v>300</v>
      </c>
      <c r="W42" s="142">
        <v>300</v>
      </c>
      <c r="X42" s="142">
        <v>300</v>
      </c>
      <c r="Y42" s="143">
        <v>3306</v>
      </c>
      <c r="Z42" s="143">
        <v>3306</v>
      </c>
      <c r="AA42" s="143">
        <v>3306</v>
      </c>
      <c r="AB42" s="142">
        <v>300</v>
      </c>
      <c r="AC42" s="142">
        <v>300</v>
      </c>
      <c r="AD42" s="142">
        <v>300</v>
      </c>
      <c r="AE42" s="143">
        <v>3306</v>
      </c>
      <c r="AF42" s="143">
        <v>3306</v>
      </c>
      <c r="AG42" s="143">
        <v>3306</v>
      </c>
      <c r="AH42" s="143">
        <v>39672</v>
      </c>
      <c r="AI42" s="172">
        <v>39672</v>
      </c>
      <c r="AJ42" s="143"/>
      <c r="AK42" s="143"/>
      <c r="AL42" s="143"/>
      <c r="AM42" s="143"/>
      <c r="AN42" s="143"/>
      <c r="AO42" s="145" t="s">
        <v>422</v>
      </c>
      <c r="AP42" s="146" t="s">
        <v>423</v>
      </c>
      <c r="AQ42" s="146" t="s">
        <v>436</v>
      </c>
    </row>
    <row r="43" spans="1:43" ht="46.8">
      <c r="A43" s="182" t="s">
        <v>502</v>
      </c>
      <c r="B43" s="183" t="s">
        <v>503</v>
      </c>
      <c r="C43" s="184"/>
      <c r="D43" s="184"/>
      <c r="E43" s="184"/>
      <c r="F43" s="184"/>
      <c r="G43" s="185">
        <v>1</v>
      </c>
      <c r="H43" s="185">
        <v>1</v>
      </c>
      <c r="I43" s="186"/>
      <c r="J43" s="187"/>
      <c r="K43" s="187"/>
      <c r="L43" s="187"/>
      <c r="M43" s="188"/>
      <c r="N43" s="188"/>
      <c r="O43" s="188"/>
      <c r="P43" s="187"/>
      <c r="Q43" s="187"/>
      <c r="R43" s="187"/>
      <c r="S43" s="188"/>
      <c r="T43" s="188"/>
      <c r="U43" s="188"/>
      <c r="V43" s="187"/>
      <c r="W43" s="187"/>
      <c r="X43" s="187"/>
      <c r="Y43" s="188"/>
      <c r="Z43" s="188"/>
      <c r="AA43" s="188"/>
      <c r="AB43" s="187"/>
      <c r="AC43" s="187"/>
      <c r="AD43" s="187"/>
      <c r="AE43" s="188">
        <f t="shared" ref="AE43:AF43" si="36">AE44+AE46+AE49</f>
        <v>3500</v>
      </c>
      <c r="AF43" s="188">
        <f t="shared" si="36"/>
        <v>7000</v>
      </c>
      <c r="AG43" s="188"/>
      <c r="AH43" s="188">
        <f>AH44+AH46+AH49</f>
        <v>10500</v>
      </c>
      <c r="AI43" s="188">
        <f t="shared" ref="AI43" si="37">AI44+AI46+AI49</f>
        <v>10500</v>
      </c>
      <c r="AJ43" s="188"/>
      <c r="AK43" s="188"/>
      <c r="AL43" s="188"/>
      <c r="AM43" s="188"/>
      <c r="AN43" s="188"/>
      <c r="AO43" s="189"/>
      <c r="AP43" s="190"/>
      <c r="AQ43" s="190"/>
    </row>
    <row r="44" spans="1:43" ht="62.4">
      <c r="A44" s="191" t="s">
        <v>504</v>
      </c>
      <c r="B44" s="192" t="s">
        <v>505</v>
      </c>
      <c r="C44" s="193"/>
      <c r="D44" s="194"/>
      <c r="E44" s="195"/>
      <c r="F44" s="195"/>
      <c r="G44" s="193">
        <v>50</v>
      </c>
      <c r="H44" s="193"/>
      <c r="I44" s="134">
        <v>50</v>
      </c>
      <c r="J44" s="136"/>
      <c r="K44" s="136"/>
      <c r="L44" s="136"/>
      <c r="M44" s="137"/>
      <c r="N44" s="137"/>
      <c r="O44" s="137"/>
      <c r="P44" s="136"/>
      <c r="Q44" s="136"/>
      <c r="R44" s="136"/>
      <c r="S44" s="137"/>
      <c r="T44" s="137"/>
      <c r="U44" s="137"/>
      <c r="V44" s="136"/>
      <c r="W44" s="136"/>
      <c r="X44" s="136"/>
      <c r="Y44" s="137"/>
      <c r="Z44" s="137"/>
      <c r="AA44" s="137"/>
      <c r="AB44" s="136"/>
      <c r="AC44" s="136"/>
      <c r="AD44" s="136"/>
      <c r="AE44" s="137"/>
      <c r="AF44" s="137">
        <f>AF45</f>
        <v>3500</v>
      </c>
      <c r="AG44" s="137"/>
      <c r="AH44" s="137">
        <f t="shared" ref="AH44:AI44" si="38">AH45</f>
        <v>3500</v>
      </c>
      <c r="AI44" s="137">
        <f t="shared" si="38"/>
        <v>3500</v>
      </c>
      <c r="AJ44" s="137"/>
      <c r="AK44" s="137"/>
      <c r="AL44" s="137"/>
      <c r="AM44" s="137"/>
      <c r="AN44" s="137"/>
      <c r="AO44" s="150"/>
      <c r="AP44" s="130"/>
      <c r="AQ44" s="130"/>
    </row>
    <row r="45" spans="1:43" ht="78">
      <c r="A45" s="196" t="s">
        <v>506</v>
      </c>
      <c r="B45" s="197" t="s">
        <v>507</v>
      </c>
      <c r="C45" s="198">
        <v>1</v>
      </c>
      <c r="D45" s="199" t="s">
        <v>462</v>
      </c>
      <c r="E45" s="200" t="s">
        <v>508</v>
      </c>
      <c r="F45" s="201" t="s">
        <v>509</v>
      </c>
      <c r="G45" s="202">
        <v>100</v>
      </c>
      <c r="H45" s="202"/>
      <c r="I45" s="158"/>
      <c r="J45" s="142"/>
      <c r="K45" s="142"/>
      <c r="L45" s="142"/>
      <c r="M45" s="143"/>
      <c r="N45" s="143"/>
      <c r="O45" s="143"/>
      <c r="P45" s="142"/>
      <c r="Q45" s="142"/>
      <c r="R45" s="142"/>
      <c r="S45" s="143"/>
      <c r="T45" s="143"/>
      <c r="U45" s="143"/>
      <c r="V45" s="142"/>
      <c r="W45" s="142"/>
      <c r="X45" s="142"/>
      <c r="Y45" s="143"/>
      <c r="Z45" s="143"/>
      <c r="AA45" s="143"/>
      <c r="AB45" s="142"/>
      <c r="AC45" s="142">
        <v>1</v>
      </c>
      <c r="AD45" s="142"/>
      <c r="AE45" s="143"/>
      <c r="AF45" s="143">
        <v>3500</v>
      </c>
      <c r="AG45" s="143"/>
      <c r="AH45" s="143">
        <v>3500</v>
      </c>
      <c r="AI45" s="172">
        <v>3500</v>
      </c>
      <c r="AJ45" s="143"/>
      <c r="AK45" s="143"/>
      <c r="AL45" s="143"/>
      <c r="AM45" s="143"/>
      <c r="AN45" s="143"/>
      <c r="AO45" s="145" t="s">
        <v>465</v>
      </c>
      <c r="AP45" s="146" t="s">
        <v>510</v>
      </c>
      <c r="AQ45" s="203"/>
    </row>
    <row r="46" spans="1:43" ht="46.8">
      <c r="A46" s="191" t="s">
        <v>511</v>
      </c>
      <c r="B46" s="192" t="s">
        <v>512</v>
      </c>
      <c r="C46" s="193"/>
      <c r="D46" s="194"/>
      <c r="E46" s="195"/>
      <c r="F46" s="195"/>
      <c r="G46" s="193">
        <v>50</v>
      </c>
      <c r="H46" s="193"/>
      <c r="I46" s="134">
        <v>50</v>
      </c>
      <c r="J46" s="136"/>
      <c r="K46" s="136"/>
      <c r="L46" s="136"/>
      <c r="M46" s="137"/>
      <c r="N46" s="137"/>
      <c r="O46" s="137"/>
      <c r="P46" s="136"/>
      <c r="Q46" s="136"/>
      <c r="R46" s="136"/>
      <c r="S46" s="137"/>
      <c r="T46" s="137"/>
      <c r="U46" s="137"/>
      <c r="V46" s="136"/>
      <c r="W46" s="136"/>
      <c r="X46" s="136"/>
      <c r="Y46" s="137"/>
      <c r="Z46" s="137"/>
      <c r="AA46" s="137"/>
      <c r="AB46" s="136"/>
      <c r="AC46" s="136"/>
      <c r="AD46" s="136"/>
      <c r="AE46" s="137">
        <f t="shared" ref="AE46:AF46" si="39">AE47+AE48</f>
        <v>3500</v>
      </c>
      <c r="AF46" s="137">
        <f t="shared" si="39"/>
        <v>3500</v>
      </c>
      <c r="AG46" s="137"/>
      <c r="AH46" s="137">
        <f>AH47+AH48</f>
        <v>7000</v>
      </c>
      <c r="AI46" s="137">
        <f t="shared" ref="AI46" si="40">AI47+AI48</f>
        <v>7000</v>
      </c>
      <c r="AJ46" s="137"/>
      <c r="AK46" s="137"/>
      <c r="AL46" s="137"/>
      <c r="AM46" s="137"/>
      <c r="AN46" s="137"/>
      <c r="AO46" s="150"/>
      <c r="AP46" s="130"/>
      <c r="AQ46" s="130"/>
    </row>
    <row r="47" spans="1:43" ht="78">
      <c r="A47" s="196" t="s">
        <v>513</v>
      </c>
      <c r="B47" s="197" t="s">
        <v>514</v>
      </c>
      <c r="C47" s="198">
        <v>1</v>
      </c>
      <c r="D47" s="199" t="s">
        <v>462</v>
      </c>
      <c r="E47" s="200" t="s">
        <v>515</v>
      </c>
      <c r="F47" s="201" t="s">
        <v>516</v>
      </c>
      <c r="G47" s="202">
        <v>50</v>
      </c>
      <c r="H47" s="202"/>
      <c r="I47" s="158"/>
      <c r="J47" s="142"/>
      <c r="K47" s="142"/>
      <c r="L47" s="142"/>
      <c r="M47" s="143"/>
      <c r="N47" s="143"/>
      <c r="O47" s="143"/>
      <c r="P47" s="142"/>
      <c r="Q47" s="142"/>
      <c r="R47" s="142"/>
      <c r="S47" s="143"/>
      <c r="T47" s="143"/>
      <c r="U47" s="143"/>
      <c r="V47" s="142"/>
      <c r="W47" s="142"/>
      <c r="X47" s="142"/>
      <c r="Y47" s="143"/>
      <c r="Z47" s="143"/>
      <c r="AA47" s="143"/>
      <c r="AB47" s="142">
        <v>1</v>
      </c>
      <c r="AC47" s="142"/>
      <c r="AD47" s="142"/>
      <c r="AE47" s="143">
        <v>3500</v>
      </c>
      <c r="AF47" s="143"/>
      <c r="AG47" s="143"/>
      <c r="AH47" s="143">
        <v>3500</v>
      </c>
      <c r="AI47" s="172">
        <v>3500</v>
      </c>
      <c r="AJ47" s="143"/>
      <c r="AK47" s="143"/>
      <c r="AL47" s="143"/>
      <c r="AM47" s="143"/>
      <c r="AN47" s="143"/>
      <c r="AO47" s="145" t="s">
        <v>465</v>
      </c>
      <c r="AP47" s="146" t="s">
        <v>510</v>
      </c>
      <c r="AQ47" s="203"/>
    </row>
    <row r="48" spans="1:43" ht="46.8">
      <c r="A48" s="196" t="s">
        <v>517</v>
      </c>
      <c r="B48" s="197" t="s">
        <v>518</v>
      </c>
      <c r="C48" s="198">
        <v>1</v>
      </c>
      <c r="D48" s="199" t="s">
        <v>462</v>
      </c>
      <c r="E48" s="200" t="s">
        <v>519</v>
      </c>
      <c r="F48" s="201" t="s">
        <v>509</v>
      </c>
      <c r="G48" s="202">
        <v>50</v>
      </c>
      <c r="H48" s="202"/>
      <c r="I48" s="158"/>
      <c r="J48" s="142"/>
      <c r="K48" s="142"/>
      <c r="L48" s="142"/>
      <c r="M48" s="143"/>
      <c r="N48" s="143"/>
      <c r="O48" s="143"/>
      <c r="P48" s="142"/>
      <c r="Q48" s="142"/>
      <c r="R48" s="142"/>
      <c r="S48" s="143"/>
      <c r="T48" s="143"/>
      <c r="U48" s="143"/>
      <c r="V48" s="142"/>
      <c r="W48" s="142"/>
      <c r="X48" s="142"/>
      <c r="Y48" s="143"/>
      <c r="Z48" s="143"/>
      <c r="AA48" s="143"/>
      <c r="AB48" s="142"/>
      <c r="AC48" s="142">
        <v>1</v>
      </c>
      <c r="AD48" s="142"/>
      <c r="AE48" s="143"/>
      <c r="AF48" s="143">
        <v>3500</v>
      </c>
      <c r="AG48" s="143"/>
      <c r="AH48" s="143">
        <v>3500</v>
      </c>
      <c r="AI48" s="172">
        <v>3500</v>
      </c>
      <c r="AJ48" s="143"/>
      <c r="AK48" s="143"/>
      <c r="AL48" s="143"/>
      <c r="AM48" s="143"/>
      <c r="AN48" s="143"/>
      <c r="AO48" s="145" t="s">
        <v>465</v>
      </c>
      <c r="AP48" s="146" t="s">
        <v>520</v>
      </c>
      <c r="AQ48" s="203"/>
    </row>
    <row r="49" spans="1:43" ht="31.2">
      <c r="A49" s="204" t="s">
        <v>521</v>
      </c>
      <c r="B49" s="204" t="s">
        <v>522</v>
      </c>
      <c r="C49" s="205"/>
      <c r="D49" s="204" t="s">
        <v>523</v>
      </c>
      <c r="E49" s="204" t="s">
        <v>524</v>
      </c>
      <c r="F49" s="204" t="s">
        <v>435</v>
      </c>
      <c r="G49" s="193"/>
      <c r="H49" s="193"/>
      <c r="I49" s="134"/>
      <c r="J49" s="136"/>
      <c r="K49" s="136"/>
      <c r="L49" s="136"/>
      <c r="M49" s="137"/>
      <c r="N49" s="137"/>
      <c r="O49" s="137"/>
      <c r="P49" s="136"/>
      <c r="Q49" s="136"/>
      <c r="R49" s="136"/>
      <c r="S49" s="137"/>
      <c r="T49" s="137"/>
      <c r="U49" s="137"/>
      <c r="V49" s="136"/>
      <c r="W49" s="136"/>
      <c r="X49" s="136"/>
      <c r="Y49" s="137"/>
      <c r="Z49" s="137"/>
      <c r="AA49" s="137"/>
      <c r="AB49" s="136"/>
      <c r="AC49" s="136"/>
      <c r="AD49" s="136"/>
      <c r="AE49" s="137"/>
      <c r="AF49" s="137"/>
      <c r="AG49" s="137"/>
      <c r="AH49" s="137">
        <f>SUM(AH50:AH51)</f>
        <v>0</v>
      </c>
      <c r="AI49" s="206"/>
      <c r="AJ49" s="137"/>
      <c r="AK49" s="137"/>
      <c r="AL49" s="137"/>
      <c r="AM49" s="137"/>
      <c r="AN49" s="137"/>
      <c r="AO49" s="150"/>
      <c r="AP49" s="130"/>
      <c r="AQ49" s="1996" t="s">
        <v>525</v>
      </c>
    </row>
    <row r="50" spans="1:43" ht="46.8">
      <c r="A50" s="207" t="s">
        <v>526</v>
      </c>
      <c r="B50" s="208" t="s">
        <v>527</v>
      </c>
      <c r="C50" s="209"/>
      <c r="D50" s="208" t="s">
        <v>528</v>
      </c>
      <c r="E50" s="208" t="s">
        <v>529</v>
      </c>
      <c r="F50" s="208" t="s">
        <v>435</v>
      </c>
      <c r="G50" s="202"/>
      <c r="H50" s="202"/>
      <c r="I50" s="158"/>
      <c r="J50" s="142"/>
      <c r="K50" s="142"/>
      <c r="L50" s="142"/>
      <c r="M50" s="143"/>
      <c r="N50" s="143"/>
      <c r="O50" s="143"/>
      <c r="P50" s="142"/>
      <c r="Q50" s="142"/>
      <c r="R50" s="142"/>
      <c r="S50" s="143"/>
      <c r="T50" s="143"/>
      <c r="U50" s="143"/>
      <c r="V50" s="142"/>
      <c r="W50" s="142"/>
      <c r="X50" s="142"/>
      <c r="Y50" s="143"/>
      <c r="Z50" s="143"/>
      <c r="AA50" s="143"/>
      <c r="AB50" s="142"/>
      <c r="AC50" s="142"/>
      <c r="AD50" s="142"/>
      <c r="AE50" s="143"/>
      <c r="AF50" s="143"/>
      <c r="AG50" s="143"/>
      <c r="AH50" s="143"/>
      <c r="AI50" s="172"/>
      <c r="AJ50" s="143"/>
      <c r="AK50" s="143"/>
      <c r="AL50" s="143"/>
      <c r="AM50" s="143"/>
      <c r="AN50" s="143"/>
      <c r="AO50" s="145"/>
      <c r="AP50" s="146"/>
      <c r="AQ50" s="1997"/>
    </row>
    <row r="51" spans="1:43" ht="46.8">
      <c r="A51" s="207" t="s">
        <v>530</v>
      </c>
      <c r="B51" s="208" t="s">
        <v>531</v>
      </c>
      <c r="C51" s="209"/>
      <c r="D51" s="208" t="s">
        <v>523</v>
      </c>
      <c r="E51" s="208" t="s">
        <v>532</v>
      </c>
      <c r="F51" s="208" t="s">
        <v>435</v>
      </c>
      <c r="G51" s="202"/>
      <c r="H51" s="202"/>
      <c r="I51" s="158"/>
      <c r="J51" s="142"/>
      <c r="K51" s="142"/>
      <c r="L51" s="142"/>
      <c r="M51" s="143"/>
      <c r="N51" s="143"/>
      <c r="O51" s="143"/>
      <c r="P51" s="142"/>
      <c r="Q51" s="142"/>
      <c r="R51" s="142"/>
      <c r="S51" s="143"/>
      <c r="T51" s="143"/>
      <c r="U51" s="143"/>
      <c r="V51" s="142"/>
      <c r="W51" s="142"/>
      <c r="X51" s="142"/>
      <c r="Y51" s="143"/>
      <c r="Z51" s="143"/>
      <c r="AA51" s="143"/>
      <c r="AB51" s="142"/>
      <c r="AC51" s="142"/>
      <c r="AD51" s="142"/>
      <c r="AE51" s="143"/>
      <c r="AF51" s="143"/>
      <c r="AG51" s="143"/>
      <c r="AH51" s="143"/>
      <c r="AI51" s="172"/>
      <c r="AJ51" s="143"/>
      <c r="AK51" s="143"/>
      <c r="AL51" s="143"/>
      <c r="AM51" s="143"/>
      <c r="AN51" s="143"/>
      <c r="AO51" s="145"/>
      <c r="AP51" s="146"/>
      <c r="AQ51" s="1998"/>
    </row>
    <row r="52" spans="1:43" ht="31.2">
      <c r="A52" s="119" t="s">
        <v>533</v>
      </c>
      <c r="B52" s="120" t="s">
        <v>534</v>
      </c>
      <c r="C52" s="121"/>
      <c r="D52" s="122"/>
      <c r="E52" s="170"/>
      <c r="F52" s="171"/>
      <c r="G52" s="124">
        <v>1.68</v>
      </c>
      <c r="H52" s="124">
        <v>1.68</v>
      </c>
      <c r="I52" s="124"/>
      <c r="J52" s="125"/>
      <c r="K52" s="125"/>
      <c r="L52" s="125"/>
      <c r="M52" s="126">
        <f t="shared" ref="M52:AI52" si="41">M53+M56</f>
        <v>13081</v>
      </c>
      <c r="N52" s="126">
        <f t="shared" si="41"/>
        <v>13081</v>
      </c>
      <c r="O52" s="126">
        <f t="shared" si="41"/>
        <v>13081</v>
      </c>
      <c r="P52" s="125"/>
      <c r="Q52" s="125"/>
      <c r="R52" s="125"/>
      <c r="S52" s="126">
        <f t="shared" si="41"/>
        <v>13081</v>
      </c>
      <c r="T52" s="126">
        <f t="shared" si="41"/>
        <v>26153</v>
      </c>
      <c r="U52" s="126">
        <f t="shared" si="41"/>
        <v>26153</v>
      </c>
      <c r="V52" s="125"/>
      <c r="W52" s="125"/>
      <c r="X52" s="125"/>
      <c r="Y52" s="126">
        <f t="shared" si="41"/>
        <v>26153</v>
      </c>
      <c r="Z52" s="126">
        <f t="shared" si="41"/>
        <v>26153</v>
      </c>
      <c r="AA52" s="126">
        <f t="shared" si="41"/>
        <v>13081</v>
      </c>
      <c r="AB52" s="125"/>
      <c r="AC52" s="125"/>
      <c r="AD52" s="125"/>
      <c r="AE52" s="126">
        <f t="shared" si="41"/>
        <v>13081</v>
      </c>
      <c r="AF52" s="126">
        <f t="shared" si="41"/>
        <v>13081</v>
      </c>
      <c r="AG52" s="126">
        <f t="shared" si="41"/>
        <v>13081</v>
      </c>
      <c r="AH52" s="126">
        <f t="shared" si="41"/>
        <v>209260</v>
      </c>
      <c r="AI52" s="126">
        <f t="shared" si="41"/>
        <v>209260</v>
      </c>
      <c r="AJ52" s="126"/>
      <c r="AK52" s="126"/>
      <c r="AL52" s="126"/>
      <c r="AM52" s="126"/>
      <c r="AN52" s="126"/>
      <c r="AO52" s="127"/>
      <c r="AP52" s="120"/>
      <c r="AQ52" s="120"/>
    </row>
    <row r="53" spans="1:43" ht="93.6">
      <c r="A53" s="129" t="s">
        <v>535</v>
      </c>
      <c r="B53" s="130" t="s">
        <v>536</v>
      </c>
      <c r="C53" s="131"/>
      <c r="D53" s="210"/>
      <c r="E53" s="174"/>
      <c r="F53" s="149"/>
      <c r="G53" s="134">
        <v>28</v>
      </c>
      <c r="H53" s="134"/>
      <c r="I53" s="135">
        <v>25</v>
      </c>
      <c r="J53" s="136"/>
      <c r="K53" s="136"/>
      <c r="L53" s="136"/>
      <c r="M53" s="137"/>
      <c r="N53" s="137"/>
      <c r="O53" s="137"/>
      <c r="P53" s="136"/>
      <c r="Q53" s="136"/>
      <c r="R53" s="136"/>
      <c r="S53" s="137"/>
      <c r="T53" s="137">
        <f t="shared" ref="T53" si="42">T54+T55</f>
        <v>13072</v>
      </c>
      <c r="U53" s="137">
        <f>U54+U55</f>
        <v>13072</v>
      </c>
      <c r="V53" s="136"/>
      <c r="W53" s="136"/>
      <c r="X53" s="136"/>
      <c r="Y53" s="137">
        <f t="shared" ref="Y53" si="43">Y54+Y55</f>
        <v>13072</v>
      </c>
      <c r="Z53" s="137">
        <f>Z54+Z55</f>
        <v>13072</v>
      </c>
      <c r="AA53" s="137"/>
      <c r="AB53" s="136"/>
      <c r="AC53" s="136"/>
      <c r="AD53" s="136"/>
      <c r="AE53" s="137"/>
      <c r="AF53" s="137"/>
      <c r="AG53" s="137"/>
      <c r="AH53" s="137">
        <f t="shared" ref="AH53" si="44">AH54+AH55</f>
        <v>52288</v>
      </c>
      <c r="AI53" s="137">
        <f>AI54+AI55</f>
        <v>52288</v>
      </c>
      <c r="AJ53" s="137"/>
      <c r="AK53" s="137"/>
      <c r="AL53" s="137"/>
      <c r="AM53" s="137"/>
      <c r="AN53" s="137"/>
      <c r="AO53" s="150"/>
      <c r="AP53" s="130"/>
      <c r="AQ53" s="130"/>
    </row>
    <row r="54" spans="1:43" ht="46.8">
      <c r="A54" s="211" t="s">
        <v>537</v>
      </c>
      <c r="B54" s="212" t="s">
        <v>538</v>
      </c>
      <c r="C54" s="140">
        <v>250</v>
      </c>
      <c r="D54" s="141" t="s">
        <v>419</v>
      </c>
      <c r="E54" s="1984" t="s">
        <v>539</v>
      </c>
      <c r="F54" s="1984" t="s">
        <v>447</v>
      </c>
      <c r="G54" s="1986">
        <v>100</v>
      </c>
      <c r="H54" s="1986"/>
      <c r="I54" s="1986"/>
      <c r="J54" s="142"/>
      <c r="K54" s="142"/>
      <c r="L54" s="142"/>
      <c r="M54" s="143"/>
      <c r="N54" s="143"/>
      <c r="O54" s="143"/>
      <c r="P54" s="142"/>
      <c r="Q54" s="142">
        <v>250</v>
      </c>
      <c r="R54" s="142">
        <v>250</v>
      </c>
      <c r="S54" s="143"/>
      <c r="T54" s="143">
        <v>11653</v>
      </c>
      <c r="U54" s="143">
        <v>11653</v>
      </c>
      <c r="V54" s="142">
        <v>250</v>
      </c>
      <c r="W54" s="142">
        <v>250</v>
      </c>
      <c r="X54" s="142"/>
      <c r="Y54" s="143">
        <v>11653</v>
      </c>
      <c r="Z54" s="143">
        <v>11653</v>
      </c>
      <c r="AA54" s="143"/>
      <c r="AB54" s="142"/>
      <c r="AC54" s="142"/>
      <c r="AD54" s="142"/>
      <c r="AE54" s="143"/>
      <c r="AF54" s="143"/>
      <c r="AG54" s="143"/>
      <c r="AH54" s="143">
        <v>46612</v>
      </c>
      <c r="AI54" s="172">
        <v>46612</v>
      </c>
      <c r="AJ54" s="143"/>
      <c r="AK54" s="143"/>
      <c r="AL54" s="143"/>
      <c r="AM54" s="143"/>
      <c r="AN54" s="143"/>
      <c r="AO54" s="145" t="s">
        <v>422</v>
      </c>
      <c r="AP54" s="146" t="s">
        <v>423</v>
      </c>
      <c r="AQ54" s="146" t="s">
        <v>436</v>
      </c>
    </row>
    <row r="55" spans="1:43" ht="46.8">
      <c r="A55" s="211" t="s">
        <v>540</v>
      </c>
      <c r="B55" s="212" t="s">
        <v>538</v>
      </c>
      <c r="C55" s="140">
        <v>40</v>
      </c>
      <c r="D55" s="141" t="s">
        <v>424</v>
      </c>
      <c r="E55" s="1985"/>
      <c r="F55" s="1985"/>
      <c r="G55" s="1987"/>
      <c r="H55" s="1987"/>
      <c r="I55" s="1987"/>
      <c r="J55" s="142"/>
      <c r="K55" s="142"/>
      <c r="L55" s="142"/>
      <c r="M55" s="143"/>
      <c r="N55" s="143"/>
      <c r="O55" s="143"/>
      <c r="P55" s="142"/>
      <c r="Q55" s="142">
        <v>40</v>
      </c>
      <c r="R55" s="142">
        <v>40</v>
      </c>
      <c r="S55" s="143"/>
      <c r="T55" s="143">
        <v>1419</v>
      </c>
      <c r="U55" s="143">
        <v>1419</v>
      </c>
      <c r="V55" s="142">
        <v>40</v>
      </c>
      <c r="W55" s="142">
        <v>40</v>
      </c>
      <c r="X55" s="142"/>
      <c r="Y55" s="143">
        <v>1419</v>
      </c>
      <c r="Z55" s="143">
        <v>1419</v>
      </c>
      <c r="AA55" s="143"/>
      <c r="AB55" s="142"/>
      <c r="AC55" s="142"/>
      <c r="AD55" s="142"/>
      <c r="AE55" s="143"/>
      <c r="AF55" s="143"/>
      <c r="AG55" s="143"/>
      <c r="AH55" s="143">
        <v>5676</v>
      </c>
      <c r="AI55" s="172">
        <v>5676</v>
      </c>
      <c r="AJ55" s="143"/>
      <c r="AK55" s="143"/>
      <c r="AL55" s="143"/>
      <c r="AM55" s="143"/>
      <c r="AN55" s="143"/>
      <c r="AO55" s="145" t="s">
        <v>422</v>
      </c>
      <c r="AP55" s="146" t="s">
        <v>423</v>
      </c>
      <c r="AQ55" s="146" t="s">
        <v>436</v>
      </c>
    </row>
    <row r="56" spans="1:43" ht="93.6">
      <c r="A56" s="129" t="s">
        <v>541</v>
      </c>
      <c r="B56" s="130" t="s">
        <v>542</v>
      </c>
      <c r="C56" s="131"/>
      <c r="D56" s="132"/>
      <c r="E56" s="174"/>
      <c r="F56" s="149"/>
      <c r="G56" s="134">
        <v>75</v>
      </c>
      <c r="H56" s="134"/>
      <c r="I56" s="135">
        <v>75</v>
      </c>
      <c r="J56" s="136"/>
      <c r="K56" s="136"/>
      <c r="L56" s="136"/>
      <c r="M56" s="137">
        <f t="shared" ref="M56:N56" si="45">M57+M58</f>
        <v>13081</v>
      </c>
      <c r="N56" s="137">
        <f t="shared" si="45"/>
        <v>13081</v>
      </c>
      <c r="O56" s="137">
        <f>O57+O58</f>
        <v>13081</v>
      </c>
      <c r="P56" s="136"/>
      <c r="Q56" s="136"/>
      <c r="R56" s="136"/>
      <c r="S56" s="137">
        <f t="shared" ref="S56:T56" si="46">S57+S58</f>
        <v>13081</v>
      </c>
      <c r="T56" s="137">
        <f t="shared" si="46"/>
        <v>13081</v>
      </c>
      <c r="U56" s="137">
        <f>U57+U58</f>
        <v>13081</v>
      </c>
      <c r="V56" s="136"/>
      <c r="W56" s="136"/>
      <c r="X56" s="136"/>
      <c r="Y56" s="137">
        <f t="shared" ref="Y56:Z56" si="47">Y57+Y58</f>
        <v>13081</v>
      </c>
      <c r="Z56" s="137">
        <f t="shared" si="47"/>
        <v>13081</v>
      </c>
      <c r="AA56" s="137">
        <f>AA57+AA58</f>
        <v>13081</v>
      </c>
      <c r="AB56" s="136"/>
      <c r="AC56" s="136"/>
      <c r="AD56" s="136"/>
      <c r="AE56" s="137">
        <f t="shared" ref="AE56:AF56" si="48">AE57+AE58</f>
        <v>13081</v>
      </c>
      <c r="AF56" s="137">
        <f t="shared" si="48"/>
        <v>13081</v>
      </c>
      <c r="AG56" s="137">
        <f>AG57+AG58</f>
        <v>13081</v>
      </c>
      <c r="AH56" s="137">
        <f t="shared" ref="AH56:AI56" si="49">AH57+AH58</f>
        <v>156972</v>
      </c>
      <c r="AI56" s="137">
        <f t="shared" si="49"/>
        <v>156972</v>
      </c>
      <c r="AJ56" s="137"/>
      <c r="AK56" s="137"/>
      <c r="AL56" s="137"/>
      <c r="AM56" s="137"/>
      <c r="AN56" s="137"/>
      <c r="AO56" s="150"/>
      <c r="AP56" s="130"/>
      <c r="AQ56" s="130"/>
    </row>
    <row r="57" spans="1:43" ht="31.2">
      <c r="A57" s="1999" t="s">
        <v>543</v>
      </c>
      <c r="B57" s="1982" t="s">
        <v>544</v>
      </c>
      <c r="C57" s="154">
        <v>468</v>
      </c>
      <c r="D57" s="155" t="s">
        <v>419</v>
      </c>
      <c r="E57" s="2003" t="s">
        <v>446</v>
      </c>
      <c r="F57" s="2003" t="s">
        <v>447</v>
      </c>
      <c r="G57" s="1986">
        <v>100</v>
      </c>
      <c r="H57" s="1986"/>
      <c r="I57" s="1986"/>
      <c r="J57" s="142">
        <v>468</v>
      </c>
      <c r="K57" s="142">
        <v>468</v>
      </c>
      <c r="L57" s="142">
        <v>468</v>
      </c>
      <c r="M57" s="143">
        <v>11662</v>
      </c>
      <c r="N57" s="143">
        <v>11662</v>
      </c>
      <c r="O57" s="143">
        <v>11662</v>
      </c>
      <c r="P57" s="142">
        <v>468</v>
      </c>
      <c r="Q57" s="142">
        <v>468</v>
      </c>
      <c r="R57" s="142">
        <v>468</v>
      </c>
      <c r="S57" s="143">
        <v>11662</v>
      </c>
      <c r="T57" s="143">
        <v>11662</v>
      </c>
      <c r="U57" s="143">
        <v>11662</v>
      </c>
      <c r="V57" s="142">
        <v>468</v>
      </c>
      <c r="W57" s="142">
        <v>468</v>
      </c>
      <c r="X57" s="142">
        <v>468</v>
      </c>
      <c r="Y57" s="143">
        <v>11662</v>
      </c>
      <c r="Z57" s="143">
        <v>11662</v>
      </c>
      <c r="AA57" s="143">
        <v>11662</v>
      </c>
      <c r="AB57" s="142">
        <v>468</v>
      </c>
      <c r="AC57" s="142">
        <v>468</v>
      </c>
      <c r="AD57" s="142">
        <v>468</v>
      </c>
      <c r="AE57" s="143">
        <v>11662</v>
      </c>
      <c r="AF57" s="143">
        <v>11662</v>
      </c>
      <c r="AG57" s="143">
        <v>11662</v>
      </c>
      <c r="AH57" s="143">
        <v>139944</v>
      </c>
      <c r="AI57" s="172">
        <v>139944</v>
      </c>
      <c r="AJ57" s="143"/>
      <c r="AK57" s="143"/>
      <c r="AL57" s="143"/>
      <c r="AM57" s="143"/>
      <c r="AN57" s="143"/>
      <c r="AO57" s="145" t="s">
        <v>422</v>
      </c>
      <c r="AP57" s="146" t="s">
        <v>423</v>
      </c>
      <c r="AQ57" s="146" t="s">
        <v>436</v>
      </c>
    </row>
    <row r="58" spans="1:43" ht="31.2">
      <c r="A58" s="2000"/>
      <c r="B58" s="1983"/>
      <c r="C58" s="154">
        <v>57</v>
      </c>
      <c r="D58" s="155" t="s">
        <v>424</v>
      </c>
      <c r="E58" s="2004"/>
      <c r="F58" s="2004"/>
      <c r="G58" s="1987"/>
      <c r="H58" s="1987"/>
      <c r="I58" s="1987"/>
      <c r="J58" s="142">
        <v>57</v>
      </c>
      <c r="K58" s="142">
        <v>57</v>
      </c>
      <c r="L58" s="142">
        <v>57</v>
      </c>
      <c r="M58" s="143">
        <v>1419</v>
      </c>
      <c r="N58" s="143">
        <v>1419</v>
      </c>
      <c r="O58" s="143">
        <v>1419</v>
      </c>
      <c r="P58" s="142">
        <v>57</v>
      </c>
      <c r="Q58" s="142">
        <v>57</v>
      </c>
      <c r="R58" s="142">
        <v>57</v>
      </c>
      <c r="S58" s="143">
        <v>1419</v>
      </c>
      <c r="T58" s="143">
        <v>1419</v>
      </c>
      <c r="U58" s="143">
        <v>1419</v>
      </c>
      <c r="V58" s="142">
        <v>57</v>
      </c>
      <c r="W58" s="142">
        <v>57</v>
      </c>
      <c r="X58" s="142">
        <v>57</v>
      </c>
      <c r="Y58" s="143">
        <v>1419</v>
      </c>
      <c r="Z58" s="143">
        <v>1419</v>
      </c>
      <c r="AA58" s="143">
        <v>1419</v>
      </c>
      <c r="AB58" s="142">
        <v>57</v>
      </c>
      <c r="AC58" s="142">
        <v>57</v>
      </c>
      <c r="AD58" s="142">
        <v>57</v>
      </c>
      <c r="AE58" s="143">
        <v>1419</v>
      </c>
      <c r="AF58" s="143">
        <v>1419</v>
      </c>
      <c r="AG58" s="143">
        <v>1419</v>
      </c>
      <c r="AH58" s="143">
        <v>17028</v>
      </c>
      <c r="AI58" s="172">
        <v>17028</v>
      </c>
      <c r="AJ58" s="143"/>
      <c r="AK58" s="143"/>
      <c r="AL58" s="143"/>
      <c r="AM58" s="143"/>
      <c r="AN58" s="143"/>
      <c r="AO58" s="145" t="s">
        <v>422</v>
      </c>
      <c r="AP58" s="146" t="s">
        <v>423</v>
      </c>
      <c r="AQ58" s="146" t="s">
        <v>436</v>
      </c>
    </row>
    <row r="59" spans="1:43" ht="78">
      <c r="A59" s="182" t="s">
        <v>545</v>
      </c>
      <c r="B59" s="213" t="s">
        <v>546</v>
      </c>
      <c r="C59" s="184"/>
      <c r="D59" s="184"/>
      <c r="E59" s="184"/>
      <c r="F59" s="184"/>
      <c r="G59" s="185">
        <v>0</v>
      </c>
      <c r="H59" s="185">
        <v>0</v>
      </c>
      <c r="I59" s="214"/>
      <c r="J59" s="184"/>
      <c r="K59" s="184"/>
      <c r="L59" s="215"/>
      <c r="M59" s="216"/>
      <c r="N59" s="216"/>
      <c r="O59" s="216"/>
      <c r="P59" s="187"/>
      <c r="Q59" s="187"/>
      <c r="R59" s="187"/>
      <c r="S59" s="188"/>
      <c r="T59" s="188"/>
      <c r="U59" s="188"/>
      <c r="V59" s="187"/>
      <c r="W59" s="187"/>
      <c r="X59" s="187"/>
      <c r="Y59" s="188"/>
      <c r="Z59" s="188"/>
      <c r="AA59" s="188"/>
      <c r="AB59" s="187"/>
      <c r="AC59" s="187"/>
      <c r="AD59" s="187"/>
      <c r="AE59" s="188"/>
      <c r="AF59" s="188">
        <v>7000</v>
      </c>
      <c r="AG59" s="188"/>
      <c r="AH59" s="188">
        <v>7000</v>
      </c>
      <c r="AI59" s="217">
        <v>7000</v>
      </c>
      <c r="AJ59" s="188"/>
      <c r="AK59" s="188"/>
      <c r="AL59" s="188"/>
      <c r="AM59" s="188"/>
      <c r="AN59" s="188"/>
      <c r="AO59" s="189"/>
      <c r="AP59" s="190"/>
      <c r="AQ59" s="190"/>
    </row>
    <row r="60" spans="1:43" ht="93.6">
      <c r="A60" s="191" t="s">
        <v>547</v>
      </c>
      <c r="B60" s="192" t="s">
        <v>548</v>
      </c>
      <c r="C60" s="193"/>
      <c r="D60" s="194"/>
      <c r="E60" s="195"/>
      <c r="F60" s="195"/>
      <c r="G60" s="134">
        <v>100</v>
      </c>
      <c r="H60" s="134"/>
      <c r="I60" s="134">
        <v>100</v>
      </c>
      <c r="J60" s="136"/>
      <c r="K60" s="136"/>
      <c r="L60" s="136"/>
      <c r="M60" s="137"/>
      <c r="N60" s="137"/>
      <c r="O60" s="137"/>
      <c r="P60" s="136"/>
      <c r="Q60" s="136"/>
      <c r="R60" s="136"/>
      <c r="S60" s="137"/>
      <c r="T60" s="137"/>
      <c r="U60" s="137"/>
      <c r="V60" s="136"/>
      <c r="W60" s="136"/>
      <c r="X60" s="136"/>
      <c r="Y60" s="137"/>
      <c r="Z60" s="137"/>
      <c r="AA60" s="137"/>
      <c r="AB60" s="136"/>
      <c r="AC60" s="136"/>
      <c r="AD60" s="136"/>
      <c r="AE60" s="137"/>
      <c r="AF60" s="137">
        <f>AF61+AF62</f>
        <v>7000</v>
      </c>
      <c r="AG60" s="137"/>
      <c r="AH60" s="137">
        <f>AH61+AH62</f>
        <v>7000</v>
      </c>
      <c r="AI60" s="137">
        <f>AI61+AI62</f>
        <v>7000</v>
      </c>
      <c r="AJ60" s="137"/>
      <c r="AK60" s="137"/>
      <c r="AL60" s="137"/>
      <c r="AM60" s="137"/>
      <c r="AN60" s="137"/>
      <c r="AO60" s="150"/>
      <c r="AP60" s="130"/>
      <c r="AQ60" s="130"/>
    </row>
    <row r="61" spans="1:43" ht="46.8">
      <c r="A61" s="196" t="s">
        <v>549</v>
      </c>
      <c r="B61" s="197" t="s">
        <v>550</v>
      </c>
      <c r="C61" s="198">
        <v>1</v>
      </c>
      <c r="D61" s="199" t="s">
        <v>462</v>
      </c>
      <c r="E61" s="200" t="s">
        <v>551</v>
      </c>
      <c r="F61" s="200" t="s">
        <v>552</v>
      </c>
      <c r="G61" s="158">
        <v>50</v>
      </c>
      <c r="H61" s="158"/>
      <c r="I61" s="158"/>
      <c r="J61" s="142"/>
      <c r="K61" s="142"/>
      <c r="L61" s="142"/>
      <c r="M61" s="143"/>
      <c r="N61" s="143"/>
      <c r="O61" s="143"/>
      <c r="P61" s="142"/>
      <c r="Q61" s="142"/>
      <c r="R61" s="142"/>
      <c r="S61" s="143"/>
      <c r="T61" s="143"/>
      <c r="U61" s="143"/>
      <c r="V61" s="142"/>
      <c r="W61" s="142"/>
      <c r="X61" s="142"/>
      <c r="Y61" s="143"/>
      <c r="Z61" s="143"/>
      <c r="AA61" s="143"/>
      <c r="AB61" s="142"/>
      <c r="AC61" s="142">
        <v>1</v>
      </c>
      <c r="AD61" s="142"/>
      <c r="AE61" s="143"/>
      <c r="AF61" s="143">
        <v>3500</v>
      </c>
      <c r="AG61" s="143"/>
      <c r="AH61" s="143">
        <v>3500</v>
      </c>
      <c r="AI61" s="172">
        <v>3500</v>
      </c>
      <c r="AJ61" s="143"/>
      <c r="AK61" s="143"/>
      <c r="AL61" s="143"/>
      <c r="AM61" s="143"/>
      <c r="AN61" s="143"/>
      <c r="AO61" s="145" t="s">
        <v>465</v>
      </c>
      <c r="AP61" s="146" t="s">
        <v>553</v>
      </c>
      <c r="AQ61" s="203"/>
    </row>
    <row r="62" spans="1:43" ht="46.8">
      <c r="A62" s="196" t="s">
        <v>554</v>
      </c>
      <c r="B62" s="197" t="s">
        <v>555</v>
      </c>
      <c r="C62" s="198">
        <v>1</v>
      </c>
      <c r="D62" s="199" t="s">
        <v>462</v>
      </c>
      <c r="E62" s="200" t="s">
        <v>551</v>
      </c>
      <c r="F62" s="200" t="s">
        <v>552</v>
      </c>
      <c r="G62" s="158">
        <v>50</v>
      </c>
      <c r="H62" s="158"/>
      <c r="I62" s="158"/>
      <c r="J62" s="142"/>
      <c r="K62" s="142"/>
      <c r="L62" s="142"/>
      <c r="M62" s="143"/>
      <c r="N62" s="143"/>
      <c r="O62" s="143"/>
      <c r="P62" s="142"/>
      <c r="Q62" s="142"/>
      <c r="R62" s="142"/>
      <c r="S62" s="143"/>
      <c r="T62" s="143"/>
      <c r="U62" s="143"/>
      <c r="V62" s="142"/>
      <c r="W62" s="142"/>
      <c r="X62" s="142"/>
      <c r="Y62" s="143"/>
      <c r="Z62" s="143"/>
      <c r="AA62" s="143"/>
      <c r="AB62" s="142"/>
      <c r="AC62" s="142">
        <v>1</v>
      </c>
      <c r="AD62" s="142"/>
      <c r="AE62" s="143"/>
      <c r="AF62" s="143">
        <v>3500</v>
      </c>
      <c r="AG62" s="143"/>
      <c r="AH62" s="143">
        <v>3500</v>
      </c>
      <c r="AI62" s="172">
        <v>3500</v>
      </c>
      <c r="AJ62" s="143"/>
      <c r="AK62" s="143"/>
      <c r="AL62" s="143"/>
      <c r="AM62" s="143"/>
      <c r="AN62" s="143"/>
      <c r="AO62" s="145" t="s">
        <v>465</v>
      </c>
      <c r="AP62" s="146" t="s">
        <v>553</v>
      </c>
      <c r="AQ62" s="203"/>
    </row>
    <row r="63" spans="1:43" ht="31.2">
      <c r="A63" s="119" t="s">
        <v>556</v>
      </c>
      <c r="B63" s="120" t="s">
        <v>557</v>
      </c>
      <c r="C63" s="121"/>
      <c r="D63" s="122"/>
      <c r="E63" s="170"/>
      <c r="F63" s="171"/>
      <c r="G63" s="124">
        <v>1.1299999999999999</v>
      </c>
      <c r="H63" s="124">
        <v>1.1299999999999999</v>
      </c>
      <c r="I63" s="124"/>
      <c r="J63" s="125"/>
      <c r="K63" s="125"/>
      <c r="L63" s="125"/>
      <c r="M63" s="126">
        <f t="shared" ref="M63:N63" si="50">M64+M67+M69+M72</f>
        <v>9300</v>
      </c>
      <c r="N63" s="126">
        <f t="shared" si="50"/>
        <v>9300</v>
      </c>
      <c r="O63" s="126">
        <f>O64+O67+O69+O72</f>
        <v>9300</v>
      </c>
      <c r="P63" s="125"/>
      <c r="Q63" s="125"/>
      <c r="R63" s="125"/>
      <c r="S63" s="126">
        <f t="shared" ref="S63:U63" si="51">S64+S67+S69+S72</f>
        <v>9300</v>
      </c>
      <c r="T63" s="126">
        <f t="shared" si="51"/>
        <v>15180</v>
      </c>
      <c r="U63" s="126">
        <f t="shared" si="51"/>
        <v>15180</v>
      </c>
      <c r="V63" s="125"/>
      <c r="W63" s="125"/>
      <c r="X63" s="125"/>
      <c r="Y63" s="126">
        <f t="shared" ref="Y63:AA63" si="52">Y64+Y67+Y69+Y72</f>
        <v>14880</v>
      </c>
      <c r="Z63" s="126">
        <f t="shared" si="52"/>
        <v>15180</v>
      </c>
      <c r="AA63" s="126">
        <f t="shared" si="52"/>
        <v>15180</v>
      </c>
      <c r="AB63" s="125"/>
      <c r="AC63" s="125"/>
      <c r="AD63" s="125"/>
      <c r="AE63" s="126">
        <f t="shared" ref="AE63:AI63" si="53">AE64+AE67+AE69+AE72</f>
        <v>9300</v>
      </c>
      <c r="AF63" s="126">
        <f t="shared" si="53"/>
        <v>9300</v>
      </c>
      <c r="AG63" s="126">
        <f t="shared" si="53"/>
        <v>10500</v>
      </c>
      <c r="AH63" s="126">
        <f t="shared" si="53"/>
        <v>141900</v>
      </c>
      <c r="AI63" s="126">
        <f t="shared" si="53"/>
        <v>141900</v>
      </c>
      <c r="AJ63" s="126"/>
      <c r="AK63" s="126"/>
      <c r="AL63" s="126"/>
      <c r="AM63" s="126"/>
      <c r="AN63" s="126"/>
      <c r="AO63" s="127"/>
      <c r="AP63" s="120"/>
      <c r="AQ63" s="120"/>
    </row>
    <row r="64" spans="1:43" ht="78">
      <c r="A64" s="129" t="s">
        <v>558</v>
      </c>
      <c r="B64" s="130" t="s">
        <v>559</v>
      </c>
      <c r="C64" s="131"/>
      <c r="D64" s="132"/>
      <c r="E64" s="174"/>
      <c r="F64" s="149"/>
      <c r="G64" s="134">
        <v>79</v>
      </c>
      <c r="H64" s="134"/>
      <c r="I64" s="135">
        <v>79</v>
      </c>
      <c r="J64" s="136"/>
      <c r="K64" s="136"/>
      <c r="L64" s="136"/>
      <c r="M64" s="137">
        <f t="shared" ref="M64:N64" si="54">M65+M66</f>
        <v>9300</v>
      </c>
      <c r="N64" s="137">
        <f t="shared" si="54"/>
        <v>9300</v>
      </c>
      <c r="O64" s="137">
        <f>O65+O66</f>
        <v>9300</v>
      </c>
      <c r="P64" s="136"/>
      <c r="Q64" s="136"/>
      <c r="R64" s="136"/>
      <c r="S64" s="137">
        <f t="shared" ref="S64" si="55">S65+S66</f>
        <v>9300</v>
      </c>
      <c r="T64" s="137">
        <f>T65+T66</f>
        <v>9300</v>
      </c>
      <c r="U64" s="137">
        <f>U65+U66</f>
        <v>9300</v>
      </c>
      <c r="V64" s="136"/>
      <c r="W64" s="136"/>
      <c r="X64" s="136"/>
      <c r="Y64" s="137">
        <f t="shared" ref="Y64:AA64" si="56">Y65+Y66</f>
        <v>9300</v>
      </c>
      <c r="Z64" s="137">
        <f t="shared" si="56"/>
        <v>9300</v>
      </c>
      <c r="AA64" s="137">
        <f t="shared" si="56"/>
        <v>9300</v>
      </c>
      <c r="AB64" s="136"/>
      <c r="AC64" s="136"/>
      <c r="AD64" s="136"/>
      <c r="AE64" s="137">
        <f t="shared" ref="AE64:AG64" si="57">AE65+AE66</f>
        <v>9300</v>
      </c>
      <c r="AF64" s="137">
        <f t="shared" si="57"/>
        <v>9300</v>
      </c>
      <c r="AG64" s="137">
        <f t="shared" si="57"/>
        <v>9300</v>
      </c>
      <c r="AH64" s="137">
        <f>AH65+AH66</f>
        <v>111600</v>
      </c>
      <c r="AI64" s="137">
        <f>AI65+AI66</f>
        <v>111600</v>
      </c>
      <c r="AJ64" s="137"/>
      <c r="AK64" s="137"/>
      <c r="AL64" s="137"/>
      <c r="AM64" s="137"/>
      <c r="AN64" s="137"/>
      <c r="AO64" s="150"/>
      <c r="AP64" s="130"/>
      <c r="AQ64" s="130"/>
    </row>
    <row r="65" spans="1:43" ht="31.2">
      <c r="A65" s="1980" t="s">
        <v>560</v>
      </c>
      <c r="B65" s="1982" t="s">
        <v>561</v>
      </c>
      <c r="C65" s="152">
        <v>244</v>
      </c>
      <c r="D65" s="155" t="s">
        <v>419</v>
      </c>
      <c r="E65" s="2003" t="s">
        <v>446</v>
      </c>
      <c r="F65" s="2003" t="s">
        <v>52</v>
      </c>
      <c r="G65" s="1986">
        <v>100</v>
      </c>
      <c r="H65" s="1986"/>
      <c r="I65" s="1986"/>
      <c r="J65" s="142">
        <v>244</v>
      </c>
      <c r="K65" s="142">
        <v>244</v>
      </c>
      <c r="L65" s="142">
        <v>244</v>
      </c>
      <c r="M65" s="143">
        <v>7564</v>
      </c>
      <c r="N65" s="143">
        <v>7564</v>
      </c>
      <c r="O65" s="143">
        <v>7564</v>
      </c>
      <c r="P65" s="142">
        <v>244</v>
      </c>
      <c r="Q65" s="142">
        <v>244</v>
      </c>
      <c r="R65" s="142">
        <v>244</v>
      </c>
      <c r="S65" s="143">
        <v>7564</v>
      </c>
      <c r="T65" s="143">
        <v>7564</v>
      </c>
      <c r="U65" s="143">
        <v>7564</v>
      </c>
      <c r="V65" s="142">
        <v>244</v>
      </c>
      <c r="W65" s="142">
        <v>244</v>
      </c>
      <c r="X65" s="142">
        <v>244</v>
      </c>
      <c r="Y65" s="143">
        <v>7564</v>
      </c>
      <c r="Z65" s="143">
        <v>7564</v>
      </c>
      <c r="AA65" s="143">
        <v>7564</v>
      </c>
      <c r="AB65" s="142">
        <v>244</v>
      </c>
      <c r="AC65" s="142">
        <v>244</v>
      </c>
      <c r="AD65" s="142">
        <v>244</v>
      </c>
      <c r="AE65" s="143">
        <v>7564</v>
      </c>
      <c r="AF65" s="143">
        <v>7564</v>
      </c>
      <c r="AG65" s="143">
        <v>7564</v>
      </c>
      <c r="AH65" s="143">
        <v>90768</v>
      </c>
      <c r="AI65" s="172">
        <v>90768</v>
      </c>
      <c r="AJ65" s="143"/>
      <c r="AK65" s="143"/>
      <c r="AL65" s="143"/>
      <c r="AM65" s="143"/>
      <c r="AN65" s="143"/>
      <c r="AO65" s="145" t="s">
        <v>422</v>
      </c>
      <c r="AP65" s="146" t="s">
        <v>423</v>
      </c>
      <c r="AQ65" s="146" t="s">
        <v>436</v>
      </c>
    </row>
    <row r="66" spans="1:43" ht="31.2">
      <c r="A66" s="1981"/>
      <c r="B66" s="1983"/>
      <c r="C66" s="152">
        <v>56</v>
      </c>
      <c r="D66" s="155" t="s">
        <v>424</v>
      </c>
      <c r="E66" s="2004"/>
      <c r="F66" s="2004"/>
      <c r="G66" s="1987"/>
      <c r="H66" s="1987"/>
      <c r="I66" s="1987"/>
      <c r="J66" s="142">
        <v>56</v>
      </c>
      <c r="K66" s="142">
        <v>56</v>
      </c>
      <c r="L66" s="142">
        <v>56</v>
      </c>
      <c r="M66" s="143">
        <v>1736</v>
      </c>
      <c r="N66" s="143">
        <v>1736</v>
      </c>
      <c r="O66" s="143">
        <v>1736</v>
      </c>
      <c r="P66" s="142">
        <v>56</v>
      </c>
      <c r="Q66" s="142">
        <v>56</v>
      </c>
      <c r="R66" s="142">
        <v>56</v>
      </c>
      <c r="S66" s="143">
        <v>1736</v>
      </c>
      <c r="T66" s="143">
        <v>1736</v>
      </c>
      <c r="U66" s="143">
        <v>1736</v>
      </c>
      <c r="V66" s="142">
        <v>56</v>
      </c>
      <c r="W66" s="142">
        <v>56</v>
      </c>
      <c r="X66" s="142">
        <v>56</v>
      </c>
      <c r="Y66" s="143">
        <v>1736</v>
      </c>
      <c r="Z66" s="143">
        <v>1736</v>
      </c>
      <c r="AA66" s="143">
        <v>1736</v>
      </c>
      <c r="AB66" s="142">
        <v>56</v>
      </c>
      <c r="AC66" s="142">
        <v>56</v>
      </c>
      <c r="AD66" s="142">
        <v>56</v>
      </c>
      <c r="AE66" s="143">
        <v>1736</v>
      </c>
      <c r="AF66" s="143">
        <v>1736</v>
      </c>
      <c r="AG66" s="143">
        <v>1736</v>
      </c>
      <c r="AH66" s="143">
        <v>20832</v>
      </c>
      <c r="AI66" s="172">
        <v>20832</v>
      </c>
      <c r="AJ66" s="143"/>
      <c r="AK66" s="143"/>
      <c r="AL66" s="143"/>
      <c r="AM66" s="143"/>
      <c r="AN66" s="143"/>
      <c r="AO66" s="145" t="s">
        <v>422</v>
      </c>
      <c r="AP66" s="146" t="s">
        <v>423</v>
      </c>
      <c r="AQ66" s="146" t="s">
        <v>436</v>
      </c>
    </row>
    <row r="67" spans="1:43" ht="62.4">
      <c r="A67" s="129" t="s">
        <v>562</v>
      </c>
      <c r="B67" s="130" t="s">
        <v>563</v>
      </c>
      <c r="C67" s="131"/>
      <c r="D67" s="132"/>
      <c r="E67" s="174"/>
      <c r="F67" s="149"/>
      <c r="G67" s="134">
        <v>1</v>
      </c>
      <c r="H67" s="134"/>
      <c r="I67" s="135">
        <v>1</v>
      </c>
      <c r="J67" s="136"/>
      <c r="K67" s="136"/>
      <c r="L67" s="136"/>
      <c r="M67" s="137"/>
      <c r="N67" s="137"/>
      <c r="O67" s="137"/>
      <c r="P67" s="136"/>
      <c r="Q67" s="136"/>
      <c r="R67" s="136"/>
      <c r="S67" s="137"/>
      <c r="T67" s="137">
        <f t="shared" ref="T67:U67" si="58">T68</f>
        <v>300</v>
      </c>
      <c r="U67" s="137">
        <f t="shared" si="58"/>
        <v>300</v>
      </c>
      <c r="V67" s="136"/>
      <c r="W67" s="136"/>
      <c r="X67" s="136"/>
      <c r="Y67" s="137"/>
      <c r="Z67" s="137">
        <f t="shared" ref="Z67:AA67" si="59">Z68</f>
        <v>300</v>
      </c>
      <c r="AA67" s="137">
        <f t="shared" si="59"/>
        <v>300</v>
      </c>
      <c r="AB67" s="136"/>
      <c r="AC67" s="136"/>
      <c r="AD67" s="136"/>
      <c r="AE67" s="137"/>
      <c r="AF67" s="137"/>
      <c r="AG67" s="137"/>
      <c r="AH67" s="137">
        <f>AH68</f>
        <v>1200</v>
      </c>
      <c r="AI67" s="137">
        <f>AI68</f>
        <v>1200</v>
      </c>
      <c r="AJ67" s="137"/>
      <c r="AK67" s="137"/>
      <c r="AL67" s="137"/>
      <c r="AM67" s="137"/>
      <c r="AN67" s="137"/>
      <c r="AO67" s="150"/>
      <c r="AP67" s="130"/>
      <c r="AQ67" s="130"/>
    </row>
    <row r="68" spans="1:43" ht="46.8">
      <c r="A68" s="152" t="s">
        <v>564</v>
      </c>
      <c r="B68" s="153" t="s">
        <v>565</v>
      </c>
      <c r="C68" s="154">
        <v>20</v>
      </c>
      <c r="D68" s="155" t="s">
        <v>566</v>
      </c>
      <c r="E68" s="156" t="s">
        <v>567</v>
      </c>
      <c r="F68" s="157" t="s">
        <v>435</v>
      </c>
      <c r="G68" s="158">
        <v>100</v>
      </c>
      <c r="H68" s="158"/>
      <c r="I68" s="158"/>
      <c r="J68" s="142"/>
      <c r="K68" s="142"/>
      <c r="L68" s="142"/>
      <c r="M68" s="143"/>
      <c r="N68" s="143"/>
      <c r="O68" s="143"/>
      <c r="P68" s="142"/>
      <c r="Q68" s="142">
        <v>5</v>
      </c>
      <c r="R68" s="142">
        <v>5</v>
      </c>
      <c r="S68" s="143"/>
      <c r="T68" s="143">
        <v>300</v>
      </c>
      <c r="U68" s="143">
        <v>300</v>
      </c>
      <c r="V68" s="142"/>
      <c r="W68" s="142">
        <v>5</v>
      </c>
      <c r="X68" s="142">
        <v>5</v>
      </c>
      <c r="Y68" s="143"/>
      <c r="Z68" s="143">
        <v>300</v>
      </c>
      <c r="AA68" s="143">
        <v>300</v>
      </c>
      <c r="AB68" s="142"/>
      <c r="AC68" s="142"/>
      <c r="AD68" s="142"/>
      <c r="AE68" s="143"/>
      <c r="AF68" s="143"/>
      <c r="AG68" s="143"/>
      <c r="AH68" s="143">
        <v>1200</v>
      </c>
      <c r="AI68" s="172">
        <v>1200</v>
      </c>
      <c r="AJ68" s="143"/>
      <c r="AK68" s="143"/>
      <c r="AL68" s="143"/>
      <c r="AM68" s="143"/>
      <c r="AN68" s="143"/>
      <c r="AO68" s="145" t="s">
        <v>465</v>
      </c>
      <c r="AP68" s="146" t="s">
        <v>568</v>
      </c>
      <c r="AQ68" s="146"/>
    </row>
    <row r="69" spans="1:43" ht="31.2">
      <c r="A69" s="129" t="s">
        <v>569</v>
      </c>
      <c r="B69" s="130" t="s">
        <v>497</v>
      </c>
      <c r="C69" s="131"/>
      <c r="D69" s="132"/>
      <c r="E69" s="174"/>
      <c r="F69" s="149"/>
      <c r="G69" s="134">
        <v>20</v>
      </c>
      <c r="H69" s="134"/>
      <c r="I69" s="135">
        <v>20</v>
      </c>
      <c r="J69" s="136"/>
      <c r="K69" s="136"/>
      <c r="L69" s="136"/>
      <c r="M69" s="137"/>
      <c r="N69" s="137"/>
      <c r="O69" s="137"/>
      <c r="P69" s="136"/>
      <c r="Q69" s="136"/>
      <c r="R69" s="136"/>
      <c r="S69" s="137"/>
      <c r="T69" s="137">
        <f t="shared" ref="T69:U69" si="60">T70+T71</f>
        <v>5580</v>
      </c>
      <c r="U69" s="137">
        <f t="shared" si="60"/>
        <v>5580</v>
      </c>
      <c r="V69" s="136"/>
      <c r="W69" s="136"/>
      <c r="X69" s="136"/>
      <c r="Y69" s="137">
        <f t="shared" ref="Y69:AA69" si="61">Y70+Y71</f>
        <v>5580</v>
      </c>
      <c r="Z69" s="137">
        <f t="shared" si="61"/>
        <v>5580</v>
      </c>
      <c r="AA69" s="137">
        <f t="shared" si="61"/>
        <v>5580</v>
      </c>
      <c r="AB69" s="136"/>
      <c r="AC69" s="136"/>
      <c r="AD69" s="136"/>
      <c r="AE69" s="137"/>
      <c r="AF69" s="137"/>
      <c r="AG69" s="137"/>
      <c r="AH69" s="137">
        <f>AH70+AH71</f>
        <v>27900</v>
      </c>
      <c r="AI69" s="137">
        <f t="shared" ref="AI69" si="62">AI70+AI71</f>
        <v>27900</v>
      </c>
      <c r="AJ69" s="137"/>
      <c r="AK69" s="137"/>
      <c r="AL69" s="137"/>
      <c r="AM69" s="137"/>
      <c r="AN69" s="137"/>
      <c r="AO69" s="150"/>
      <c r="AP69" s="130"/>
      <c r="AQ69" s="130"/>
    </row>
    <row r="70" spans="1:43" ht="31.2">
      <c r="A70" s="1980" t="s">
        <v>570</v>
      </c>
      <c r="B70" s="1982" t="s">
        <v>571</v>
      </c>
      <c r="C70" s="175">
        <v>175</v>
      </c>
      <c r="D70" s="141" t="s">
        <v>419</v>
      </c>
      <c r="E70" s="1984" t="s">
        <v>446</v>
      </c>
      <c r="F70" s="1984" t="s">
        <v>52</v>
      </c>
      <c r="G70" s="1986">
        <v>100</v>
      </c>
      <c r="H70" s="1986"/>
      <c r="I70" s="1986"/>
      <c r="J70" s="142"/>
      <c r="K70" s="142"/>
      <c r="L70" s="142"/>
      <c r="M70" s="143"/>
      <c r="N70" s="143"/>
      <c r="O70" s="143"/>
      <c r="P70" s="142"/>
      <c r="Q70" s="142">
        <v>175</v>
      </c>
      <c r="R70" s="142">
        <v>175</v>
      </c>
      <c r="S70" s="143"/>
      <c r="T70" s="143">
        <v>4539</v>
      </c>
      <c r="U70" s="143">
        <v>4539</v>
      </c>
      <c r="V70" s="142">
        <v>175</v>
      </c>
      <c r="W70" s="142">
        <v>175</v>
      </c>
      <c r="X70" s="142">
        <v>175</v>
      </c>
      <c r="Y70" s="143">
        <v>4539</v>
      </c>
      <c r="Z70" s="143">
        <v>4539</v>
      </c>
      <c r="AA70" s="143">
        <v>4539</v>
      </c>
      <c r="AB70" s="142"/>
      <c r="AC70" s="142"/>
      <c r="AD70" s="142"/>
      <c r="AE70" s="143"/>
      <c r="AF70" s="143"/>
      <c r="AG70" s="143"/>
      <c r="AH70" s="143">
        <v>22695</v>
      </c>
      <c r="AI70" s="172">
        <v>22695</v>
      </c>
      <c r="AJ70" s="143"/>
      <c r="AK70" s="143"/>
      <c r="AL70" s="143"/>
      <c r="AM70" s="143"/>
      <c r="AN70" s="143"/>
      <c r="AO70" s="145" t="s">
        <v>422</v>
      </c>
      <c r="AP70" s="146" t="s">
        <v>423</v>
      </c>
      <c r="AQ70" s="146" t="s">
        <v>436</v>
      </c>
    </row>
    <row r="71" spans="1:43" ht="31.2">
      <c r="A71" s="1981"/>
      <c r="B71" s="1983"/>
      <c r="C71" s="175">
        <v>50</v>
      </c>
      <c r="D71" s="141" t="s">
        <v>424</v>
      </c>
      <c r="E71" s="1985"/>
      <c r="F71" s="1985"/>
      <c r="G71" s="1987"/>
      <c r="H71" s="1987"/>
      <c r="I71" s="1987"/>
      <c r="J71" s="142"/>
      <c r="K71" s="142"/>
      <c r="L71" s="142"/>
      <c r="M71" s="143"/>
      <c r="N71" s="143"/>
      <c r="O71" s="143"/>
      <c r="P71" s="142"/>
      <c r="Q71" s="142">
        <v>50</v>
      </c>
      <c r="R71" s="142">
        <v>50</v>
      </c>
      <c r="S71" s="143"/>
      <c r="T71" s="143">
        <v>1041</v>
      </c>
      <c r="U71" s="143">
        <v>1041</v>
      </c>
      <c r="V71" s="142">
        <v>50</v>
      </c>
      <c r="W71" s="142">
        <v>50</v>
      </c>
      <c r="X71" s="142">
        <v>50</v>
      </c>
      <c r="Y71" s="143">
        <v>1041</v>
      </c>
      <c r="Z71" s="143">
        <v>1041</v>
      </c>
      <c r="AA71" s="143">
        <v>1041</v>
      </c>
      <c r="AB71" s="142"/>
      <c r="AC71" s="142"/>
      <c r="AD71" s="142"/>
      <c r="AE71" s="143"/>
      <c r="AF71" s="143"/>
      <c r="AG71" s="143"/>
      <c r="AH71" s="143">
        <v>5205</v>
      </c>
      <c r="AI71" s="172">
        <v>5205</v>
      </c>
      <c r="AJ71" s="143"/>
      <c r="AK71" s="143"/>
      <c r="AL71" s="143"/>
      <c r="AM71" s="143"/>
      <c r="AN71" s="143"/>
      <c r="AO71" s="145" t="s">
        <v>422</v>
      </c>
      <c r="AP71" s="146" t="s">
        <v>423</v>
      </c>
      <c r="AQ71" s="146" t="s">
        <v>436</v>
      </c>
    </row>
    <row r="72" spans="1:43" ht="78">
      <c r="A72" s="191" t="s">
        <v>572</v>
      </c>
      <c r="B72" s="218" t="s">
        <v>573</v>
      </c>
      <c r="C72" s="193"/>
      <c r="D72" s="194"/>
      <c r="E72" s="195"/>
      <c r="F72" s="195"/>
      <c r="G72" s="134">
        <v>100</v>
      </c>
      <c r="H72" s="134"/>
      <c r="I72" s="134">
        <v>100</v>
      </c>
      <c r="J72" s="136"/>
      <c r="K72" s="136"/>
      <c r="L72" s="136"/>
      <c r="M72" s="137"/>
      <c r="N72" s="137"/>
      <c r="O72" s="137"/>
      <c r="P72" s="136"/>
      <c r="Q72" s="136"/>
      <c r="R72" s="136"/>
      <c r="S72" s="137"/>
      <c r="T72" s="137"/>
      <c r="U72" s="137"/>
      <c r="V72" s="136"/>
      <c r="W72" s="136"/>
      <c r="X72" s="136"/>
      <c r="Y72" s="137"/>
      <c r="Z72" s="137"/>
      <c r="AA72" s="137"/>
      <c r="AB72" s="136"/>
      <c r="AC72" s="136"/>
      <c r="AD72" s="136"/>
      <c r="AE72" s="137"/>
      <c r="AF72" s="137"/>
      <c r="AG72" s="137">
        <f>AG73</f>
        <v>1200</v>
      </c>
      <c r="AH72" s="137">
        <f>AH73</f>
        <v>1200</v>
      </c>
      <c r="AI72" s="137">
        <f t="shared" ref="AI72" si="63">AI73</f>
        <v>1200</v>
      </c>
      <c r="AJ72" s="137"/>
      <c r="AK72" s="137"/>
      <c r="AL72" s="137"/>
      <c r="AM72" s="137"/>
      <c r="AN72" s="137"/>
      <c r="AO72" s="150"/>
      <c r="AP72" s="130"/>
      <c r="AQ72" s="130"/>
    </row>
    <row r="73" spans="1:43" ht="46.8">
      <c r="A73" s="196" t="s">
        <v>574</v>
      </c>
      <c r="B73" s="219" t="s">
        <v>575</v>
      </c>
      <c r="C73" s="198">
        <v>1</v>
      </c>
      <c r="D73" s="199" t="s">
        <v>57</v>
      </c>
      <c r="E73" s="200" t="s">
        <v>576</v>
      </c>
      <c r="F73" s="200" t="s">
        <v>447</v>
      </c>
      <c r="G73" s="158">
        <v>100</v>
      </c>
      <c r="H73" s="158"/>
      <c r="I73" s="158"/>
      <c r="J73" s="142"/>
      <c r="K73" s="142"/>
      <c r="L73" s="142"/>
      <c r="M73" s="143"/>
      <c r="N73" s="143"/>
      <c r="O73" s="143"/>
      <c r="P73" s="142"/>
      <c r="Q73" s="142"/>
      <c r="R73" s="142"/>
      <c r="S73" s="143"/>
      <c r="T73" s="143"/>
      <c r="U73" s="143"/>
      <c r="V73" s="142"/>
      <c r="W73" s="142"/>
      <c r="X73" s="142"/>
      <c r="Y73" s="143"/>
      <c r="Z73" s="143"/>
      <c r="AA73" s="143"/>
      <c r="AB73" s="142"/>
      <c r="AC73" s="142"/>
      <c r="AD73" s="142">
        <v>1</v>
      </c>
      <c r="AE73" s="143"/>
      <c r="AF73" s="143"/>
      <c r="AG73" s="143">
        <v>1200</v>
      </c>
      <c r="AH73" s="143">
        <v>1200</v>
      </c>
      <c r="AI73" s="172">
        <v>1200</v>
      </c>
      <c r="AJ73" s="143"/>
      <c r="AK73" s="143"/>
      <c r="AL73" s="143"/>
      <c r="AM73" s="143"/>
      <c r="AN73" s="143"/>
      <c r="AO73" s="145" t="s">
        <v>465</v>
      </c>
      <c r="AP73" s="146" t="s">
        <v>553</v>
      </c>
      <c r="AQ73" s="203"/>
    </row>
    <row r="74" spans="1:43" ht="46.8">
      <c r="A74" s="220" t="s">
        <v>577</v>
      </c>
      <c r="B74" s="220" t="s">
        <v>578</v>
      </c>
      <c r="C74" s="221"/>
      <c r="D74" s="222"/>
      <c r="E74" s="223"/>
      <c r="F74" s="224"/>
      <c r="G74" s="113"/>
      <c r="H74" s="113"/>
      <c r="I74" s="113"/>
      <c r="J74" s="225"/>
      <c r="K74" s="225"/>
      <c r="L74" s="225"/>
      <c r="M74" s="226"/>
      <c r="N74" s="226"/>
      <c r="O74" s="226">
        <f>O75+O84</f>
        <v>375</v>
      </c>
      <c r="P74" s="225"/>
      <c r="Q74" s="225"/>
      <c r="R74" s="225"/>
      <c r="S74" s="226"/>
      <c r="T74" s="226">
        <f t="shared" ref="T74:U74" si="64">T75+T84</f>
        <v>375</v>
      </c>
      <c r="U74" s="226">
        <f t="shared" si="64"/>
        <v>4775</v>
      </c>
      <c r="V74" s="225"/>
      <c r="W74" s="225"/>
      <c r="X74" s="225"/>
      <c r="Y74" s="226">
        <f t="shared" ref="Y74:Z74" si="65">Y75+Y84</f>
        <v>4010</v>
      </c>
      <c r="Z74" s="226">
        <f t="shared" si="65"/>
        <v>1975</v>
      </c>
      <c r="AA74" s="226"/>
      <c r="AB74" s="225"/>
      <c r="AC74" s="225"/>
      <c r="AD74" s="225"/>
      <c r="AE74" s="226">
        <f>AE75+AE84</f>
        <v>375</v>
      </c>
      <c r="AF74" s="226"/>
      <c r="AG74" s="226">
        <f>AG75+AG84</f>
        <v>375</v>
      </c>
      <c r="AH74" s="226">
        <f>AH75+AH84</f>
        <v>12260</v>
      </c>
      <c r="AI74" s="226">
        <f>AI75+AI84</f>
        <v>12260</v>
      </c>
      <c r="AJ74" s="116"/>
      <c r="AK74" s="116"/>
      <c r="AL74" s="116"/>
      <c r="AM74" s="116"/>
      <c r="AN74" s="116"/>
      <c r="AO74" s="227"/>
      <c r="AP74" s="109"/>
      <c r="AQ74" s="109"/>
    </row>
    <row r="75" spans="1:43" ht="31.2">
      <c r="A75" s="119" t="s">
        <v>579</v>
      </c>
      <c r="B75" s="120" t="s">
        <v>580</v>
      </c>
      <c r="C75" s="121"/>
      <c r="D75" s="122"/>
      <c r="E75" s="170"/>
      <c r="F75" s="171"/>
      <c r="G75" s="124">
        <v>0</v>
      </c>
      <c r="H75" s="124">
        <v>0</v>
      </c>
      <c r="I75" s="124"/>
      <c r="J75" s="125"/>
      <c r="K75" s="125"/>
      <c r="L75" s="125"/>
      <c r="M75" s="126"/>
      <c r="N75" s="126"/>
      <c r="O75" s="126">
        <f>O76+O79+O82</f>
        <v>375</v>
      </c>
      <c r="P75" s="125"/>
      <c r="Q75" s="125"/>
      <c r="R75" s="125"/>
      <c r="S75" s="126"/>
      <c r="T75" s="126">
        <f t="shared" ref="T75:U75" si="66">T76+T79+T82</f>
        <v>375</v>
      </c>
      <c r="U75" s="126">
        <f t="shared" si="66"/>
        <v>4775</v>
      </c>
      <c r="V75" s="125"/>
      <c r="W75" s="125"/>
      <c r="X75" s="125"/>
      <c r="Y75" s="126">
        <f t="shared" ref="Y75:Z75" si="67">Y76+Y79+Y82</f>
        <v>510</v>
      </c>
      <c r="Z75" s="126">
        <f t="shared" si="67"/>
        <v>1975</v>
      </c>
      <c r="AA75" s="126"/>
      <c r="AB75" s="125"/>
      <c r="AC75" s="125"/>
      <c r="AD75" s="125"/>
      <c r="AE75" s="126">
        <f t="shared" ref="AE75:AI75" si="68">AE76+AE79+AE82</f>
        <v>375</v>
      </c>
      <c r="AF75" s="126"/>
      <c r="AG75" s="126">
        <f t="shared" si="68"/>
        <v>375</v>
      </c>
      <c r="AH75" s="126">
        <f t="shared" si="68"/>
        <v>8760</v>
      </c>
      <c r="AI75" s="126">
        <f t="shared" si="68"/>
        <v>8760</v>
      </c>
      <c r="AJ75" s="126"/>
      <c r="AK75" s="126"/>
      <c r="AL75" s="126"/>
      <c r="AM75" s="126"/>
      <c r="AN75" s="126"/>
      <c r="AO75" s="127"/>
      <c r="AP75" s="120"/>
      <c r="AQ75" s="120"/>
    </row>
    <row r="76" spans="1:43" ht="62.4">
      <c r="A76" s="129" t="s">
        <v>581</v>
      </c>
      <c r="B76" s="130" t="s">
        <v>582</v>
      </c>
      <c r="C76" s="131"/>
      <c r="D76" s="132"/>
      <c r="E76" s="174"/>
      <c r="F76" s="149"/>
      <c r="G76" s="134">
        <v>51</v>
      </c>
      <c r="H76" s="134"/>
      <c r="I76" s="135">
        <v>51</v>
      </c>
      <c r="J76" s="136"/>
      <c r="K76" s="136"/>
      <c r="L76" s="136"/>
      <c r="M76" s="137"/>
      <c r="N76" s="137"/>
      <c r="O76" s="137"/>
      <c r="P76" s="136"/>
      <c r="Q76" s="136"/>
      <c r="R76" s="136"/>
      <c r="S76" s="137"/>
      <c r="T76" s="137"/>
      <c r="U76" s="137">
        <f>U77+U78</f>
        <v>2400</v>
      </c>
      <c r="V76" s="136"/>
      <c r="W76" s="136"/>
      <c r="X76" s="136"/>
      <c r="Y76" s="137">
        <f t="shared" ref="Y76:Z76" si="69">Y77+Y78</f>
        <v>510</v>
      </c>
      <c r="Z76" s="137">
        <f t="shared" si="69"/>
        <v>1600</v>
      </c>
      <c r="AA76" s="137"/>
      <c r="AB76" s="136"/>
      <c r="AC76" s="136"/>
      <c r="AD76" s="136"/>
      <c r="AE76" s="137"/>
      <c r="AF76" s="137"/>
      <c r="AG76" s="137"/>
      <c r="AH76" s="137">
        <f t="shared" ref="AH76:AI76" si="70">AH77+AH78</f>
        <v>4510</v>
      </c>
      <c r="AI76" s="137">
        <f t="shared" si="70"/>
        <v>4510</v>
      </c>
      <c r="AJ76" s="137"/>
      <c r="AK76" s="137"/>
      <c r="AL76" s="137"/>
      <c r="AM76" s="137"/>
      <c r="AN76" s="137"/>
      <c r="AO76" s="150"/>
      <c r="AP76" s="130"/>
      <c r="AQ76" s="130"/>
    </row>
    <row r="77" spans="1:43" ht="46.8">
      <c r="A77" s="152" t="s">
        <v>583</v>
      </c>
      <c r="B77" s="153" t="s">
        <v>584</v>
      </c>
      <c r="C77" s="154">
        <v>10</v>
      </c>
      <c r="D77" s="155" t="s">
        <v>585</v>
      </c>
      <c r="E77" s="156" t="s">
        <v>586</v>
      </c>
      <c r="F77" s="157" t="s">
        <v>435</v>
      </c>
      <c r="G77" s="158">
        <v>89</v>
      </c>
      <c r="H77" s="158"/>
      <c r="I77" s="158"/>
      <c r="J77" s="142"/>
      <c r="K77" s="142"/>
      <c r="L77" s="142"/>
      <c r="M77" s="143"/>
      <c r="N77" s="143"/>
      <c r="O77" s="143"/>
      <c r="P77" s="142"/>
      <c r="Q77" s="142"/>
      <c r="R77" s="142">
        <v>6</v>
      </c>
      <c r="S77" s="143"/>
      <c r="T77" s="143"/>
      <c r="U77" s="143">
        <v>2400</v>
      </c>
      <c r="V77" s="142"/>
      <c r="W77" s="142">
        <v>4</v>
      </c>
      <c r="X77" s="142"/>
      <c r="Y77" s="143"/>
      <c r="Z77" s="143">
        <v>1600</v>
      </c>
      <c r="AA77" s="143">
        <v>0</v>
      </c>
      <c r="AB77" s="142"/>
      <c r="AC77" s="142"/>
      <c r="AD77" s="142"/>
      <c r="AE77" s="143"/>
      <c r="AF77" s="143"/>
      <c r="AG77" s="143"/>
      <c r="AH77" s="143">
        <v>4000</v>
      </c>
      <c r="AI77" s="172">
        <v>4000</v>
      </c>
      <c r="AJ77" s="143"/>
      <c r="AK77" s="143"/>
      <c r="AL77" s="143"/>
      <c r="AM77" s="143"/>
      <c r="AN77" s="143"/>
      <c r="AO77" s="228" t="s">
        <v>441</v>
      </c>
      <c r="AP77" s="146" t="s">
        <v>587</v>
      </c>
      <c r="AQ77" s="146"/>
    </row>
    <row r="78" spans="1:43" ht="31.2">
      <c r="A78" s="152" t="s">
        <v>588</v>
      </c>
      <c r="B78" s="173" t="s">
        <v>589</v>
      </c>
      <c r="C78" s="154">
        <v>1</v>
      </c>
      <c r="D78" s="155" t="s">
        <v>321</v>
      </c>
      <c r="E78" s="156" t="s">
        <v>590</v>
      </c>
      <c r="F78" s="157" t="s">
        <v>52</v>
      </c>
      <c r="G78" s="158">
        <v>11</v>
      </c>
      <c r="H78" s="158"/>
      <c r="I78" s="158"/>
      <c r="J78" s="142"/>
      <c r="K78" s="142"/>
      <c r="L78" s="142"/>
      <c r="M78" s="143"/>
      <c r="N78" s="143"/>
      <c r="O78" s="143"/>
      <c r="P78" s="142"/>
      <c r="Q78" s="142"/>
      <c r="R78" s="142"/>
      <c r="S78" s="143"/>
      <c r="T78" s="143"/>
      <c r="U78" s="143"/>
      <c r="V78" s="142">
        <v>1</v>
      </c>
      <c r="W78" s="142"/>
      <c r="X78" s="142"/>
      <c r="Y78" s="143">
        <v>510</v>
      </c>
      <c r="Z78" s="143"/>
      <c r="AA78" s="143"/>
      <c r="AB78" s="142"/>
      <c r="AC78" s="142"/>
      <c r="AD78" s="142"/>
      <c r="AE78" s="143"/>
      <c r="AF78" s="143"/>
      <c r="AG78" s="143"/>
      <c r="AH78" s="143">
        <v>510</v>
      </c>
      <c r="AI78" s="144">
        <v>510</v>
      </c>
      <c r="AJ78" s="143"/>
      <c r="AK78" s="143"/>
      <c r="AL78" s="143"/>
      <c r="AM78" s="143"/>
      <c r="AN78" s="143"/>
      <c r="AO78" s="145" t="s">
        <v>441</v>
      </c>
      <c r="AP78" s="146" t="s">
        <v>591</v>
      </c>
      <c r="AQ78" s="146"/>
    </row>
    <row r="79" spans="1:43" ht="109.2">
      <c r="A79" s="129" t="s">
        <v>592</v>
      </c>
      <c r="B79" s="130" t="s">
        <v>593</v>
      </c>
      <c r="C79" s="131"/>
      <c r="D79" s="132"/>
      <c r="E79" s="174"/>
      <c r="F79" s="149"/>
      <c r="G79" s="134">
        <v>26</v>
      </c>
      <c r="H79" s="134"/>
      <c r="I79" s="135">
        <v>26</v>
      </c>
      <c r="J79" s="136"/>
      <c r="K79" s="136"/>
      <c r="L79" s="136"/>
      <c r="M79" s="137"/>
      <c r="N79" s="137"/>
      <c r="O79" s="137">
        <f>O80+O81</f>
        <v>375</v>
      </c>
      <c r="P79" s="136"/>
      <c r="Q79" s="136"/>
      <c r="R79" s="136"/>
      <c r="S79" s="137"/>
      <c r="T79" s="137">
        <f t="shared" ref="T79:U79" si="71">T80+T81</f>
        <v>375</v>
      </c>
      <c r="U79" s="137">
        <f t="shared" si="71"/>
        <v>375</v>
      </c>
      <c r="V79" s="136"/>
      <c r="W79" s="136"/>
      <c r="X79" s="136"/>
      <c r="Y79" s="137"/>
      <c r="Z79" s="137">
        <f>Z80+Z81</f>
        <v>375</v>
      </c>
      <c r="AA79" s="137"/>
      <c r="AB79" s="136"/>
      <c r="AC79" s="136"/>
      <c r="AD79" s="136"/>
      <c r="AE79" s="137">
        <f>AE80+AE81</f>
        <v>375</v>
      </c>
      <c r="AF79" s="137"/>
      <c r="AG79" s="137">
        <f>AG80+AG81</f>
        <v>375</v>
      </c>
      <c r="AH79" s="137">
        <f>AH80+AH81</f>
        <v>2250</v>
      </c>
      <c r="AI79" s="137">
        <f>AI80+AI81</f>
        <v>2250</v>
      </c>
      <c r="AJ79" s="137"/>
      <c r="AK79" s="137"/>
      <c r="AL79" s="137"/>
      <c r="AM79" s="137"/>
      <c r="AN79" s="137"/>
      <c r="AO79" s="150"/>
      <c r="AP79" s="130"/>
      <c r="AQ79" s="130"/>
    </row>
    <row r="80" spans="1:43" ht="78">
      <c r="A80" s="152" t="s">
        <v>594</v>
      </c>
      <c r="B80" s="173" t="s">
        <v>595</v>
      </c>
      <c r="C80" s="229">
        <v>60</v>
      </c>
      <c r="D80" s="155" t="s">
        <v>445</v>
      </c>
      <c r="E80" s="156" t="s">
        <v>596</v>
      </c>
      <c r="F80" s="157" t="s">
        <v>435</v>
      </c>
      <c r="G80" s="158">
        <v>67</v>
      </c>
      <c r="H80" s="158"/>
      <c r="I80" s="158"/>
      <c r="J80" s="142">
        <v>0</v>
      </c>
      <c r="K80" s="142">
        <v>0</v>
      </c>
      <c r="L80" s="142">
        <v>15</v>
      </c>
      <c r="M80" s="143"/>
      <c r="N80" s="143"/>
      <c r="O80" s="143">
        <v>375</v>
      </c>
      <c r="P80" s="142"/>
      <c r="Q80" s="142">
        <v>15</v>
      </c>
      <c r="R80" s="142"/>
      <c r="S80" s="143"/>
      <c r="T80" s="143">
        <v>375</v>
      </c>
      <c r="U80" s="143"/>
      <c r="V80" s="142"/>
      <c r="W80" s="142">
        <v>15</v>
      </c>
      <c r="X80" s="142"/>
      <c r="Y80" s="143"/>
      <c r="Z80" s="143">
        <v>375</v>
      </c>
      <c r="AA80" s="143"/>
      <c r="AB80" s="142"/>
      <c r="AC80" s="142"/>
      <c r="AD80" s="142">
        <v>15</v>
      </c>
      <c r="AE80" s="143"/>
      <c r="AF80" s="143"/>
      <c r="AG80" s="143">
        <v>375</v>
      </c>
      <c r="AH80" s="143">
        <v>1500</v>
      </c>
      <c r="AI80" s="144">
        <v>1500</v>
      </c>
      <c r="AJ80" s="143"/>
      <c r="AK80" s="143"/>
      <c r="AL80" s="143"/>
      <c r="AM80" s="143"/>
      <c r="AN80" s="143"/>
      <c r="AO80" s="145" t="s">
        <v>441</v>
      </c>
      <c r="AP80" s="146" t="s">
        <v>587</v>
      </c>
      <c r="AQ80" s="146"/>
    </row>
    <row r="81" spans="1:43" ht="62.4">
      <c r="A81" s="152" t="s">
        <v>597</v>
      </c>
      <c r="B81" s="173" t="s">
        <v>598</v>
      </c>
      <c r="C81" s="229">
        <v>30</v>
      </c>
      <c r="D81" s="155" t="s">
        <v>445</v>
      </c>
      <c r="E81" s="156" t="s">
        <v>599</v>
      </c>
      <c r="F81" s="157" t="s">
        <v>600</v>
      </c>
      <c r="G81" s="158">
        <v>33</v>
      </c>
      <c r="H81" s="158"/>
      <c r="I81" s="158"/>
      <c r="J81" s="142"/>
      <c r="K81" s="142"/>
      <c r="L81" s="142"/>
      <c r="M81" s="143"/>
      <c r="N81" s="143"/>
      <c r="O81" s="143"/>
      <c r="P81" s="142"/>
      <c r="Q81" s="142"/>
      <c r="R81" s="142">
        <v>15</v>
      </c>
      <c r="S81" s="143"/>
      <c r="T81" s="143"/>
      <c r="U81" s="143">
        <v>375</v>
      </c>
      <c r="V81" s="142"/>
      <c r="W81" s="142"/>
      <c r="X81" s="142"/>
      <c r="Y81" s="143"/>
      <c r="Z81" s="143"/>
      <c r="AA81" s="143"/>
      <c r="AB81" s="142">
        <v>15</v>
      </c>
      <c r="AC81" s="142"/>
      <c r="AD81" s="142"/>
      <c r="AE81" s="143">
        <v>375</v>
      </c>
      <c r="AF81" s="143"/>
      <c r="AG81" s="143"/>
      <c r="AH81" s="143">
        <v>750</v>
      </c>
      <c r="AI81" s="172">
        <v>750</v>
      </c>
      <c r="AJ81" s="143"/>
      <c r="AK81" s="143"/>
      <c r="AL81" s="143"/>
      <c r="AM81" s="143"/>
      <c r="AN81" s="143"/>
      <c r="AO81" s="145" t="s">
        <v>441</v>
      </c>
      <c r="AP81" s="146" t="s">
        <v>587</v>
      </c>
      <c r="AQ81" s="146"/>
    </row>
    <row r="82" spans="1:43" ht="31.2">
      <c r="A82" s="129" t="s">
        <v>601</v>
      </c>
      <c r="B82" s="130" t="s">
        <v>497</v>
      </c>
      <c r="C82" s="131"/>
      <c r="D82" s="132"/>
      <c r="E82" s="174"/>
      <c r="F82" s="149"/>
      <c r="G82" s="134">
        <v>23</v>
      </c>
      <c r="H82" s="134"/>
      <c r="I82" s="135">
        <v>23</v>
      </c>
      <c r="J82" s="136"/>
      <c r="K82" s="136"/>
      <c r="L82" s="136"/>
      <c r="M82" s="137"/>
      <c r="N82" s="137"/>
      <c r="O82" s="137"/>
      <c r="P82" s="136"/>
      <c r="Q82" s="136"/>
      <c r="R82" s="136"/>
      <c r="S82" s="137"/>
      <c r="T82" s="137"/>
      <c r="U82" s="137">
        <f>U83</f>
        <v>2000</v>
      </c>
      <c r="V82" s="136"/>
      <c r="W82" s="136"/>
      <c r="X82" s="136"/>
      <c r="Y82" s="137"/>
      <c r="Z82" s="137"/>
      <c r="AA82" s="137"/>
      <c r="AB82" s="136"/>
      <c r="AC82" s="136"/>
      <c r="AD82" s="136"/>
      <c r="AE82" s="137"/>
      <c r="AF82" s="137"/>
      <c r="AG82" s="137"/>
      <c r="AH82" s="137">
        <f>AH83</f>
        <v>2000</v>
      </c>
      <c r="AI82" s="137">
        <f>AI83</f>
        <v>2000</v>
      </c>
      <c r="AJ82" s="137"/>
      <c r="AK82" s="137"/>
      <c r="AL82" s="137"/>
      <c r="AM82" s="137"/>
      <c r="AN82" s="137"/>
      <c r="AO82" s="150"/>
      <c r="AP82" s="130"/>
      <c r="AQ82" s="130"/>
    </row>
    <row r="83" spans="1:43" ht="62.4">
      <c r="A83" s="152" t="s">
        <v>602</v>
      </c>
      <c r="B83" s="173" t="s">
        <v>603</v>
      </c>
      <c r="C83" s="154">
        <v>2</v>
      </c>
      <c r="D83" s="155" t="s">
        <v>604</v>
      </c>
      <c r="E83" s="156" t="s">
        <v>605</v>
      </c>
      <c r="F83" s="157" t="s">
        <v>435</v>
      </c>
      <c r="G83" s="158">
        <v>100</v>
      </c>
      <c r="H83" s="158"/>
      <c r="I83" s="158"/>
      <c r="J83" s="142"/>
      <c r="K83" s="142"/>
      <c r="L83" s="142"/>
      <c r="M83" s="143"/>
      <c r="N83" s="143"/>
      <c r="O83" s="143"/>
      <c r="P83" s="142"/>
      <c r="Q83" s="142"/>
      <c r="R83" s="142">
        <v>2</v>
      </c>
      <c r="S83" s="143"/>
      <c r="T83" s="143"/>
      <c r="U83" s="143">
        <v>2000</v>
      </c>
      <c r="V83" s="142"/>
      <c r="W83" s="142"/>
      <c r="X83" s="142"/>
      <c r="Y83" s="143"/>
      <c r="Z83" s="143"/>
      <c r="AA83" s="143"/>
      <c r="AB83" s="142"/>
      <c r="AC83" s="142"/>
      <c r="AD83" s="142"/>
      <c r="AE83" s="143"/>
      <c r="AF83" s="143"/>
      <c r="AG83" s="143"/>
      <c r="AH83" s="143">
        <v>2000</v>
      </c>
      <c r="AI83" s="172">
        <v>2000</v>
      </c>
      <c r="AJ83" s="143"/>
      <c r="AK83" s="143"/>
      <c r="AL83" s="143"/>
      <c r="AM83" s="143"/>
      <c r="AN83" s="143"/>
      <c r="AO83" s="145" t="s">
        <v>606</v>
      </c>
      <c r="AP83" s="146" t="s">
        <v>607</v>
      </c>
      <c r="AQ83" s="146"/>
    </row>
    <row r="84" spans="1:43" ht="46.8">
      <c r="A84" s="182" t="s">
        <v>608</v>
      </c>
      <c r="B84" s="183" t="s">
        <v>609</v>
      </c>
      <c r="C84" s="184"/>
      <c r="D84" s="184"/>
      <c r="E84" s="184"/>
      <c r="F84" s="184"/>
      <c r="G84" s="185">
        <v>0</v>
      </c>
      <c r="H84" s="185">
        <v>0</v>
      </c>
      <c r="I84" s="186"/>
      <c r="J84" s="187"/>
      <c r="K84" s="187"/>
      <c r="L84" s="187"/>
      <c r="M84" s="188"/>
      <c r="N84" s="188"/>
      <c r="O84" s="188"/>
      <c r="P84" s="187"/>
      <c r="Q84" s="187"/>
      <c r="R84" s="187"/>
      <c r="S84" s="188"/>
      <c r="T84" s="188"/>
      <c r="U84" s="188"/>
      <c r="V84" s="187"/>
      <c r="W84" s="187"/>
      <c r="X84" s="187"/>
      <c r="Y84" s="188">
        <f>Y85</f>
        <v>3500</v>
      </c>
      <c r="Z84" s="188"/>
      <c r="AA84" s="188"/>
      <c r="AB84" s="187"/>
      <c r="AC84" s="187"/>
      <c r="AD84" s="187"/>
      <c r="AE84" s="188"/>
      <c r="AF84" s="188"/>
      <c r="AG84" s="188"/>
      <c r="AH84" s="188">
        <f t="shared" ref="AH84:AI84" si="72">AH85</f>
        <v>3500</v>
      </c>
      <c r="AI84" s="188">
        <f t="shared" si="72"/>
        <v>3500</v>
      </c>
      <c r="AJ84" s="188"/>
      <c r="AK84" s="188"/>
      <c r="AL84" s="188"/>
      <c r="AM84" s="188"/>
      <c r="AN84" s="188"/>
      <c r="AO84" s="189"/>
      <c r="AP84" s="190"/>
      <c r="AQ84" s="190"/>
    </row>
    <row r="85" spans="1:43" ht="62.4">
      <c r="A85" s="191" t="s">
        <v>610</v>
      </c>
      <c r="B85" s="192" t="s">
        <v>611</v>
      </c>
      <c r="C85" s="230"/>
      <c r="D85" s="194"/>
      <c r="E85" s="195"/>
      <c r="F85" s="195"/>
      <c r="G85" s="134">
        <v>100</v>
      </c>
      <c r="H85" s="134"/>
      <c r="I85" s="134">
        <v>100</v>
      </c>
      <c r="J85" s="136"/>
      <c r="K85" s="136"/>
      <c r="L85" s="136"/>
      <c r="M85" s="137"/>
      <c r="N85" s="137"/>
      <c r="O85" s="137"/>
      <c r="P85" s="136"/>
      <c r="Q85" s="136"/>
      <c r="R85" s="136"/>
      <c r="S85" s="137"/>
      <c r="T85" s="137"/>
      <c r="U85" s="137"/>
      <c r="V85" s="136"/>
      <c r="W85" s="136"/>
      <c r="X85" s="136"/>
      <c r="Y85" s="137">
        <v>3500</v>
      </c>
      <c r="Z85" s="137"/>
      <c r="AA85" s="137"/>
      <c r="AB85" s="136"/>
      <c r="AC85" s="136"/>
      <c r="AD85" s="136"/>
      <c r="AE85" s="137"/>
      <c r="AF85" s="137"/>
      <c r="AG85" s="137"/>
      <c r="AH85" s="137">
        <f>SUM(AH86)</f>
        <v>3500</v>
      </c>
      <c r="AI85" s="137">
        <f>SUM(AI86)</f>
        <v>3500</v>
      </c>
      <c r="AJ85" s="137"/>
      <c r="AK85" s="137"/>
      <c r="AL85" s="137"/>
      <c r="AM85" s="137"/>
      <c r="AN85" s="137"/>
      <c r="AO85" s="150"/>
      <c r="AP85" s="130"/>
      <c r="AQ85" s="130"/>
    </row>
    <row r="86" spans="1:43" ht="62.4">
      <c r="A86" s="196" t="s">
        <v>612</v>
      </c>
      <c r="B86" s="197" t="s">
        <v>613</v>
      </c>
      <c r="C86" s="231">
        <v>1</v>
      </c>
      <c r="D86" s="199" t="s">
        <v>462</v>
      </c>
      <c r="E86" s="200" t="s">
        <v>614</v>
      </c>
      <c r="F86" s="200" t="s">
        <v>615</v>
      </c>
      <c r="G86" s="158">
        <v>100</v>
      </c>
      <c r="H86" s="158"/>
      <c r="I86" s="158"/>
      <c r="J86" s="142"/>
      <c r="K86" s="142"/>
      <c r="L86" s="142"/>
      <c r="M86" s="143"/>
      <c r="N86" s="143"/>
      <c r="O86" s="143"/>
      <c r="P86" s="142"/>
      <c r="Q86" s="142"/>
      <c r="R86" s="142"/>
      <c r="S86" s="143"/>
      <c r="T86" s="143"/>
      <c r="U86" s="143"/>
      <c r="V86" s="142"/>
      <c r="W86" s="142"/>
      <c r="X86" s="142">
        <v>1</v>
      </c>
      <c r="Y86" s="143">
        <v>3500</v>
      </c>
      <c r="Z86" s="143"/>
      <c r="AA86" s="143"/>
      <c r="AB86" s="142"/>
      <c r="AC86" s="142"/>
      <c r="AD86" s="142"/>
      <c r="AE86" s="143"/>
      <c r="AF86" s="143"/>
      <c r="AG86" s="143"/>
      <c r="AH86" s="143">
        <v>3500</v>
      </c>
      <c r="AI86" s="172">
        <v>3500</v>
      </c>
      <c r="AJ86" s="143"/>
      <c r="AK86" s="143"/>
      <c r="AL86" s="143"/>
      <c r="AM86" s="143"/>
      <c r="AN86" s="143"/>
      <c r="AO86" s="145" t="s">
        <v>465</v>
      </c>
      <c r="AP86" s="146" t="s">
        <v>510</v>
      </c>
      <c r="AQ86" s="203"/>
    </row>
    <row r="87" spans="1:43" ht="31.2">
      <c r="A87" s="232" t="s">
        <v>616</v>
      </c>
      <c r="B87" s="233" t="s">
        <v>617</v>
      </c>
      <c r="C87" s="234"/>
      <c r="D87" s="235"/>
      <c r="E87" s="236"/>
      <c r="F87" s="236"/>
      <c r="G87" s="234"/>
      <c r="H87" s="234"/>
      <c r="I87" s="113"/>
      <c r="J87" s="115"/>
      <c r="K87" s="115"/>
      <c r="L87" s="115"/>
      <c r="M87" s="116"/>
      <c r="N87" s="116"/>
      <c r="O87" s="116"/>
      <c r="P87" s="115"/>
      <c r="Q87" s="115"/>
      <c r="R87" s="115"/>
      <c r="S87" s="116"/>
      <c r="T87" s="116"/>
      <c r="U87" s="116"/>
      <c r="V87" s="115"/>
      <c r="W87" s="115"/>
      <c r="X87" s="115"/>
      <c r="Y87" s="116"/>
      <c r="Z87" s="116"/>
      <c r="AA87" s="116">
        <v>3500</v>
      </c>
      <c r="AB87" s="115"/>
      <c r="AC87" s="115"/>
      <c r="AD87" s="115"/>
      <c r="AE87" s="116"/>
      <c r="AF87" s="116">
        <v>7000</v>
      </c>
      <c r="AG87" s="116"/>
      <c r="AH87" s="116">
        <f>SUM(AH88)</f>
        <v>10500</v>
      </c>
      <c r="AI87" s="116">
        <f>SUM(AI88)</f>
        <v>10500</v>
      </c>
      <c r="AJ87" s="116"/>
      <c r="AK87" s="116"/>
      <c r="AL87" s="116"/>
      <c r="AM87" s="116"/>
      <c r="AN87" s="116"/>
      <c r="AO87" s="227"/>
      <c r="AP87" s="109"/>
      <c r="AQ87" s="237"/>
    </row>
    <row r="88" spans="1:43" ht="46.8">
      <c r="A88" s="182" t="s">
        <v>618</v>
      </c>
      <c r="B88" s="183" t="s">
        <v>619</v>
      </c>
      <c r="C88" s="184"/>
      <c r="D88" s="184"/>
      <c r="E88" s="184"/>
      <c r="F88" s="184"/>
      <c r="G88" s="238">
        <v>1</v>
      </c>
      <c r="H88" s="238">
        <v>1</v>
      </c>
      <c r="I88" s="186"/>
      <c r="J88" s="187"/>
      <c r="K88" s="187"/>
      <c r="L88" s="187"/>
      <c r="M88" s="126"/>
      <c r="N88" s="126"/>
      <c r="O88" s="188"/>
      <c r="P88" s="187"/>
      <c r="Q88" s="187"/>
      <c r="R88" s="187"/>
      <c r="S88" s="188"/>
      <c r="T88" s="188"/>
      <c r="U88" s="188"/>
      <c r="V88" s="187"/>
      <c r="W88" s="187"/>
      <c r="X88" s="187"/>
      <c r="Y88" s="188"/>
      <c r="Z88" s="188"/>
      <c r="AA88" s="188">
        <f t="shared" ref="AA88" si="73">AA89</f>
        <v>3500</v>
      </c>
      <c r="AB88" s="187"/>
      <c r="AC88" s="187"/>
      <c r="AD88" s="187"/>
      <c r="AE88" s="188"/>
      <c r="AF88" s="188">
        <f t="shared" ref="AF88" si="74">AF89</f>
        <v>7000</v>
      </c>
      <c r="AG88" s="188"/>
      <c r="AH88" s="188">
        <f>AH89</f>
        <v>10500</v>
      </c>
      <c r="AI88" s="188">
        <f>AI89</f>
        <v>10500</v>
      </c>
      <c r="AJ88" s="188"/>
      <c r="AK88" s="188"/>
      <c r="AL88" s="188"/>
      <c r="AM88" s="188"/>
      <c r="AN88" s="188"/>
      <c r="AO88" s="189"/>
      <c r="AP88" s="190"/>
      <c r="AQ88" s="190"/>
    </row>
    <row r="89" spans="1:43" ht="62.4">
      <c r="A89" s="191" t="s">
        <v>620</v>
      </c>
      <c r="B89" s="192" t="s">
        <v>621</v>
      </c>
      <c r="C89" s="193"/>
      <c r="D89" s="194"/>
      <c r="E89" s="195"/>
      <c r="F89" s="195"/>
      <c r="G89" s="193">
        <v>100</v>
      </c>
      <c r="H89" s="193"/>
      <c r="I89" s="134">
        <v>100</v>
      </c>
      <c r="J89" s="136"/>
      <c r="K89" s="136"/>
      <c r="L89" s="136"/>
      <c r="M89" s="137"/>
      <c r="N89" s="137"/>
      <c r="O89" s="137"/>
      <c r="P89" s="136"/>
      <c r="Q89" s="136"/>
      <c r="R89" s="136"/>
      <c r="S89" s="137"/>
      <c r="T89" s="137"/>
      <c r="U89" s="137"/>
      <c r="V89" s="136"/>
      <c r="W89" s="136"/>
      <c r="X89" s="136"/>
      <c r="Y89" s="137"/>
      <c r="Z89" s="137"/>
      <c r="AA89" s="137">
        <f>AA90+AA91+AA92</f>
        <v>3500</v>
      </c>
      <c r="AB89" s="136"/>
      <c r="AC89" s="136"/>
      <c r="AD89" s="136"/>
      <c r="AE89" s="137"/>
      <c r="AF89" s="137">
        <f t="shared" ref="AF89" si="75">AF90+AF91+AF92</f>
        <v>7000</v>
      </c>
      <c r="AG89" s="137"/>
      <c r="AH89" s="137">
        <f>AH90+AH91+AH92</f>
        <v>10500</v>
      </c>
      <c r="AI89" s="137">
        <f>AI90+AI91+AI92</f>
        <v>10500</v>
      </c>
      <c r="AJ89" s="137"/>
      <c r="AK89" s="137"/>
      <c r="AL89" s="137"/>
      <c r="AM89" s="137"/>
      <c r="AN89" s="137"/>
      <c r="AO89" s="150"/>
      <c r="AP89" s="130"/>
      <c r="AQ89" s="130"/>
    </row>
    <row r="90" spans="1:43" ht="46.8">
      <c r="A90" s="239" t="s">
        <v>622</v>
      </c>
      <c r="B90" s="240" t="s">
        <v>623</v>
      </c>
      <c r="C90" s="202">
        <v>1</v>
      </c>
      <c r="D90" s="241" t="s">
        <v>462</v>
      </c>
      <c r="E90" s="201" t="s">
        <v>624</v>
      </c>
      <c r="F90" s="201" t="s">
        <v>625</v>
      </c>
      <c r="G90" s="242">
        <v>33</v>
      </c>
      <c r="H90" s="202"/>
      <c r="I90" s="242"/>
      <c r="J90" s="243"/>
      <c r="K90" s="243"/>
      <c r="L90" s="243"/>
      <c r="M90" s="244"/>
      <c r="N90" s="244"/>
      <c r="O90" s="244"/>
      <c r="P90" s="243"/>
      <c r="Q90" s="243"/>
      <c r="R90" s="243"/>
      <c r="S90" s="244"/>
      <c r="T90" s="244"/>
      <c r="U90" s="244"/>
      <c r="V90" s="243"/>
      <c r="W90" s="243"/>
      <c r="X90" s="243">
        <v>1</v>
      </c>
      <c r="Y90" s="244"/>
      <c r="Z90" s="244"/>
      <c r="AA90" s="244">
        <v>3500</v>
      </c>
      <c r="AB90" s="243"/>
      <c r="AC90" s="243"/>
      <c r="AD90" s="243"/>
      <c r="AE90" s="244"/>
      <c r="AF90" s="244"/>
      <c r="AG90" s="244"/>
      <c r="AH90" s="244">
        <v>3500</v>
      </c>
      <c r="AI90" s="245">
        <v>3500</v>
      </c>
      <c r="AJ90" s="244"/>
      <c r="AK90" s="244"/>
      <c r="AL90" s="244"/>
      <c r="AM90" s="244"/>
      <c r="AN90" s="244"/>
      <c r="AO90" s="246" t="s">
        <v>465</v>
      </c>
      <c r="AP90" s="173" t="s">
        <v>626</v>
      </c>
      <c r="AQ90" s="247"/>
    </row>
    <row r="91" spans="1:43" ht="46.8">
      <c r="A91" s="196" t="s">
        <v>627</v>
      </c>
      <c r="B91" s="240" t="s">
        <v>628</v>
      </c>
      <c r="C91" s="198">
        <v>1</v>
      </c>
      <c r="D91" s="199" t="s">
        <v>462</v>
      </c>
      <c r="E91" s="200" t="s">
        <v>629</v>
      </c>
      <c r="F91" s="200" t="s">
        <v>630</v>
      </c>
      <c r="G91" s="158">
        <v>33</v>
      </c>
      <c r="H91" s="198"/>
      <c r="I91" s="158"/>
      <c r="J91" s="142"/>
      <c r="K91" s="142"/>
      <c r="L91" s="142"/>
      <c r="M91" s="143"/>
      <c r="N91" s="143"/>
      <c r="O91" s="143"/>
      <c r="P91" s="142"/>
      <c r="Q91" s="142"/>
      <c r="R91" s="142"/>
      <c r="S91" s="143"/>
      <c r="T91" s="143"/>
      <c r="U91" s="143"/>
      <c r="V91" s="142"/>
      <c r="W91" s="142"/>
      <c r="X91" s="142"/>
      <c r="Y91" s="143"/>
      <c r="Z91" s="143"/>
      <c r="AA91" s="143"/>
      <c r="AB91" s="142"/>
      <c r="AC91" s="142">
        <v>1</v>
      </c>
      <c r="AD91" s="142"/>
      <c r="AE91" s="143"/>
      <c r="AF91" s="143">
        <v>3500</v>
      </c>
      <c r="AG91" s="143"/>
      <c r="AH91" s="143">
        <v>3500</v>
      </c>
      <c r="AI91" s="172">
        <v>3500</v>
      </c>
      <c r="AJ91" s="143"/>
      <c r="AK91" s="143"/>
      <c r="AL91" s="143"/>
      <c r="AM91" s="143"/>
      <c r="AN91" s="143"/>
      <c r="AO91" s="145" t="s">
        <v>465</v>
      </c>
      <c r="AP91" s="146" t="s">
        <v>626</v>
      </c>
      <c r="AQ91" s="203"/>
    </row>
    <row r="92" spans="1:43" ht="62.4">
      <c r="A92" s="196" t="s">
        <v>631</v>
      </c>
      <c r="B92" s="240" t="s">
        <v>632</v>
      </c>
      <c r="C92" s="202">
        <v>1</v>
      </c>
      <c r="D92" s="241" t="s">
        <v>462</v>
      </c>
      <c r="E92" s="201" t="s">
        <v>633</v>
      </c>
      <c r="F92" s="201" t="s">
        <v>625</v>
      </c>
      <c r="G92" s="158">
        <v>34</v>
      </c>
      <c r="H92" s="202"/>
      <c r="I92" s="158"/>
      <c r="J92" s="142"/>
      <c r="K92" s="142"/>
      <c r="L92" s="142"/>
      <c r="M92" s="143"/>
      <c r="N92" s="143"/>
      <c r="O92" s="143"/>
      <c r="P92" s="142"/>
      <c r="Q92" s="142"/>
      <c r="R92" s="142"/>
      <c r="S92" s="143"/>
      <c r="T92" s="143"/>
      <c r="U92" s="143"/>
      <c r="V92" s="142"/>
      <c r="W92" s="142"/>
      <c r="X92" s="142"/>
      <c r="Y92" s="143"/>
      <c r="Z92" s="143"/>
      <c r="AA92" s="143"/>
      <c r="AB92" s="142"/>
      <c r="AC92" s="142">
        <v>1</v>
      </c>
      <c r="AD92" s="142"/>
      <c r="AE92" s="143"/>
      <c r="AF92" s="143">
        <v>3500</v>
      </c>
      <c r="AG92" s="143"/>
      <c r="AH92" s="143">
        <v>3500</v>
      </c>
      <c r="AI92" s="172">
        <v>3500</v>
      </c>
      <c r="AJ92" s="143"/>
      <c r="AK92" s="143"/>
      <c r="AL92" s="143"/>
      <c r="AM92" s="143"/>
      <c r="AN92" s="143"/>
      <c r="AO92" s="145" t="s">
        <v>465</v>
      </c>
      <c r="AP92" s="146" t="s">
        <v>626</v>
      </c>
      <c r="AQ92" s="203"/>
    </row>
    <row r="93" spans="1:43" ht="31.2">
      <c r="A93" s="96" t="s">
        <v>634</v>
      </c>
      <c r="B93" s="97" t="s">
        <v>635</v>
      </c>
      <c r="C93" s="98"/>
      <c r="D93" s="99"/>
      <c r="E93" s="248"/>
      <c r="F93" s="249"/>
      <c r="G93" s="101"/>
      <c r="H93" s="101"/>
      <c r="I93" s="101"/>
      <c r="J93" s="105"/>
      <c r="K93" s="105"/>
      <c r="L93" s="105"/>
      <c r="M93" s="104">
        <f>M94+M99</f>
        <v>150000</v>
      </c>
      <c r="N93" s="104">
        <f t="shared" ref="N93:O93" si="76">N94+N99</f>
        <v>382598</v>
      </c>
      <c r="O93" s="104">
        <f t="shared" si="76"/>
        <v>365471</v>
      </c>
      <c r="P93" s="105"/>
      <c r="Q93" s="105"/>
      <c r="R93" s="105"/>
      <c r="S93" s="104">
        <f t="shared" ref="S93:U93" si="77">S94+S99</f>
        <v>979551</v>
      </c>
      <c r="T93" s="104">
        <f t="shared" si="77"/>
        <v>674701</v>
      </c>
      <c r="U93" s="104">
        <f t="shared" si="77"/>
        <v>852046</v>
      </c>
      <c r="V93" s="105"/>
      <c r="W93" s="105"/>
      <c r="X93" s="105"/>
      <c r="Y93" s="104">
        <f t="shared" ref="Y93:AA93" si="78">Y94+Y99</f>
        <v>565413</v>
      </c>
      <c r="Z93" s="104">
        <f t="shared" si="78"/>
        <v>580413</v>
      </c>
      <c r="AA93" s="104">
        <f t="shared" si="78"/>
        <v>282204</v>
      </c>
      <c r="AB93" s="105"/>
      <c r="AC93" s="105"/>
      <c r="AD93" s="105"/>
      <c r="AE93" s="104">
        <f t="shared" ref="AE93:AG93" si="79">AE94+AE99</f>
        <v>276804</v>
      </c>
      <c r="AF93" s="104">
        <f t="shared" si="79"/>
        <v>276204</v>
      </c>
      <c r="AG93" s="104">
        <f t="shared" si="79"/>
        <v>276210</v>
      </c>
      <c r="AH93" s="250">
        <f>AH94+AH99</f>
        <v>5661615</v>
      </c>
      <c r="AI93" s="250">
        <v>3882145</v>
      </c>
      <c r="AJ93" s="104"/>
      <c r="AK93" s="104">
        <v>1416045</v>
      </c>
      <c r="AL93" s="104">
        <v>363425</v>
      </c>
      <c r="AM93" s="250"/>
      <c r="AN93" s="104"/>
      <c r="AO93" s="251"/>
      <c r="AP93" s="97"/>
      <c r="AQ93" s="97"/>
    </row>
    <row r="94" spans="1:43" ht="31.2">
      <c r="A94" s="108" t="s">
        <v>636</v>
      </c>
      <c r="B94" s="109" t="s">
        <v>637</v>
      </c>
      <c r="C94" s="110"/>
      <c r="D94" s="111"/>
      <c r="E94" s="252"/>
      <c r="F94" s="253"/>
      <c r="G94" s="113"/>
      <c r="H94" s="113"/>
      <c r="I94" s="113"/>
      <c r="J94" s="115"/>
      <c r="K94" s="115"/>
      <c r="L94" s="115"/>
      <c r="M94" s="116"/>
      <c r="N94" s="116"/>
      <c r="O94" s="116"/>
      <c r="P94" s="115"/>
      <c r="Q94" s="115"/>
      <c r="R94" s="115"/>
      <c r="S94" s="116"/>
      <c r="T94" s="116">
        <f>T95</f>
        <v>5400</v>
      </c>
      <c r="U94" s="116">
        <f>U95</f>
        <v>12825</v>
      </c>
      <c r="V94" s="115"/>
      <c r="W94" s="115"/>
      <c r="X94" s="115"/>
      <c r="Y94" s="116">
        <f>Y95</f>
        <v>5400</v>
      </c>
      <c r="Z94" s="116">
        <f>Z95</f>
        <v>5400</v>
      </c>
      <c r="AA94" s="116">
        <f>AA95</f>
        <v>5400</v>
      </c>
      <c r="AB94" s="115"/>
      <c r="AC94" s="115"/>
      <c r="AD94" s="115"/>
      <c r="AE94" s="116"/>
      <c r="AF94" s="116"/>
      <c r="AG94" s="116"/>
      <c r="AH94" s="116">
        <f>AH95</f>
        <v>34425</v>
      </c>
      <c r="AI94" s="116">
        <f>AI95</f>
        <v>34425</v>
      </c>
      <c r="AJ94" s="116"/>
      <c r="AK94" s="116"/>
      <c r="AL94" s="116"/>
      <c r="AM94" s="254"/>
      <c r="AN94" s="116"/>
      <c r="AO94" s="227"/>
      <c r="AP94" s="109"/>
      <c r="AQ94" s="109"/>
    </row>
    <row r="95" spans="1:43" ht="31.2">
      <c r="A95" s="119" t="s">
        <v>638</v>
      </c>
      <c r="B95" s="120" t="s">
        <v>639</v>
      </c>
      <c r="C95" s="121"/>
      <c r="D95" s="122"/>
      <c r="E95" s="170"/>
      <c r="F95" s="171"/>
      <c r="G95" s="124">
        <v>15.31</v>
      </c>
      <c r="H95" s="124">
        <v>15.31</v>
      </c>
      <c r="I95" s="124"/>
      <c r="J95" s="125"/>
      <c r="K95" s="125"/>
      <c r="L95" s="125"/>
      <c r="M95" s="126"/>
      <c r="N95" s="126"/>
      <c r="O95" s="126"/>
      <c r="P95" s="125"/>
      <c r="Q95" s="125"/>
      <c r="R95" s="125"/>
      <c r="S95" s="126"/>
      <c r="T95" s="126">
        <v>5400</v>
      </c>
      <c r="U95" s="126">
        <v>12825</v>
      </c>
      <c r="V95" s="125"/>
      <c r="W95" s="125"/>
      <c r="X95" s="125"/>
      <c r="Y95" s="126">
        <v>5400</v>
      </c>
      <c r="Z95" s="126">
        <v>5400</v>
      </c>
      <c r="AA95" s="126">
        <v>5400</v>
      </c>
      <c r="AB95" s="125"/>
      <c r="AC95" s="125"/>
      <c r="AD95" s="125"/>
      <c r="AE95" s="126"/>
      <c r="AF95" s="126"/>
      <c r="AG95" s="126"/>
      <c r="AH95" s="126">
        <f>AH96</f>
        <v>34425</v>
      </c>
      <c r="AI95" s="126">
        <v>34425</v>
      </c>
      <c r="AJ95" s="126"/>
      <c r="AK95" s="126"/>
      <c r="AL95" s="126"/>
      <c r="AM95" s="255"/>
      <c r="AN95" s="126"/>
      <c r="AO95" s="127"/>
      <c r="AP95" s="120"/>
      <c r="AQ95" s="120"/>
    </row>
    <row r="96" spans="1:43" ht="31.2">
      <c r="A96" s="129" t="s">
        <v>640</v>
      </c>
      <c r="B96" s="130" t="s">
        <v>641</v>
      </c>
      <c r="C96" s="131"/>
      <c r="D96" s="132"/>
      <c r="E96" s="174"/>
      <c r="F96" s="149"/>
      <c r="G96" s="134">
        <v>2</v>
      </c>
      <c r="H96" s="134"/>
      <c r="I96" s="135">
        <v>2</v>
      </c>
      <c r="J96" s="136"/>
      <c r="K96" s="136"/>
      <c r="L96" s="136"/>
      <c r="M96" s="137"/>
      <c r="N96" s="137"/>
      <c r="O96" s="137"/>
      <c r="P96" s="136"/>
      <c r="Q96" s="136"/>
      <c r="R96" s="136"/>
      <c r="S96" s="137"/>
      <c r="T96" s="137">
        <v>5400</v>
      </c>
      <c r="U96" s="137">
        <v>12825</v>
      </c>
      <c r="V96" s="136"/>
      <c r="W96" s="136"/>
      <c r="X96" s="136"/>
      <c r="Y96" s="137">
        <v>5400</v>
      </c>
      <c r="Z96" s="137">
        <v>5400</v>
      </c>
      <c r="AA96" s="137">
        <v>5400</v>
      </c>
      <c r="AB96" s="136"/>
      <c r="AC96" s="136"/>
      <c r="AD96" s="136"/>
      <c r="AE96" s="137"/>
      <c r="AF96" s="137"/>
      <c r="AG96" s="137"/>
      <c r="AH96" s="137">
        <f>SUM(AH97:AH98)</f>
        <v>34425</v>
      </c>
      <c r="AI96" s="137">
        <f>SUM(AI97:AI98)</f>
        <v>34425</v>
      </c>
      <c r="AJ96" s="137"/>
      <c r="AK96" s="137"/>
      <c r="AL96" s="137"/>
      <c r="AM96" s="137"/>
      <c r="AN96" s="137"/>
      <c r="AO96" s="150"/>
      <c r="AP96" s="130"/>
      <c r="AQ96" s="130"/>
    </row>
    <row r="97" spans="1:43" ht="31.2">
      <c r="A97" s="1999" t="s">
        <v>642</v>
      </c>
      <c r="B97" s="1982" t="s">
        <v>643</v>
      </c>
      <c r="C97" s="154">
        <v>1000</v>
      </c>
      <c r="D97" s="155" t="s">
        <v>419</v>
      </c>
      <c r="E97" s="2003" t="s">
        <v>446</v>
      </c>
      <c r="F97" s="2010" t="s">
        <v>447</v>
      </c>
      <c r="G97" s="2009">
        <v>100</v>
      </c>
      <c r="H97" s="2009"/>
      <c r="I97" s="1986"/>
      <c r="J97" s="142"/>
      <c r="K97" s="142"/>
      <c r="L97" s="142"/>
      <c r="M97" s="143"/>
      <c r="N97" s="143"/>
      <c r="O97" s="143"/>
      <c r="P97" s="142"/>
      <c r="Q97" s="142">
        <v>150</v>
      </c>
      <c r="R97" s="142">
        <v>400</v>
      </c>
      <c r="S97" s="143"/>
      <c r="T97" s="143">
        <v>4050</v>
      </c>
      <c r="U97" s="143">
        <v>10800</v>
      </c>
      <c r="V97" s="142">
        <v>150</v>
      </c>
      <c r="W97" s="142">
        <v>150</v>
      </c>
      <c r="X97" s="142">
        <v>150</v>
      </c>
      <c r="Y97" s="143">
        <v>4050</v>
      </c>
      <c r="Z97" s="143">
        <v>4050</v>
      </c>
      <c r="AA97" s="143">
        <v>4050</v>
      </c>
      <c r="AB97" s="142"/>
      <c r="AC97" s="142"/>
      <c r="AD97" s="142"/>
      <c r="AE97" s="143"/>
      <c r="AF97" s="143"/>
      <c r="AG97" s="143"/>
      <c r="AH97" s="143">
        <v>27000</v>
      </c>
      <c r="AI97" s="172">
        <v>27000</v>
      </c>
      <c r="AJ97" s="143"/>
      <c r="AK97" s="143"/>
      <c r="AL97" s="143"/>
      <c r="AM97" s="143"/>
      <c r="AN97" s="143"/>
      <c r="AO97" s="145" t="s">
        <v>422</v>
      </c>
      <c r="AP97" s="146" t="s">
        <v>423</v>
      </c>
      <c r="AQ97" s="146"/>
    </row>
    <row r="98" spans="1:43" ht="31.2">
      <c r="A98" s="2000"/>
      <c r="B98" s="1983"/>
      <c r="C98" s="154">
        <v>250</v>
      </c>
      <c r="D98" s="155" t="s">
        <v>424</v>
      </c>
      <c r="E98" s="2004"/>
      <c r="F98" s="2011"/>
      <c r="G98" s="2009"/>
      <c r="H98" s="2009"/>
      <c r="I98" s="1987"/>
      <c r="J98" s="142"/>
      <c r="K98" s="142"/>
      <c r="L98" s="142"/>
      <c r="M98" s="143"/>
      <c r="N98" s="143"/>
      <c r="O98" s="143"/>
      <c r="P98" s="142"/>
      <c r="Q98" s="142">
        <v>50</v>
      </c>
      <c r="R98" s="142">
        <v>75</v>
      </c>
      <c r="S98" s="143"/>
      <c r="T98" s="143">
        <v>1350</v>
      </c>
      <c r="U98" s="143">
        <v>2025</v>
      </c>
      <c r="V98" s="142">
        <v>50</v>
      </c>
      <c r="W98" s="142">
        <v>50</v>
      </c>
      <c r="X98" s="142">
        <v>25</v>
      </c>
      <c r="Y98" s="143">
        <v>1350</v>
      </c>
      <c r="Z98" s="143">
        <v>1350</v>
      </c>
      <c r="AA98" s="143">
        <v>1350</v>
      </c>
      <c r="AB98" s="142"/>
      <c r="AC98" s="142"/>
      <c r="AD98" s="142"/>
      <c r="AE98" s="143"/>
      <c r="AF98" s="143"/>
      <c r="AG98" s="143"/>
      <c r="AH98" s="143">
        <v>7425</v>
      </c>
      <c r="AI98" s="172">
        <v>7425</v>
      </c>
      <c r="AJ98" s="143"/>
      <c r="AK98" s="143"/>
      <c r="AL98" s="143"/>
      <c r="AM98" s="143"/>
      <c r="AN98" s="143"/>
      <c r="AO98" s="145" t="s">
        <v>422</v>
      </c>
      <c r="AP98" s="146" t="s">
        <v>423</v>
      </c>
      <c r="AQ98" s="146"/>
    </row>
    <row r="99" spans="1:43" ht="31.2">
      <c r="A99" s="108" t="s">
        <v>644</v>
      </c>
      <c r="B99" s="109" t="s">
        <v>645</v>
      </c>
      <c r="C99" s="110"/>
      <c r="D99" s="111"/>
      <c r="E99" s="252"/>
      <c r="F99" s="253"/>
      <c r="G99" s="113"/>
      <c r="H99" s="113"/>
      <c r="I99" s="113"/>
      <c r="J99" s="115"/>
      <c r="K99" s="115"/>
      <c r="L99" s="115"/>
      <c r="M99" s="116">
        <f>M100</f>
        <v>150000</v>
      </c>
      <c r="N99" s="116">
        <f>N100</f>
        <v>382598</v>
      </c>
      <c r="O99" s="116">
        <f>O100</f>
        <v>365471</v>
      </c>
      <c r="P99" s="115"/>
      <c r="Q99" s="115"/>
      <c r="R99" s="115"/>
      <c r="S99" s="116">
        <f>S100</f>
        <v>979551</v>
      </c>
      <c r="T99" s="116">
        <f>T100</f>
        <v>669301</v>
      </c>
      <c r="U99" s="116">
        <f>U100</f>
        <v>839221</v>
      </c>
      <c r="V99" s="115"/>
      <c r="W99" s="115"/>
      <c r="X99" s="115"/>
      <c r="Y99" s="116">
        <f>Y100</f>
        <v>560013</v>
      </c>
      <c r="Z99" s="116">
        <f>Z100</f>
        <v>575013</v>
      </c>
      <c r="AA99" s="116">
        <f>AA100</f>
        <v>276804</v>
      </c>
      <c r="AB99" s="115"/>
      <c r="AC99" s="115"/>
      <c r="AD99" s="115"/>
      <c r="AE99" s="116">
        <f>AE100</f>
        <v>276804</v>
      </c>
      <c r="AF99" s="116">
        <f>AF100</f>
        <v>276204</v>
      </c>
      <c r="AG99" s="116">
        <f>AG100</f>
        <v>276210</v>
      </c>
      <c r="AH99" s="116">
        <f>AH100</f>
        <v>5627190</v>
      </c>
      <c r="AI99" s="116">
        <f>AI100</f>
        <v>3847720</v>
      </c>
      <c r="AJ99" s="116"/>
      <c r="AK99" s="116">
        <v>1416045</v>
      </c>
      <c r="AL99" s="116">
        <v>363425</v>
      </c>
      <c r="AM99" s="254"/>
      <c r="AN99" s="116"/>
      <c r="AO99" s="227"/>
      <c r="AP99" s="109"/>
      <c r="AQ99" s="109"/>
    </row>
    <row r="100" spans="1:43" ht="31.2">
      <c r="A100" s="119" t="s">
        <v>646</v>
      </c>
      <c r="B100" s="120" t="s">
        <v>288</v>
      </c>
      <c r="C100" s="121"/>
      <c r="D100" s="122"/>
      <c r="E100" s="170"/>
      <c r="F100" s="171"/>
      <c r="G100" s="124">
        <v>30.31</v>
      </c>
      <c r="H100" s="124">
        <v>30.31</v>
      </c>
      <c r="I100" s="124"/>
      <c r="J100" s="125"/>
      <c r="K100" s="125"/>
      <c r="L100" s="125"/>
      <c r="M100" s="126">
        <f t="shared" ref="M100:N100" si="80">M101+M104+M106+M111</f>
        <v>150000</v>
      </c>
      <c r="N100" s="126">
        <f t="shared" si="80"/>
        <v>382598</v>
      </c>
      <c r="O100" s="126">
        <f>O101+O104+O106+O111</f>
        <v>365471</v>
      </c>
      <c r="P100" s="125"/>
      <c r="Q100" s="125"/>
      <c r="R100" s="125"/>
      <c r="S100" s="126">
        <v>979551</v>
      </c>
      <c r="T100" s="126">
        <v>669301</v>
      </c>
      <c r="U100" s="126">
        <v>839221</v>
      </c>
      <c r="V100" s="125"/>
      <c r="W100" s="125"/>
      <c r="X100" s="125"/>
      <c r="Y100" s="126">
        <v>560013</v>
      </c>
      <c r="Z100" s="126">
        <v>575013</v>
      </c>
      <c r="AA100" s="126">
        <v>276804</v>
      </c>
      <c r="AB100" s="125"/>
      <c r="AC100" s="125"/>
      <c r="AD100" s="125"/>
      <c r="AE100" s="126">
        <v>276804</v>
      </c>
      <c r="AF100" s="126">
        <f t="shared" ref="AF100:AG100" si="81">AF101</f>
        <v>276204</v>
      </c>
      <c r="AG100" s="126">
        <f t="shared" si="81"/>
        <v>276210</v>
      </c>
      <c r="AH100" s="126">
        <f>(AH101+AH104+AH106+AH111)</f>
        <v>5627190</v>
      </c>
      <c r="AI100" s="126">
        <v>3847720</v>
      </c>
      <c r="AJ100" s="126"/>
      <c r="AK100" s="126">
        <v>1416045</v>
      </c>
      <c r="AL100" s="126">
        <v>363425</v>
      </c>
      <c r="AM100" s="255"/>
      <c r="AN100" s="126"/>
      <c r="AO100" s="127"/>
      <c r="AP100" s="120"/>
      <c r="AQ100" s="120"/>
    </row>
    <row r="101" spans="1:43" ht="62.4">
      <c r="A101" s="129" t="s">
        <v>647</v>
      </c>
      <c r="B101" s="130" t="s">
        <v>648</v>
      </c>
      <c r="C101" s="131"/>
      <c r="D101" s="132"/>
      <c r="E101" s="174"/>
      <c r="F101" s="149"/>
      <c r="G101" s="134">
        <v>100</v>
      </c>
      <c r="H101" s="134"/>
      <c r="I101" s="135">
        <v>100</v>
      </c>
      <c r="J101" s="136"/>
      <c r="K101" s="136"/>
      <c r="L101" s="136"/>
      <c r="M101" s="137">
        <f t="shared" ref="M101:N101" si="82">M102+M103</f>
        <v>150000</v>
      </c>
      <c r="N101" s="137">
        <f t="shared" si="82"/>
        <v>276204</v>
      </c>
      <c r="O101" s="137">
        <f>O102+O103</f>
        <v>276204</v>
      </c>
      <c r="P101" s="136"/>
      <c r="Q101" s="136"/>
      <c r="R101" s="136"/>
      <c r="S101" s="137">
        <v>390748</v>
      </c>
      <c r="T101" s="137">
        <v>390748</v>
      </c>
      <c r="U101" s="137">
        <v>390748</v>
      </c>
      <c r="V101" s="136"/>
      <c r="W101" s="136"/>
      <c r="X101" s="136"/>
      <c r="Y101" s="137">
        <v>390748</v>
      </c>
      <c r="Z101" s="137">
        <v>390748</v>
      </c>
      <c r="AA101" s="137">
        <v>276204</v>
      </c>
      <c r="AB101" s="136"/>
      <c r="AC101" s="136"/>
      <c r="AD101" s="136"/>
      <c r="AE101" s="137">
        <v>276204</v>
      </c>
      <c r="AF101" s="137">
        <v>276204</v>
      </c>
      <c r="AG101" s="137">
        <v>276210</v>
      </c>
      <c r="AH101" s="206">
        <f>SUM(AH102:AH103)</f>
        <v>3760970</v>
      </c>
      <c r="AI101" s="206">
        <f>SUM(AI102:AI103)</f>
        <v>3188250</v>
      </c>
      <c r="AJ101" s="137"/>
      <c r="AK101" s="137">
        <v>572720</v>
      </c>
      <c r="AL101" s="137"/>
      <c r="AM101" s="256"/>
      <c r="AN101" s="137"/>
      <c r="AO101" s="150"/>
      <c r="AP101" s="130"/>
      <c r="AQ101" s="130"/>
    </row>
    <row r="102" spans="1:43" ht="31.2">
      <c r="A102" s="1999" t="s">
        <v>649</v>
      </c>
      <c r="B102" s="1982" t="s">
        <v>650</v>
      </c>
      <c r="C102" s="140">
        <v>17800</v>
      </c>
      <c r="D102" s="141" t="s">
        <v>419</v>
      </c>
      <c r="E102" s="1984" t="s">
        <v>446</v>
      </c>
      <c r="F102" s="2007" t="s">
        <v>52</v>
      </c>
      <c r="G102" s="2009">
        <v>100</v>
      </c>
      <c r="H102" s="2009"/>
      <c r="I102" s="1986"/>
      <c r="J102" s="142">
        <v>10000</v>
      </c>
      <c r="K102" s="142">
        <v>17800</v>
      </c>
      <c r="L102" s="142">
        <v>17800</v>
      </c>
      <c r="M102" s="143">
        <v>100000</v>
      </c>
      <c r="N102" s="143">
        <v>179204</v>
      </c>
      <c r="O102" s="143">
        <v>179204</v>
      </c>
      <c r="P102" s="142">
        <v>17800</v>
      </c>
      <c r="Q102" s="142">
        <v>17800</v>
      </c>
      <c r="R102" s="142">
        <v>17800</v>
      </c>
      <c r="S102" s="143">
        <v>236476</v>
      </c>
      <c r="T102" s="143">
        <v>236476</v>
      </c>
      <c r="U102" s="143">
        <v>236476</v>
      </c>
      <c r="V102" s="142">
        <v>17800</v>
      </c>
      <c r="W102" s="142">
        <v>17800</v>
      </c>
      <c r="X102" s="142">
        <v>17800</v>
      </c>
      <c r="Y102" s="143">
        <v>236476</v>
      </c>
      <c r="Z102" s="143">
        <v>236476</v>
      </c>
      <c r="AA102" s="143">
        <v>179204</v>
      </c>
      <c r="AB102" s="142">
        <v>17800</v>
      </c>
      <c r="AC102" s="142">
        <v>17800</v>
      </c>
      <c r="AD102" s="142">
        <v>17800</v>
      </c>
      <c r="AE102" s="143">
        <v>179204</v>
      </c>
      <c r="AF102" s="143">
        <v>179204</v>
      </c>
      <c r="AG102" s="143">
        <v>179210</v>
      </c>
      <c r="AH102" s="143">
        <v>2357610</v>
      </c>
      <c r="AI102" s="172">
        <v>2071250</v>
      </c>
      <c r="AJ102" s="143"/>
      <c r="AK102" s="143">
        <v>286360</v>
      </c>
      <c r="AL102" s="143"/>
      <c r="AM102" s="257"/>
      <c r="AN102" s="143"/>
      <c r="AO102" s="145" t="s">
        <v>422</v>
      </c>
      <c r="AP102" s="146" t="s">
        <v>423</v>
      </c>
      <c r="AQ102" s="146" t="s">
        <v>436</v>
      </c>
    </row>
    <row r="103" spans="1:43" ht="31.2">
      <c r="A103" s="2005"/>
      <c r="B103" s="2006"/>
      <c r="C103" s="140">
        <v>9700</v>
      </c>
      <c r="D103" s="141" t="s">
        <v>424</v>
      </c>
      <c r="E103" s="1985"/>
      <c r="F103" s="2008"/>
      <c r="G103" s="2009"/>
      <c r="H103" s="2009"/>
      <c r="I103" s="1987"/>
      <c r="J103" s="142">
        <v>5000</v>
      </c>
      <c r="K103" s="142">
        <v>9700</v>
      </c>
      <c r="L103" s="142">
        <v>9700</v>
      </c>
      <c r="M103" s="143">
        <v>50000</v>
      </c>
      <c r="N103" s="143">
        <v>97000</v>
      </c>
      <c r="O103" s="143">
        <v>97000</v>
      </c>
      <c r="P103" s="142">
        <v>9700</v>
      </c>
      <c r="Q103" s="142">
        <v>9700</v>
      </c>
      <c r="R103" s="142">
        <v>9700</v>
      </c>
      <c r="S103" s="143">
        <v>154272</v>
      </c>
      <c r="T103" s="143">
        <v>154272</v>
      </c>
      <c r="U103" s="143">
        <v>154272</v>
      </c>
      <c r="V103" s="142">
        <v>9700</v>
      </c>
      <c r="W103" s="142">
        <v>9700</v>
      </c>
      <c r="X103" s="142">
        <v>9700</v>
      </c>
      <c r="Y103" s="143">
        <v>154272</v>
      </c>
      <c r="Z103" s="143">
        <v>154272</v>
      </c>
      <c r="AA103" s="143">
        <v>97000</v>
      </c>
      <c r="AB103" s="142">
        <v>9700</v>
      </c>
      <c r="AC103" s="142">
        <v>9700</v>
      </c>
      <c r="AD103" s="142">
        <v>9700</v>
      </c>
      <c r="AE103" s="143">
        <v>97000</v>
      </c>
      <c r="AF103" s="143">
        <v>97000</v>
      </c>
      <c r="AG103" s="143">
        <v>97000</v>
      </c>
      <c r="AH103" s="172">
        <v>1403360</v>
      </c>
      <c r="AI103" s="172">
        <v>1117000</v>
      </c>
      <c r="AJ103" s="143"/>
      <c r="AK103" s="143">
        <v>286360</v>
      </c>
      <c r="AL103" s="143"/>
      <c r="AM103" s="257"/>
      <c r="AN103" s="143"/>
      <c r="AO103" s="145" t="s">
        <v>422</v>
      </c>
      <c r="AP103" s="146" t="s">
        <v>423</v>
      </c>
      <c r="AQ103" s="146" t="s">
        <v>436</v>
      </c>
    </row>
    <row r="104" spans="1:43" ht="109.2">
      <c r="A104" s="129" t="s">
        <v>651</v>
      </c>
      <c r="B104" s="130" t="s">
        <v>652</v>
      </c>
      <c r="C104" s="131"/>
      <c r="D104" s="132"/>
      <c r="E104" s="174"/>
      <c r="F104" s="149"/>
      <c r="G104" s="134">
        <v>3</v>
      </c>
      <c r="H104" s="134"/>
      <c r="I104" s="135">
        <v>3</v>
      </c>
      <c r="J104" s="136"/>
      <c r="K104" s="136"/>
      <c r="L104" s="136"/>
      <c r="M104" s="137">
        <f t="shared" ref="M104:N104" si="83">M105</f>
        <v>0</v>
      </c>
      <c r="N104" s="137">
        <f t="shared" si="83"/>
        <v>0</v>
      </c>
      <c r="O104" s="137">
        <f>O105</f>
        <v>0</v>
      </c>
      <c r="P104" s="136"/>
      <c r="Q104" s="136"/>
      <c r="R104" s="136"/>
      <c r="S104" s="137">
        <v>15000</v>
      </c>
      <c r="T104" s="137">
        <v>20000</v>
      </c>
      <c r="U104" s="137"/>
      <c r="V104" s="136"/>
      <c r="W104" s="136"/>
      <c r="X104" s="136"/>
      <c r="Y104" s="137"/>
      <c r="Z104" s="137">
        <v>15000</v>
      </c>
      <c r="AA104" s="137"/>
      <c r="AB104" s="136"/>
      <c r="AC104" s="136"/>
      <c r="AD104" s="136"/>
      <c r="AE104" s="137"/>
      <c r="AF104" s="137"/>
      <c r="AG104" s="137"/>
      <c r="AH104" s="137">
        <f>SUM(AH105)</f>
        <v>50000</v>
      </c>
      <c r="AI104" s="137">
        <f>SUM(AI105)</f>
        <v>50000</v>
      </c>
      <c r="AJ104" s="137"/>
      <c r="AK104" s="137"/>
      <c r="AL104" s="137"/>
      <c r="AM104" s="137"/>
      <c r="AN104" s="137"/>
      <c r="AO104" s="150"/>
      <c r="AP104" s="130"/>
      <c r="AQ104" s="130"/>
    </row>
    <row r="105" spans="1:43" ht="31.2">
      <c r="A105" s="175" t="s">
        <v>653</v>
      </c>
      <c r="B105" s="153" t="s">
        <v>654</v>
      </c>
      <c r="C105" s="154">
        <v>10000</v>
      </c>
      <c r="D105" s="155" t="s">
        <v>445</v>
      </c>
      <c r="E105" s="156" t="s">
        <v>655</v>
      </c>
      <c r="F105" s="157" t="s">
        <v>656</v>
      </c>
      <c r="G105" s="158">
        <v>100</v>
      </c>
      <c r="H105" s="158"/>
      <c r="I105" s="158"/>
      <c r="J105" s="142"/>
      <c r="K105" s="142"/>
      <c r="L105" s="142"/>
      <c r="M105" s="143"/>
      <c r="N105" s="143"/>
      <c r="O105" s="143"/>
      <c r="P105" s="142">
        <v>2000</v>
      </c>
      <c r="Q105" s="142">
        <v>4000</v>
      </c>
      <c r="R105" s="142"/>
      <c r="S105" s="143">
        <v>15000</v>
      </c>
      <c r="T105" s="143">
        <v>20000</v>
      </c>
      <c r="U105" s="143"/>
      <c r="V105" s="142"/>
      <c r="W105" s="142">
        <v>4000</v>
      </c>
      <c r="X105" s="142"/>
      <c r="Y105" s="143"/>
      <c r="Z105" s="143">
        <v>15000</v>
      </c>
      <c r="AA105" s="143"/>
      <c r="AB105" s="142"/>
      <c r="AC105" s="142"/>
      <c r="AD105" s="142"/>
      <c r="AE105" s="143"/>
      <c r="AF105" s="143"/>
      <c r="AG105" s="143"/>
      <c r="AH105" s="143">
        <v>50000</v>
      </c>
      <c r="AI105" s="172">
        <v>50000</v>
      </c>
      <c r="AJ105" s="143"/>
      <c r="AK105" s="143"/>
      <c r="AL105" s="143"/>
      <c r="AM105" s="143"/>
      <c r="AN105" s="143"/>
      <c r="AO105" s="145" t="s">
        <v>422</v>
      </c>
      <c r="AP105" s="146" t="s">
        <v>423</v>
      </c>
      <c r="AQ105" s="146"/>
    </row>
    <row r="106" spans="1:43" ht="62.4">
      <c r="A106" s="129" t="s">
        <v>657</v>
      </c>
      <c r="B106" s="130" t="s">
        <v>658</v>
      </c>
      <c r="C106" s="131"/>
      <c r="D106" s="210"/>
      <c r="E106" s="174"/>
      <c r="F106" s="149"/>
      <c r="G106" s="134">
        <v>50</v>
      </c>
      <c r="H106" s="134"/>
      <c r="I106" s="135">
        <v>50</v>
      </c>
      <c r="J106" s="136"/>
      <c r="K106" s="136"/>
      <c r="L106" s="136"/>
      <c r="M106" s="137">
        <f t="shared" ref="M106:N106" si="84">M107+M108+M109+M110</f>
        <v>0</v>
      </c>
      <c r="N106" s="137">
        <f t="shared" si="84"/>
        <v>106394</v>
      </c>
      <c r="O106" s="137">
        <f>O107+O108+O109+O110</f>
        <v>89267</v>
      </c>
      <c r="P106" s="136"/>
      <c r="Q106" s="136"/>
      <c r="R106" s="136"/>
      <c r="S106" s="137">
        <v>404538</v>
      </c>
      <c r="T106" s="137">
        <v>89288</v>
      </c>
      <c r="U106" s="137">
        <v>279208</v>
      </c>
      <c r="V106" s="136"/>
      <c r="W106" s="136"/>
      <c r="X106" s="136"/>
      <c r="Y106" s="137"/>
      <c r="Z106" s="137"/>
      <c r="AA106" s="137"/>
      <c r="AB106" s="136"/>
      <c r="AC106" s="136"/>
      <c r="AD106" s="136"/>
      <c r="AE106" s="137"/>
      <c r="AF106" s="137"/>
      <c r="AG106" s="137"/>
      <c r="AH106" s="137">
        <f>SUM(AH107:AH110)</f>
        <v>968695</v>
      </c>
      <c r="AI106" s="137">
        <f>SUM(AI107:AI110)</f>
        <v>605270</v>
      </c>
      <c r="AJ106" s="137"/>
      <c r="AK106" s="137"/>
      <c r="AL106" s="137">
        <v>363425</v>
      </c>
      <c r="AM106" s="137"/>
      <c r="AN106" s="137"/>
      <c r="AO106" s="150"/>
      <c r="AP106" s="130"/>
      <c r="AQ106" s="130"/>
    </row>
    <row r="107" spans="1:43" ht="46.8">
      <c r="A107" s="152" t="s">
        <v>659</v>
      </c>
      <c r="B107" s="156" t="s">
        <v>660</v>
      </c>
      <c r="C107" s="154">
        <v>700</v>
      </c>
      <c r="D107" s="258" t="s">
        <v>661</v>
      </c>
      <c r="E107" s="156" t="s">
        <v>662</v>
      </c>
      <c r="F107" s="157" t="s">
        <v>663</v>
      </c>
      <c r="G107" s="158">
        <v>31</v>
      </c>
      <c r="H107" s="158"/>
      <c r="I107" s="158"/>
      <c r="J107" s="142"/>
      <c r="K107" s="142">
        <v>250</v>
      </c>
      <c r="L107" s="142"/>
      <c r="M107" s="143"/>
      <c r="N107" s="143">
        <v>106394</v>
      </c>
      <c r="O107" s="143"/>
      <c r="P107" s="142"/>
      <c r="Q107" s="142"/>
      <c r="R107" s="142">
        <v>450</v>
      </c>
      <c r="S107" s="143"/>
      <c r="T107" s="143"/>
      <c r="U107" s="143">
        <v>191487</v>
      </c>
      <c r="V107" s="142"/>
      <c r="W107" s="142"/>
      <c r="X107" s="142"/>
      <c r="Y107" s="143"/>
      <c r="Z107" s="143"/>
      <c r="AA107" s="143"/>
      <c r="AB107" s="142"/>
      <c r="AC107" s="142"/>
      <c r="AD107" s="142"/>
      <c r="AE107" s="143"/>
      <c r="AF107" s="143"/>
      <c r="AG107" s="143"/>
      <c r="AH107" s="143">
        <v>297881</v>
      </c>
      <c r="AI107" s="172">
        <v>217928</v>
      </c>
      <c r="AJ107" s="143"/>
      <c r="AK107" s="143"/>
      <c r="AL107" s="143">
        <v>79953</v>
      </c>
      <c r="AM107" s="143"/>
      <c r="AN107" s="143"/>
      <c r="AO107" s="145" t="s">
        <v>606</v>
      </c>
      <c r="AP107" s="146" t="s">
        <v>664</v>
      </c>
      <c r="AQ107" s="146"/>
    </row>
    <row r="108" spans="1:43" ht="46.8">
      <c r="A108" s="152" t="s">
        <v>665</v>
      </c>
      <c r="B108" s="156" t="s">
        <v>666</v>
      </c>
      <c r="C108" s="154">
        <v>900</v>
      </c>
      <c r="D108" s="258" t="s">
        <v>661</v>
      </c>
      <c r="E108" s="156" t="s">
        <v>662</v>
      </c>
      <c r="F108" s="157" t="s">
        <v>663</v>
      </c>
      <c r="G108" s="158">
        <v>42</v>
      </c>
      <c r="H108" s="158"/>
      <c r="I108" s="158"/>
      <c r="J108" s="142"/>
      <c r="K108" s="142"/>
      <c r="L108" s="142"/>
      <c r="M108" s="143"/>
      <c r="N108" s="143"/>
      <c r="O108" s="143"/>
      <c r="P108" s="142">
        <v>900</v>
      </c>
      <c r="Q108" s="142"/>
      <c r="R108" s="142"/>
      <c r="S108" s="143">
        <v>404538</v>
      </c>
      <c r="T108" s="143"/>
      <c r="U108" s="143"/>
      <c r="V108" s="142"/>
      <c r="W108" s="142"/>
      <c r="X108" s="142"/>
      <c r="Y108" s="143"/>
      <c r="Z108" s="143"/>
      <c r="AA108" s="143"/>
      <c r="AB108" s="142"/>
      <c r="AC108" s="142"/>
      <c r="AD108" s="142"/>
      <c r="AE108" s="143"/>
      <c r="AF108" s="143"/>
      <c r="AG108" s="143"/>
      <c r="AH108" s="143">
        <v>404538</v>
      </c>
      <c r="AI108" s="172">
        <v>262802</v>
      </c>
      <c r="AJ108" s="143"/>
      <c r="AK108" s="143"/>
      <c r="AL108" s="143">
        <v>141736</v>
      </c>
      <c r="AM108" s="143"/>
      <c r="AN108" s="143"/>
      <c r="AO108" s="145" t="s">
        <v>606</v>
      </c>
      <c r="AP108" s="146" t="s">
        <v>664</v>
      </c>
      <c r="AQ108" s="146"/>
    </row>
    <row r="109" spans="1:43" ht="46.8">
      <c r="A109" s="152" t="s">
        <v>667</v>
      </c>
      <c r="B109" s="156" t="s">
        <v>668</v>
      </c>
      <c r="C109" s="154">
        <v>200</v>
      </c>
      <c r="D109" s="258" t="s">
        <v>661</v>
      </c>
      <c r="E109" s="156" t="s">
        <v>662</v>
      </c>
      <c r="F109" s="157" t="s">
        <v>663</v>
      </c>
      <c r="G109" s="158">
        <v>18</v>
      </c>
      <c r="H109" s="158"/>
      <c r="I109" s="158"/>
      <c r="J109" s="142"/>
      <c r="K109" s="142"/>
      <c r="L109" s="142">
        <v>100</v>
      </c>
      <c r="M109" s="143"/>
      <c r="N109" s="143"/>
      <c r="O109" s="143">
        <v>89267</v>
      </c>
      <c r="P109" s="142"/>
      <c r="Q109" s="142">
        <v>100</v>
      </c>
      <c r="R109" s="142"/>
      <c r="S109" s="143"/>
      <c r="T109" s="143">
        <v>89288</v>
      </c>
      <c r="U109" s="143"/>
      <c r="V109" s="142"/>
      <c r="W109" s="142"/>
      <c r="X109" s="142"/>
      <c r="Y109" s="143"/>
      <c r="Z109" s="143"/>
      <c r="AA109" s="143"/>
      <c r="AB109" s="142"/>
      <c r="AC109" s="142"/>
      <c r="AD109" s="142"/>
      <c r="AE109" s="143"/>
      <c r="AF109" s="143"/>
      <c r="AG109" s="143"/>
      <c r="AH109" s="143">
        <v>178555</v>
      </c>
      <c r="AI109" s="172">
        <v>62259</v>
      </c>
      <c r="AJ109" s="143"/>
      <c r="AK109" s="143"/>
      <c r="AL109" s="143">
        <v>116296</v>
      </c>
      <c r="AM109" s="143"/>
      <c r="AN109" s="143"/>
      <c r="AO109" s="145" t="s">
        <v>606</v>
      </c>
      <c r="AP109" s="146" t="s">
        <v>664</v>
      </c>
      <c r="AQ109" s="146"/>
    </row>
    <row r="110" spans="1:43" ht="46.8">
      <c r="A110" s="152" t="s">
        <v>669</v>
      </c>
      <c r="B110" s="156" t="s">
        <v>670</v>
      </c>
      <c r="C110" s="154">
        <v>200</v>
      </c>
      <c r="D110" s="258" t="s">
        <v>661</v>
      </c>
      <c r="E110" s="156" t="s">
        <v>662</v>
      </c>
      <c r="F110" s="157" t="s">
        <v>663</v>
      </c>
      <c r="G110" s="158">
        <v>9</v>
      </c>
      <c r="H110" s="158"/>
      <c r="I110" s="158"/>
      <c r="J110" s="142"/>
      <c r="K110" s="142"/>
      <c r="L110" s="142"/>
      <c r="M110" s="143"/>
      <c r="N110" s="143"/>
      <c r="O110" s="143"/>
      <c r="P110" s="142"/>
      <c r="Q110" s="142"/>
      <c r="R110" s="142">
        <v>200</v>
      </c>
      <c r="S110" s="143"/>
      <c r="T110" s="143"/>
      <c r="U110" s="143">
        <v>87721</v>
      </c>
      <c r="V110" s="142"/>
      <c r="W110" s="142"/>
      <c r="X110" s="142"/>
      <c r="Y110" s="143"/>
      <c r="Z110" s="143"/>
      <c r="AA110" s="143"/>
      <c r="AB110" s="142"/>
      <c r="AC110" s="142"/>
      <c r="AD110" s="142"/>
      <c r="AE110" s="143"/>
      <c r="AF110" s="143"/>
      <c r="AG110" s="143"/>
      <c r="AH110" s="143">
        <v>87721</v>
      </c>
      <c r="AI110" s="172">
        <v>62281</v>
      </c>
      <c r="AJ110" s="143"/>
      <c r="AK110" s="143"/>
      <c r="AL110" s="143">
        <v>25440</v>
      </c>
      <c r="AM110" s="143"/>
      <c r="AN110" s="143"/>
      <c r="AO110" s="145" t="s">
        <v>606</v>
      </c>
      <c r="AP110" s="146" t="s">
        <v>664</v>
      </c>
      <c r="AQ110" s="146"/>
    </row>
    <row r="111" spans="1:43" ht="31.2">
      <c r="A111" s="129" t="s">
        <v>671</v>
      </c>
      <c r="B111" s="130" t="s">
        <v>672</v>
      </c>
      <c r="C111" s="131"/>
      <c r="D111" s="132"/>
      <c r="E111" s="174"/>
      <c r="F111" s="149"/>
      <c r="G111" s="134">
        <v>45</v>
      </c>
      <c r="H111" s="134"/>
      <c r="I111" s="135">
        <v>45</v>
      </c>
      <c r="J111" s="136"/>
      <c r="K111" s="136"/>
      <c r="L111" s="136"/>
      <c r="M111" s="137">
        <f t="shared" ref="M111:N111" si="85">M112</f>
        <v>0</v>
      </c>
      <c r="N111" s="137">
        <f t="shared" si="85"/>
        <v>0</v>
      </c>
      <c r="O111" s="137">
        <f>O112</f>
        <v>0</v>
      </c>
      <c r="P111" s="136"/>
      <c r="Q111" s="136"/>
      <c r="R111" s="136"/>
      <c r="S111" s="137">
        <v>169265</v>
      </c>
      <c r="T111" s="137">
        <v>169265</v>
      </c>
      <c r="U111" s="137">
        <v>169265</v>
      </c>
      <c r="V111" s="136"/>
      <c r="W111" s="136"/>
      <c r="X111" s="136"/>
      <c r="Y111" s="137">
        <v>169265</v>
      </c>
      <c r="Z111" s="137">
        <v>169265</v>
      </c>
      <c r="AA111" s="137">
        <v>600</v>
      </c>
      <c r="AB111" s="136"/>
      <c r="AC111" s="136"/>
      <c r="AD111" s="136"/>
      <c r="AE111" s="137">
        <v>600</v>
      </c>
      <c r="AF111" s="137"/>
      <c r="AG111" s="137"/>
      <c r="AH111" s="137">
        <f>SUM(AH112)</f>
        <v>847525</v>
      </c>
      <c r="AI111" s="206">
        <f>SUM(AI112)</f>
        <v>4200</v>
      </c>
      <c r="AJ111" s="137"/>
      <c r="AK111" s="137">
        <v>843325</v>
      </c>
      <c r="AL111" s="137"/>
      <c r="AM111" s="137"/>
      <c r="AN111" s="137"/>
      <c r="AO111" s="150"/>
      <c r="AP111" s="130"/>
      <c r="AQ111" s="130"/>
    </row>
    <row r="112" spans="1:43" ht="46.8">
      <c r="A112" s="175" t="s">
        <v>673</v>
      </c>
      <c r="B112" s="153" t="s">
        <v>674</v>
      </c>
      <c r="C112" s="140">
        <v>500</v>
      </c>
      <c r="D112" s="141" t="s">
        <v>445</v>
      </c>
      <c r="E112" s="160" t="s">
        <v>446</v>
      </c>
      <c r="F112" s="176" t="s">
        <v>447</v>
      </c>
      <c r="G112" s="158">
        <v>100</v>
      </c>
      <c r="H112" s="158"/>
      <c r="I112" s="158"/>
      <c r="J112" s="142"/>
      <c r="K112" s="142"/>
      <c r="L112" s="142"/>
      <c r="M112" s="143"/>
      <c r="N112" s="143"/>
      <c r="O112" s="143"/>
      <c r="P112" s="142">
        <v>500</v>
      </c>
      <c r="Q112" s="142">
        <v>500</v>
      </c>
      <c r="R112" s="142">
        <v>500</v>
      </c>
      <c r="S112" s="143">
        <v>169265</v>
      </c>
      <c r="T112" s="143">
        <v>169265</v>
      </c>
      <c r="U112" s="143">
        <v>169265</v>
      </c>
      <c r="V112" s="142">
        <v>500</v>
      </c>
      <c r="W112" s="142">
        <v>500</v>
      </c>
      <c r="X112" s="142">
        <v>100</v>
      </c>
      <c r="Y112" s="143">
        <v>169265</v>
      </c>
      <c r="Z112" s="143">
        <v>169265</v>
      </c>
      <c r="AA112" s="143">
        <v>600</v>
      </c>
      <c r="AB112" s="142">
        <v>100</v>
      </c>
      <c r="AC112" s="142"/>
      <c r="AD112" s="142"/>
      <c r="AE112" s="143">
        <v>600</v>
      </c>
      <c r="AF112" s="143"/>
      <c r="AG112" s="143"/>
      <c r="AH112" s="143">
        <v>847525</v>
      </c>
      <c r="AI112" s="172">
        <v>4200</v>
      </c>
      <c r="AJ112" s="143"/>
      <c r="AK112" s="143">
        <v>843325</v>
      </c>
      <c r="AL112" s="143"/>
      <c r="AM112" s="143"/>
      <c r="AN112" s="143"/>
      <c r="AO112" s="145" t="s">
        <v>422</v>
      </c>
      <c r="AP112" s="146" t="s">
        <v>423</v>
      </c>
      <c r="AQ112" s="146" t="s">
        <v>436</v>
      </c>
    </row>
    <row r="113" spans="1:43" ht="31.2">
      <c r="A113" s="96" t="s">
        <v>675</v>
      </c>
      <c r="B113" s="97" t="s">
        <v>676</v>
      </c>
      <c r="C113" s="98"/>
      <c r="D113" s="99"/>
      <c r="E113" s="248"/>
      <c r="F113" s="249"/>
      <c r="G113" s="101"/>
      <c r="H113" s="101"/>
      <c r="I113" s="101"/>
      <c r="J113" s="105"/>
      <c r="K113" s="105"/>
      <c r="L113" s="105"/>
      <c r="M113" s="104">
        <f>M115+M122+M129+M133</f>
        <v>9000</v>
      </c>
      <c r="N113" s="104">
        <f t="shared" ref="N113:AG113" si="86">N115+N122+N129+N133</f>
        <v>9000</v>
      </c>
      <c r="O113" s="104">
        <f>O114+O132</f>
        <v>43260</v>
      </c>
      <c r="P113" s="105"/>
      <c r="Q113" s="105"/>
      <c r="R113" s="105"/>
      <c r="S113" s="104">
        <f t="shared" si="86"/>
        <v>45150</v>
      </c>
      <c r="T113" s="104">
        <f t="shared" si="86"/>
        <v>33090</v>
      </c>
      <c r="U113" s="104">
        <f t="shared" si="86"/>
        <v>7290</v>
      </c>
      <c r="V113" s="105"/>
      <c r="W113" s="105"/>
      <c r="X113" s="105"/>
      <c r="Y113" s="104"/>
      <c r="Z113" s="104">
        <f t="shared" si="86"/>
        <v>2400</v>
      </c>
      <c r="AA113" s="104">
        <f t="shared" si="86"/>
        <v>1200</v>
      </c>
      <c r="AB113" s="105"/>
      <c r="AC113" s="105"/>
      <c r="AD113" s="105"/>
      <c r="AE113" s="104">
        <f t="shared" si="86"/>
        <v>1260</v>
      </c>
      <c r="AF113" s="104">
        <f t="shared" si="86"/>
        <v>10890</v>
      </c>
      <c r="AG113" s="104">
        <f t="shared" si="86"/>
        <v>9000</v>
      </c>
      <c r="AH113" s="250">
        <f>AH114+AH132</f>
        <v>171540</v>
      </c>
      <c r="AI113" s="250">
        <f>AI114+AI132</f>
        <v>171540</v>
      </c>
      <c r="AJ113" s="104"/>
      <c r="AK113" s="104"/>
      <c r="AL113" s="104"/>
      <c r="AM113" s="104"/>
      <c r="AN113" s="104"/>
      <c r="AO113" s="251"/>
      <c r="AP113" s="97"/>
      <c r="AQ113" s="97"/>
    </row>
    <row r="114" spans="1:43" ht="46.8">
      <c r="A114" s="108" t="s">
        <v>677</v>
      </c>
      <c r="B114" s="109" t="s">
        <v>678</v>
      </c>
      <c r="C114" s="110"/>
      <c r="D114" s="111"/>
      <c r="E114" s="252"/>
      <c r="F114" s="253"/>
      <c r="G114" s="113"/>
      <c r="H114" s="113"/>
      <c r="I114" s="113"/>
      <c r="J114" s="115"/>
      <c r="K114" s="115"/>
      <c r="L114" s="115"/>
      <c r="M114" s="116">
        <f>M115+M122+M129</f>
        <v>9000</v>
      </c>
      <c r="N114" s="116">
        <f>N115+N122+N129</f>
        <v>9000</v>
      </c>
      <c r="O114" s="116">
        <f>O115+O122+O129</f>
        <v>43260</v>
      </c>
      <c r="P114" s="115"/>
      <c r="Q114" s="115"/>
      <c r="R114" s="115"/>
      <c r="S114" s="116">
        <f>S115+S122+S129</f>
        <v>45150</v>
      </c>
      <c r="T114" s="116">
        <f>T115+T122+T129</f>
        <v>33090</v>
      </c>
      <c r="U114" s="116">
        <f>U115+U122+U129</f>
        <v>7290</v>
      </c>
      <c r="V114" s="115"/>
      <c r="W114" s="115"/>
      <c r="X114" s="115"/>
      <c r="Y114" s="116"/>
      <c r="Z114" s="116">
        <f>Z115+Z122+Z129</f>
        <v>2400</v>
      </c>
      <c r="AA114" s="116">
        <f>AA115+AA122+AA129</f>
        <v>1200</v>
      </c>
      <c r="AB114" s="115"/>
      <c r="AC114" s="115"/>
      <c r="AD114" s="115"/>
      <c r="AE114" s="116"/>
      <c r="AF114" s="116">
        <f>AF115+AF122+AF129</f>
        <v>9000</v>
      </c>
      <c r="AG114" s="116">
        <f>AG115+AG122+AG129</f>
        <v>9000</v>
      </c>
      <c r="AH114" s="116">
        <f>AH115+AH122+AH129</f>
        <v>168390</v>
      </c>
      <c r="AI114" s="116">
        <f>AI115+AI122+AI129</f>
        <v>168390</v>
      </c>
      <c r="AJ114" s="116"/>
      <c r="AK114" s="116"/>
      <c r="AL114" s="116"/>
      <c r="AM114" s="116"/>
      <c r="AN114" s="116"/>
      <c r="AO114" s="227"/>
      <c r="AP114" s="109"/>
      <c r="AQ114" s="109"/>
    </row>
    <row r="115" spans="1:43" ht="46.8">
      <c r="A115" s="119" t="s">
        <v>679</v>
      </c>
      <c r="B115" s="120" t="s">
        <v>680</v>
      </c>
      <c r="C115" s="121"/>
      <c r="D115" s="122"/>
      <c r="E115" s="120"/>
      <c r="F115" s="171"/>
      <c r="G115" s="124">
        <v>0</v>
      </c>
      <c r="H115" s="124">
        <v>0</v>
      </c>
      <c r="I115" s="124"/>
      <c r="J115" s="125"/>
      <c r="K115" s="125"/>
      <c r="L115" s="125"/>
      <c r="M115" s="126"/>
      <c r="N115" s="126"/>
      <c r="O115" s="126">
        <f t="shared" ref="O115:AA115" si="87">O116+O118+O120</f>
        <v>1260</v>
      </c>
      <c r="P115" s="125"/>
      <c r="Q115" s="125"/>
      <c r="R115" s="125"/>
      <c r="S115" s="126">
        <f t="shared" si="87"/>
        <v>3150</v>
      </c>
      <c r="T115" s="126">
        <f t="shared" si="87"/>
        <v>6690</v>
      </c>
      <c r="U115" s="126">
        <f t="shared" si="87"/>
        <v>4290</v>
      </c>
      <c r="V115" s="125"/>
      <c r="W115" s="125"/>
      <c r="X115" s="125"/>
      <c r="Y115" s="126"/>
      <c r="Z115" s="126">
        <f t="shared" si="87"/>
        <v>2400</v>
      </c>
      <c r="AA115" s="126">
        <f t="shared" si="87"/>
        <v>1200</v>
      </c>
      <c r="AB115" s="125"/>
      <c r="AC115" s="125"/>
      <c r="AD115" s="125"/>
      <c r="AE115" s="126"/>
      <c r="AF115" s="126"/>
      <c r="AG115" s="126"/>
      <c r="AH115" s="126">
        <f>AH116+AH118+AH120</f>
        <v>18990</v>
      </c>
      <c r="AI115" s="126">
        <f>AI116+AI118+AI120</f>
        <v>18990</v>
      </c>
      <c r="AJ115" s="126"/>
      <c r="AK115" s="126"/>
      <c r="AL115" s="126"/>
      <c r="AM115" s="126"/>
      <c r="AN115" s="126"/>
      <c r="AO115" s="127"/>
      <c r="AP115" s="120"/>
      <c r="AQ115" s="120"/>
    </row>
    <row r="116" spans="1:43" ht="62.4">
      <c r="A116" s="129" t="s">
        <v>681</v>
      </c>
      <c r="B116" s="130" t="s">
        <v>682</v>
      </c>
      <c r="C116" s="131"/>
      <c r="D116" s="132"/>
      <c r="E116" s="148"/>
      <c r="F116" s="149"/>
      <c r="G116" s="134">
        <v>17</v>
      </c>
      <c r="H116" s="134"/>
      <c r="I116" s="135">
        <v>17</v>
      </c>
      <c r="J116" s="136"/>
      <c r="K116" s="136"/>
      <c r="L116" s="136"/>
      <c r="M116" s="137"/>
      <c r="N116" s="137"/>
      <c r="O116" s="137">
        <f>O117</f>
        <v>1260</v>
      </c>
      <c r="P116" s="136"/>
      <c r="Q116" s="136"/>
      <c r="R116" s="136"/>
      <c r="S116" s="137">
        <v>1890</v>
      </c>
      <c r="T116" s="137"/>
      <c r="U116" s="137"/>
      <c r="V116" s="136"/>
      <c r="W116" s="136"/>
      <c r="X116" s="136"/>
      <c r="Y116" s="137"/>
      <c r="Z116" s="137"/>
      <c r="AA116" s="137"/>
      <c r="AB116" s="136"/>
      <c r="AC116" s="136"/>
      <c r="AD116" s="136"/>
      <c r="AE116" s="137"/>
      <c r="AF116" s="137"/>
      <c r="AG116" s="137"/>
      <c r="AH116" s="137">
        <f>SUM(AH117)</f>
        <v>3150</v>
      </c>
      <c r="AI116" s="137">
        <f>SUM(AI117)</f>
        <v>3150</v>
      </c>
      <c r="AJ116" s="137"/>
      <c r="AK116" s="137"/>
      <c r="AL116" s="137"/>
      <c r="AM116" s="137"/>
      <c r="AN116" s="137"/>
      <c r="AO116" s="150"/>
      <c r="AP116" s="130"/>
      <c r="AQ116" s="130"/>
    </row>
    <row r="117" spans="1:43" ht="62.4">
      <c r="A117" s="152" t="s">
        <v>683</v>
      </c>
      <c r="B117" s="173" t="s">
        <v>684</v>
      </c>
      <c r="C117" s="179">
        <v>25</v>
      </c>
      <c r="D117" s="180" t="s">
        <v>445</v>
      </c>
      <c r="E117" s="178" t="s">
        <v>446</v>
      </c>
      <c r="F117" s="181" t="s">
        <v>52</v>
      </c>
      <c r="G117" s="158">
        <v>100</v>
      </c>
      <c r="H117" s="158"/>
      <c r="I117" s="158"/>
      <c r="J117" s="142"/>
      <c r="K117" s="142"/>
      <c r="L117" s="142">
        <v>10</v>
      </c>
      <c r="M117" s="143"/>
      <c r="N117" s="143"/>
      <c r="O117" s="143">
        <v>1260</v>
      </c>
      <c r="P117" s="142">
        <v>15</v>
      </c>
      <c r="Q117" s="142"/>
      <c r="R117" s="142"/>
      <c r="S117" s="143">
        <v>1890</v>
      </c>
      <c r="T117" s="143"/>
      <c r="U117" s="143"/>
      <c r="V117" s="142"/>
      <c r="W117" s="142"/>
      <c r="X117" s="142"/>
      <c r="Y117" s="143"/>
      <c r="Z117" s="143"/>
      <c r="AA117" s="143"/>
      <c r="AB117" s="142"/>
      <c r="AC117" s="142"/>
      <c r="AD117" s="142"/>
      <c r="AE117" s="143"/>
      <c r="AF117" s="143"/>
      <c r="AG117" s="143"/>
      <c r="AH117" s="143">
        <v>3150</v>
      </c>
      <c r="AI117" s="172">
        <v>3150</v>
      </c>
      <c r="AJ117" s="143"/>
      <c r="AK117" s="143"/>
      <c r="AL117" s="143"/>
      <c r="AM117" s="143"/>
      <c r="AN117" s="143"/>
      <c r="AO117" s="145" t="s">
        <v>422</v>
      </c>
      <c r="AP117" s="146" t="s">
        <v>423</v>
      </c>
      <c r="AQ117" s="146"/>
    </row>
    <row r="118" spans="1:43" ht="62.4">
      <c r="A118" s="259" t="s">
        <v>685</v>
      </c>
      <c r="B118" s="260" t="s">
        <v>686</v>
      </c>
      <c r="C118" s="131"/>
      <c r="D118" s="132"/>
      <c r="E118" s="174"/>
      <c r="F118" s="261"/>
      <c r="G118" s="134">
        <v>26</v>
      </c>
      <c r="H118" s="134"/>
      <c r="I118" s="135">
        <v>26</v>
      </c>
      <c r="J118" s="136"/>
      <c r="K118" s="136"/>
      <c r="L118" s="136"/>
      <c r="M118" s="137"/>
      <c r="N118" s="137"/>
      <c r="O118" s="137"/>
      <c r="P118" s="136"/>
      <c r="Q118" s="136"/>
      <c r="R118" s="136"/>
      <c r="S118" s="137">
        <v>1260</v>
      </c>
      <c r="T118" s="137">
        <v>1890</v>
      </c>
      <c r="U118" s="137">
        <v>1890</v>
      </c>
      <c r="V118" s="136"/>
      <c r="W118" s="136"/>
      <c r="X118" s="136"/>
      <c r="Y118" s="137"/>
      <c r="Z118" s="137"/>
      <c r="AA118" s="137"/>
      <c r="AB118" s="136"/>
      <c r="AC118" s="136"/>
      <c r="AD118" s="136"/>
      <c r="AE118" s="137"/>
      <c r="AF118" s="137"/>
      <c r="AG118" s="137"/>
      <c r="AH118" s="137">
        <f>SUM(AH119)</f>
        <v>5040</v>
      </c>
      <c r="AI118" s="137">
        <f>SUM(AI119)</f>
        <v>5040</v>
      </c>
      <c r="AJ118" s="137"/>
      <c r="AK118" s="137"/>
      <c r="AL118" s="137"/>
      <c r="AM118" s="137"/>
      <c r="AN118" s="137"/>
      <c r="AO118" s="150"/>
      <c r="AP118" s="130"/>
      <c r="AQ118" s="130"/>
    </row>
    <row r="119" spans="1:43" ht="78">
      <c r="A119" s="262" t="s">
        <v>687</v>
      </c>
      <c r="B119" s="263" t="s">
        <v>688</v>
      </c>
      <c r="C119" s="175">
        <v>160</v>
      </c>
      <c r="D119" s="141" t="s">
        <v>445</v>
      </c>
      <c r="E119" s="160" t="s">
        <v>446</v>
      </c>
      <c r="F119" s="264" t="s">
        <v>52</v>
      </c>
      <c r="G119" s="158">
        <v>100</v>
      </c>
      <c r="H119" s="158"/>
      <c r="I119" s="158"/>
      <c r="J119" s="142"/>
      <c r="K119" s="142"/>
      <c r="L119" s="142"/>
      <c r="M119" s="143"/>
      <c r="N119" s="143"/>
      <c r="O119" s="143"/>
      <c r="P119" s="142">
        <v>40</v>
      </c>
      <c r="Q119" s="142">
        <v>60</v>
      </c>
      <c r="R119" s="142">
        <v>60</v>
      </c>
      <c r="S119" s="143">
        <v>1260</v>
      </c>
      <c r="T119" s="143">
        <v>1890</v>
      </c>
      <c r="U119" s="143">
        <v>1890</v>
      </c>
      <c r="V119" s="142"/>
      <c r="W119" s="142"/>
      <c r="X119" s="142"/>
      <c r="Y119" s="143"/>
      <c r="Z119" s="143"/>
      <c r="AA119" s="143"/>
      <c r="AB119" s="142"/>
      <c r="AC119" s="142"/>
      <c r="AD119" s="142"/>
      <c r="AE119" s="143"/>
      <c r="AF119" s="143"/>
      <c r="AG119" s="143"/>
      <c r="AH119" s="143">
        <v>5040</v>
      </c>
      <c r="AI119" s="172">
        <v>5040</v>
      </c>
      <c r="AJ119" s="143"/>
      <c r="AK119" s="143"/>
      <c r="AL119" s="143"/>
      <c r="AM119" s="143"/>
      <c r="AN119" s="143"/>
      <c r="AO119" s="145" t="s">
        <v>422</v>
      </c>
      <c r="AP119" s="146" t="s">
        <v>423</v>
      </c>
      <c r="AQ119" s="146"/>
    </row>
    <row r="120" spans="1:43" ht="46.8">
      <c r="A120" s="129" t="s">
        <v>689</v>
      </c>
      <c r="B120" s="130" t="s">
        <v>690</v>
      </c>
      <c r="C120" s="131"/>
      <c r="D120" s="132"/>
      <c r="E120" s="174"/>
      <c r="F120" s="149"/>
      <c r="G120" s="134">
        <v>57</v>
      </c>
      <c r="H120" s="134"/>
      <c r="I120" s="135">
        <v>57</v>
      </c>
      <c r="J120" s="136"/>
      <c r="K120" s="136"/>
      <c r="L120" s="136"/>
      <c r="M120" s="137"/>
      <c r="N120" s="137"/>
      <c r="O120" s="137"/>
      <c r="P120" s="136"/>
      <c r="Q120" s="136"/>
      <c r="R120" s="136"/>
      <c r="S120" s="137"/>
      <c r="T120" s="137">
        <v>4800</v>
      </c>
      <c r="U120" s="137">
        <v>2400</v>
      </c>
      <c r="V120" s="136"/>
      <c r="W120" s="136"/>
      <c r="X120" s="136"/>
      <c r="Y120" s="137"/>
      <c r="Z120" s="137">
        <v>2400</v>
      </c>
      <c r="AA120" s="137">
        <v>1200</v>
      </c>
      <c r="AB120" s="136"/>
      <c r="AC120" s="136"/>
      <c r="AD120" s="136"/>
      <c r="AE120" s="137"/>
      <c r="AF120" s="137"/>
      <c r="AG120" s="137"/>
      <c r="AH120" s="137">
        <f>SUM(AH121)</f>
        <v>10800</v>
      </c>
      <c r="AI120" s="137">
        <f>SUM(AI121)</f>
        <v>10800</v>
      </c>
      <c r="AJ120" s="137"/>
      <c r="AK120" s="137"/>
      <c r="AL120" s="137"/>
      <c r="AM120" s="137"/>
      <c r="AN120" s="137"/>
      <c r="AO120" s="150"/>
      <c r="AP120" s="130"/>
      <c r="AQ120" s="130"/>
    </row>
    <row r="121" spans="1:43" ht="46.8">
      <c r="A121" s="175" t="s">
        <v>691</v>
      </c>
      <c r="B121" s="146" t="s">
        <v>692</v>
      </c>
      <c r="C121" s="140">
        <v>450</v>
      </c>
      <c r="D121" s="141" t="s">
        <v>604</v>
      </c>
      <c r="E121" s="160" t="s">
        <v>693</v>
      </c>
      <c r="F121" s="176" t="s">
        <v>52</v>
      </c>
      <c r="G121" s="158">
        <v>100</v>
      </c>
      <c r="H121" s="158"/>
      <c r="I121" s="158"/>
      <c r="J121" s="142"/>
      <c r="K121" s="142"/>
      <c r="L121" s="142"/>
      <c r="M121" s="143"/>
      <c r="N121" s="143"/>
      <c r="O121" s="143"/>
      <c r="P121" s="142"/>
      <c r="Q121" s="142">
        <v>200</v>
      </c>
      <c r="R121" s="142">
        <v>100</v>
      </c>
      <c r="S121" s="143"/>
      <c r="T121" s="143">
        <v>4800</v>
      </c>
      <c r="U121" s="143">
        <v>2400</v>
      </c>
      <c r="V121" s="142"/>
      <c r="W121" s="142">
        <v>100</v>
      </c>
      <c r="X121" s="142">
        <v>50</v>
      </c>
      <c r="Y121" s="143"/>
      <c r="Z121" s="143">
        <v>2400</v>
      </c>
      <c r="AA121" s="143">
        <v>1200</v>
      </c>
      <c r="AB121" s="142"/>
      <c r="AC121" s="142"/>
      <c r="AD121" s="142"/>
      <c r="AE121" s="143"/>
      <c r="AF121" s="143"/>
      <c r="AG121" s="143"/>
      <c r="AH121" s="143">
        <v>10800</v>
      </c>
      <c r="AI121" s="172">
        <v>10800</v>
      </c>
      <c r="AJ121" s="143"/>
      <c r="AK121" s="143"/>
      <c r="AL121" s="143"/>
      <c r="AM121" s="143"/>
      <c r="AN121" s="143"/>
      <c r="AO121" s="145" t="s">
        <v>422</v>
      </c>
      <c r="AP121" s="146" t="s">
        <v>423</v>
      </c>
      <c r="AQ121" s="146"/>
    </row>
    <row r="122" spans="1:43" ht="46.8">
      <c r="A122" s="119" t="s">
        <v>694</v>
      </c>
      <c r="B122" s="120" t="s">
        <v>695</v>
      </c>
      <c r="C122" s="121"/>
      <c r="D122" s="122"/>
      <c r="E122" s="170"/>
      <c r="F122" s="171"/>
      <c r="G122" s="124">
        <v>1</v>
      </c>
      <c r="H122" s="124">
        <v>1</v>
      </c>
      <c r="I122" s="124"/>
      <c r="J122" s="125"/>
      <c r="K122" s="125"/>
      <c r="L122" s="125"/>
      <c r="M122" s="126"/>
      <c r="N122" s="126"/>
      <c r="O122" s="126">
        <f t="shared" ref="O122:U122" si="88">O123+O125+O127</f>
        <v>33000</v>
      </c>
      <c r="P122" s="125"/>
      <c r="Q122" s="125"/>
      <c r="R122" s="125"/>
      <c r="S122" s="126">
        <f t="shared" si="88"/>
        <v>33000</v>
      </c>
      <c r="T122" s="126">
        <f t="shared" si="88"/>
        <v>26400</v>
      </c>
      <c r="U122" s="126">
        <f t="shared" si="88"/>
        <v>3000</v>
      </c>
      <c r="V122" s="125"/>
      <c r="W122" s="125"/>
      <c r="X122" s="125"/>
      <c r="Y122" s="126"/>
      <c r="Z122" s="126"/>
      <c r="AA122" s="126"/>
      <c r="AB122" s="125"/>
      <c r="AC122" s="125"/>
      <c r="AD122" s="125"/>
      <c r="AE122" s="126"/>
      <c r="AF122" s="126"/>
      <c r="AG122" s="126"/>
      <c r="AH122" s="126">
        <f>AH123+AH125+AH127</f>
        <v>95400</v>
      </c>
      <c r="AI122" s="126">
        <f>AI123+AI125+AI127</f>
        <v>95400</v>
      </c>
      <c r="AJ122" s="126"/>
      <c r="AK122" s="126"/>
      <c r="AL122" s="126"/>
      <c r="AM122" s="126"/>
      <c r="AN122" s="126"/>
      <c r="AO122" s="127"/>
      <c r="AP122" s="120"/>
      <c r="AQ122" s="120"/>
    </row>
    <row r="123" spans="1:43" ht="62.4">
      <c r="A123" s="129" t="s">
        <v>696</v>
      </c>
      <c r="B123" s="130" t="s">
        <v>697</v>
      </c>
      <c r="C123" s="131"/>
      <c r="D123" s="132"/>
      <c r="E123" s="174"/>
      <c r="F123" s="149"/>
      <c r="G123" s="134">
        <v>6</v>
      </c>
      <c r="H123" s="134"/>
      <c r="I123" s="135">
        <v>6</v>
      </c>
      <c r="J123" s="136"/>
      <c r="K123" s="136"/>
      <c r="L123" s="136"/>
      <c r="M123" s="137"/>
      <c r="N123" s="137"/>
      <c r="O123" s="137"/>
      <c r="P123" s="136"/>
      <c r="Q123" s="136"/>
      <c r="R123" s="136"/>
      <c r="S123" s="137"/>
      <c r="T123" s="137">
        <v>2400</v>
      </c>
      <c r="U123" s="137">
        <v>3000</v>
      </c>
      <c r="V123" s="136"/>
      <c r="W123" s="136"/>
      <c r="X123" s="136"/>
      <c r="Y123" s="137"/>
      <c r="Z123" s="137"/>
      <c r="AA123" s="137"/>
      <c r="AB123" s="136"/>
      <c r="AC123" s="136"/>
      <c r="AD123" s="136"/>
      <c r="AE123" s="137"/>
      <c r="AF123" s="137"/>
      <c r="AG123" s="137"/>
      <c r="AH123" s="137">
        <f>SUM(AH124)</f>
        <v>5400</v>
      </c>
      <c r="AI123" s="137">
        <f>SUM(AI124)</f>
        <v>5400</v>
      </c>
      <c r="AJ123" s="137"/>
      <c r="AK123" s="137"/>
      <c r="AL123" s="137"/>
      <c r="AM123" s="137"/>
      <c r="AN123" s="137"/>
      <c r="AO123" s="150"/>
      <c r="AP123" s="130"/>
      <c r="AQ123" s="130"/>
    </row>
    <row r="124" spans="1:43" ht="46.8">
      <c r="A124" s="152" t="s">
        <v>698</v>
      </c>
      <c r="B124" s="173" t="s">
        <v>699</v>
      </c>
      <c r="C124" s="140">
        <v>360</v>
      </c>
      <c r="D124" s="141" t="s">
        <v>445</v>
      </c>
      <c r="E124" s="160" t="s">
        <v>700</v>
      </c>
      <c r="F124" s="176" t="s">
        <v>52</v>
      </c>
      <c r="G124" s="158">
        <v>100</v>
      </c>
      <c r="H124" s="158"/>
      <c r="I124" s="158"/>
      <c r="J124" s="142"/>
      <c r="K124" s="142"/>
      <c r="L124" s="142"/>
      <c r="M124" s="143"/>
      <c r="N124" s="143"/>
      <c r="O124" s="143"/>
      <c r="P124" s="142"/>
      <c r="Q124" s="142">
        <v>160</v>
      </c>
      <c r="R124" s="142">
        <v>200</v>
      </c>
      <c r="S124" s="143"/>
      <c r="T124" s="143">
        <v>2400</v>
      </c>
      <c r="U124" s="143">
        <v>3000</v>
      </c>
      <c r="V124" s="142"/>
      <c r="W124" s="142"/>
      <c r="X124" s="142"/>
      <c r="Y124" s="143"/>
      <c r="Z124" s="143"/>
      <c r="AA124" s="143"/>
      <c r="AB124" s="142"/>
      <c r="AC124" s="142"/>
      <c r="AD124" s="142"/>
      <c r="AE124" s="143"/>
      <c r="AF124" s="143"/>
      <c r="AG124" s="143"/>
      <c r="AH124" s="143">
        <v>5400</v>
      </c>
      <c r="AI124" s="172">
        <v>5400</v>
      </c>
      <c r="AJ124" s="143"/>
      <c r="AK124" s="143"/>
      <c r="AL124" s="143"/>
      <c r="AM124" s="143"/>
      <c r="AN124" s="143"/>
      <c r="AO124" s="145" t="s">
        <v>422</v>
      </c>
      <c r="AP124" s="146" t="s">
        <v>423</v>
      </c>
      <c r="AQ124" s="146"/>
    </row>
    <row r="125" spans="1:43" ht="46.8">
      <c r="A125" s="129" t="s">
        <v>701</v>
      </c>
      <c r="B125" s="130" t="s">
        <v>702</v>
      </c>
      <c r="C125" s="131"/>
      <c r="D125" s="132"/>
      <c r="E125" s="174"/>
      <c r="F125" s="149"/>
      <c r="G125" s="134">
        <v>85</v>
      </c>
      <c r="H125" s="134"/>
      <c r="I125" s="135">
        <v>85</v>
      </c>
      <c r="J125" s="136"/>
      <c r="K125" s="136"/>
      <c r="L125" s="136"/>
      <c r="M125" s="137"/>
      <c r="N125" s="137"/>
      <c r="O125" s="137">
        <f>O126</f>
        <v>30000</v>
      </c>
      <c r="P125" s="136"/>
      <c r="Q125" s="136"/>
      <c r="R125" s="136"/>
      <c r="S125" s="137">
        <v>30000</v>
      </c>
      <c r="T125" s="137">
        <v>21000</v>
      </c>
      <c r="U125" s="137"/>
      <c r="V125" s="136"/>
      <c r="W125" s="136"/>
      <c r="X125" s="136"/>
      <c r="Y125" s="137"/>
      <c r="Z125" s="137"/>
      <c r="AA125" s="137"/>
      <c r="AB125" s="136"/>
      <c r="AC125" s="136"/>
      <c r="AD125" s="136"/>
      <c r="AE125" s="137"/>
      <c r="AF125" s="137"/>
      <c r="AG125" s="137"/>
      <c r="AH125" s="137">
        <f>SUM(AH126)</f>
        <v>81000</v>
      </c>
      <c r="AI125" s="206">
        <f>SUM(AI126)</f>
        <v>81000</v>
      </c>
      <c r="AJ125" s="137"/>
      <c r="AK125" s="137"/>
      <c r="AL125" s="137"/>
      <c r="AM125" s="137"/>
      <c r="AN125" s="137"/>
      <c r="AO125" s="150"/>
      <c r="AP125" s="130"/>
      <c r="AQ125" s="130"/>
    </row>
    <row r="126" spans="1:43" ht="46.8">
      <c r="A126" s="175" t="s">
        <v>703</v>
      </c>
      <c r="B126" s="146" t="s">
        <v>704</v>
      </c>
      <c r="C126" s="140">
        <v>2700</v>
      </c>
      <c r="D126" s="141" t="s">
        <v>478</v>
      </c>
      <c r="E126" s="160" t="s">
        <v>705</v>
      </c>
      <c r="F126" s="176" t="s">
        <v>52</v>
      </c>
      <c r="G126" s="158">
        <v>100</v>
      </c>
      <c r="H126" s="158"/>
      <c r="I126" s="158"/>
      <c r="J126" s="142"/>
      <c r="K126" s="142"/>
      <c r="L126" s="142">
        <v>1000</v>
      </c>
      <c r="M126" s="143"/>
      <c r="N126" s="143"/>
      <c r="O126" s="143">
        <v>30000</v>
      </c>
      <c r="P126" s="142">
        <v>1000</v>
      </c>
      <c r="Q126" s="142">
        <v>700</v>
      </c>
      <c r="R126" s="142"/>
      <c r="S126" s="143">
        <v>30000</v>
      </c>
      <c r="T126" s="143">
        <v>21000</v>
      </c>
      <c r="U126" s="143"/>
      <c r="V126" s="142"/>
      <c r="W126" s="142"/>
      <c r="X126" s="142"/>
      <c r="Y126" s="143"/>
      <c r="Z126" s="143"/>
      <c r="AA126" s="143"/>
      <c r="AB126" s="142"/>
      <c r="AC126" s="142"/>
      <c r="AD126" s="142"/>
      <c r="AE126" s="143"/>
      <c r="AF126" s="143"/>
      <c r="AG126" s="143"/>
      <c r="AH126" s="143">
        <v>81000</v>
      </c>
      <c r="AI126" s="172">
        <v>81000</v>
      </c>
      <c r="AJ126" s="143"/>
      <c r="AK126" s="143"/>
      <c r="AL126" s="143"/>
      <c r="AM126" s="143"/>
      <c r="AN126" s="143"/>
      <c r="AO126" s="145" t="s">
        <v>422</v>
      </c>
      <c r="AP126" s="146" t="s">
        <v>423</v>
      </c>
      <c r="AQ126" s="146"/>
    </row>
    <row r="127" spans="1:43" ht="62.4">
      <c r="A127" s="129" t="s">
        <v>706</v>
      </c>
      <c r="B127" s="130" t="s">
        <v>707</v>
      </c>
      <c r="C127" s="131"/>
      <c r="D127" s="132"/>
      <c r="E127" s="174"/>
      <c r="F127" s="149"/>
      <c r="G127" s="134">
        <v>9</v>
      </c>
      <c r="H127" s="134"/>
      <c r="I127" s="135">
        <v>9</v>
      </c>
      <c r="J127" s="136"/>
      <c r="K127" s="136"/>
      <c r="L127" s="136"/>
      <c r="M127" s="137"/>
      <c r="N127" s="137"/>
      <c r="O127" s="137">
        <f>O128</f>
        <v>3000</v>
      </c>
      <c r="P127" s="136"/>
      <c r="Q127" s="136"/>
      <c r="R127" s="136"/>
      <c r="S127" s="137">
        <v>3000</v>
      </c>
      <c r="T127" s="137">
        <v>3000</v>
      </c>
      <c r="U127" s="137"/>
      <c r="V127" s="136"/>
      <c r="W127" s="136"/>
      <c r="X127" s="136"/>
      <c r="Y127" s="137"/>
      <c r="Z127" s="137"/>
      <c r="AA127" s="137"/>
      <c r="AB127" s="136"/>
      <c r="AC127" s="136"/>
      <c r="AD127" s="136"/>
      <c r="AE127" s="137"/>
      <c r="AF127" s="137"/>
      <c r="AG127" s="137"/>
      <c r="AH127" s="137">
        <f>SUM(AH128)</f>
        <v>9000</v>
      </c>
      <c r="AI127" s="137">
        <f>SUM(AI128)</f>
        <v>9000</v>
      </c>
      <c r="AJ127" s="137"/>
      <c r="AK127" s="137"/>
      <c r="AL127" s="137"/>
      <c r="AM127" s="137"/>
      <c r="AN127" s="137"/>
      <c r="AO127" s="150"/>
      <c r="AP127" s="130"/>
      <c r="AQ127" s="130"/>
    </row>
    <row r="128" spans="1:43" ht="62.4">
      <c r="A128" s="152" t="s">
        <v>708</v>
      </c>
      <c r="B128" s="173" t="s">
        <v>709</v>
      </c>
      <c r="C128" s="179">
        <v>1800</v>
      </c>
      <c r="D128" s="180" t="s">
        <v>445</v>
      </c>
      <c r="E128" s="178" t="s">
        <v>710</v>
      </c>
      <c r="F128" s="181" t="s">
        <v>52</v>
      </c>
      <c r="G128" s="158">
        <v>100</v>
      </c>
      <c r="H128" s="158"/>
      <c r="I128" s="158"/>
      <c r="J128" s="142"/>
      <c r="K128" s="142"/>
      <c r="L128" s="142">
        <v>600</v>
      </c>
      <c r="M128" s="143"/>
      <c r="N128" s="143"/>
      <c r="O128" s="143">
        <v>3000</v>
      </c>
      <c r="P128" s="142">
        <v>600</v>
      </c>
      <c r="Q128" s="142">
        <v>600</v>
      </c>
      <c r="R128" s="142"/>
      <c r="S128" s="143">
        <v>3000</v>
      </c>
      <c r="T128" s="143">
        <v>3000</v>
      </c>
      <c r="U128" s="143"/>
      <c r="V128" s="142"/>
      <c r="W128" s="142"/>
      <c r="X128" s="142"/>
      <c r="Y128" s="143"/>
      <c r="Z128" s="143"/>
      <c r="AA128" s="143"/>
      <c r="AB128" s="142"/>
      <c r="AC128" s="142"/>
      <c r="AD128" s="142"/>
      <c r="AE128" s="143"/>
      <c r="AF128" s="143"/>
      <c r="AG128" s="143"/>
      <c r="AH128" s="143">
        <v>9000</v>
      </c>
      <c r="AI128" s="172">
        <v>9000</v>
      </c>
      <c r="AJ128" s="143"/>
      <c r="AK128" s="143"/>
      <c r="AL128" s="143"/>
      <c r="AM128" s="143"/>
      <c r="AN128" s="143"/>
      <c r="AO128" s="145" t="s">
        <v>422</v>
      </c>
      <c r="AP128" s="146" t="s">
        <v>423</v>
      </c>
      <c r="AQ128" s="146"/>
    </row>
    <row r="129" spans="1:43" ht="31.2">
      <c r="A129" s="119" t="s">
        <v>711</v>
      </c>
      <c r="B129" s="120" t="s">
        <v>712</v>
      </c>
      <c r="C129" s="121"/>
      <c r="D129" s="122"/>
      <c r="E129" s="170"/>
      <c r="F129" s="171"/>
      <c r="G129" s="124">
        <v>1</v>
      </c>
      <c r="H129" s="124">
        <v>1</v>
      </c>
      <c r="I129" s="124"/>
      <c r="J129" s="125"/>
      <c r="K129" s="125"/>
      <c r="L129" s="125"/>
      <c r="M129" s="126">
        <f>M130</f>
        <v>9000</v>
      </c>
      <c r="N129" s="126">
        <f t="shared" ref="N129:AG130" si="89">N130</f>
        <v>9000</v>
      </c>
      <c r="O129" s="126">
        <f>O130</f>
        <v>9000</v>
      </c>
      <c r="P129" s="125"/>
      <c r="Q129" s="125"/>
      <c r="R129" s="125"/>
      <c r="S129" s="126">
        <f t="shared" si="89"/>
        <v>9000</v>
      </c>
      <c r="T129" s="126"/>
      <c r="U129" s="126"/>
      <c r="V129" s="125"/>
      <c r="W129" s="125"/>
      <c r="X129" s="125"/>
      <c r="Y129" s="126"/>
      <c r="Z129" s="126"/>
      <c r="AA129" s="126"/>
      <c r="AB129" s="125"/>
      <c r="AC129" s="125"/>
      <c r="AD129" s="125"/>
      <c r="AE129" s="126"/>
      <c r="AF129" s="126">
        <f t="shared" si="89"/>
        <v>9000</v>
      </c>
      <c r="AG129" s="126">
        <f t="shared" si="89"/>
        <v>9000</v>
      </c>
      <c r="AH129" s="126">
        <f>AH130</f>
        <v>54000</v>
      </c>
      <c r="AI129" s="126">
        <f>AI130</f>
        <v>54000</v>
      </c>
      <c r="AJ129" s="126"/>
      <c r="AK129" s="126"/>
      <c r="AL129" s="126"/>
      <c r="AM129" s="126"/>
      <c r="AN129" s="126"/>
      <c r="AO129" s="127"/>
      <c r="AP129" s="120"/>
      <c r="AQ129" s="120"/>
    </row>
    <row r="130" spans="1:43" ht="46.8">
      <c r="A130" s="129" t="s">
        <v>713</v>
      </c>
      <c r="B130" s="130" t="s">
        <v>714</v>
      </c>
      <c r="C130" s="131"/>
      <c r="D130" s="132"/>
      <c r="E130" s="174"/>
      <c r="F130" s="149"/>
      <c r="G130" s="134">
        <v>100</v>
      </c>
      <c r="H130" s="134"/>
      <c r="I130" s="135">
        <v>100</v>
      </c>
      <c r="J130" s="136"/>
      <c r="K130" s="136"/>
      <c r="L130" s="136"/>
      <c r="M130" s="137">
        <f t="shared" ref="M130" si="90">M131</f>
        <v>9000</v>
      </c>
      <c r="N130" s="137">
        <f t="shared" si="89"/>
        <v>9000</v>
      </c>
      <c r="O130" s="137">
        <f>O131</f>
        <v>9000</v>
      </c>
      <c r="P130" s="136"/>
      <c r="Q130" s="136"/>
      <c r="R130" s="136"/>
      <c r="S130" s="137">
        <v>9000</v>
      </c>
      <c r="T130" s="137"/>
      <c r="U130" s="137"/>
      <c r="V130" s="136"/>
      <c r="W130" s="136"/>
      <c r="X130" s="136"/>
      <c r="Y130" s="137"/>
      <c r="Z130" s="137"/>
      <c r="AA130" s="137"/>
      <c r="AB130" s="136"/>
      <c r="AC130" s="136"/>
      <c r="AD130" s="136"/>
      <c r="AE130" s="137"/>
      <c r="AF130" s="137">
        <v>9000</v>
      </c>
      <c r="AG130" s="137">
        <v>9000</v>
      </c>
      <c r="AH130" s="137">
        <f>SUM(AH131)</f>
        <v>54000</v>
      </c>
      <c r="AI130" s="206">
        <f>SUM(AI131)</f>
        <v>54000</v>
      </c>
      <c r="AJ130" s="137"/>
      <c r="AK130" s="137"/>
      <c r="AL130" s="137"/>
      <c r="AM130" s="137"/>
      <c r="AN130" s="137"/>
      <c r="AO130" s="150"/>
      <c r="AP130" s="130"/>
      <c r="AQ130" s="130"/>
    </row>
    <row r="131" spans="1:43" ht="46.8">
      <c r="A131" s="175" t="s">
        <v>715</v>
      </c>
      <c r="B131" s="146" t="s">
        <v>716</v>
      </c>
      <c r="C131" s="140">
        <v>800</v>
      </c>
      <c r="D131" s="141" t="s">
        <v>445</v>
      </c>
      <c r="E131" s="160" t="s">
        <v>717</v>
      </c>
      <c r="F131" s="176" t="s">
        <v>52</v>
      </c>
      <c r="G131" s="158">
        <v>100</v>
      </c>
      <c r="H131" s="158"/>
      <c r="I131" s="158"/>
      <c r="J131" s="140">
        <v>800</v>
      </c>
      <c r="K131" s="140">
        <v>800</v>
      </c>
      <c r="L131" s="140">
        <v>800</v>
      </c>
      <c r="M131" s="143">
        <v>9000</v>
      </c>
      <c r="N131" s="143">
        <v>9000</v>
      </c>
      <c r="O131" s="143">
        <v>9000</v>
      </c>
      <c r="P131" s="140">
        <v>800</v>
      </c>
      <c r="Q131" s="142"/>
      <c r="R131" s="142"/>
      <c r="S131" s="143">
        <v>9000</v>
      </c>
      <c r="T131" s="143"/>
      <c r="U131" s="143"/>
      <c r="V131" s="142"/>
      <c r="W131" s="142"/>
      <c r="X131" s="142"/>
      <c r="Y131" s="143"/>
      <c r="Z131" s="143"/>
      <c r="AA131" s="143"/>
      <c r="AB131" s="142"/>
      <c r="AC131" s="140">
        <v>800</v>
      </c>
      <c r="AD131" s="140">
        <v>800</v>
      </c>
      <c r="AE131" s="143"/>
      <c r="AF131" s="143">
        <v>9000</v>
      </c>
      <c r="AG131" s="143">
        <v>9000</v>
      </c>
      <c r="AH131" s="143">
        <v>54000</v>
      </c>
      <c r="AI131" s="172">
        <v>54000</v>
      </c>
      <c r="AJ131" s="143"/>
      <c r="AK131" s="143"/>
      <c r="AL131" s="143"/>
      <c r="AM131" s="143"/>
      <c r="AN131" s="143"/>
      <c r="AO131" s="145" t="s">
        <v>422</v>
      </c>
      <c r="AP131" s="146" t="s">
        <v>423</v>
      </c>
      <c r="AQ131" s="146" t="s">
        <v>436</v>
      </c>
    </row>
    <row r="132" spans="1:43" ht="46.8">
      <c r="A132" s="108" t="s">
        <v>718</v>
      </c>
      <c r="B132" s="109" t="s">
        <v>719</v>
      </c>
      <c r="C132" s="110"/>
      <c r="D132" s="111"/>
      <c r="E132" s="252"/>
      <c r="F132" s="253"/>
      <c r="G132" s="113"/>
      <c r="H132" s="113"/>
      <c r="I132" s="113"/>
      <c r="J132" s="115"/>
      <c r="K132" s="115"/>
      <c r="L132" s="115"/>
      <c r="M132" s="116"/>
      <c r="N132" s="116"/>
      <c r="O132" s="116"/>
      <c r="P132" s="115"/>
      <c r="Q132" s="115"/>
      <c r="R132" s="115"/>
      <c r="S132" s="116"/>
      <c r="T132" s="116"/>
      <c r="U132" s="116"/>
      <c r="V132" s="115"/>
      <c r="W132" s="115"/>
      <c r="X132" s="115"/>
      <c r="Y132" s="116"/>
      <c r="Z132" s="116"/>
      <c r="AA132" s="116"/>
      <c r="AB132" s="115"/>
      <c r="AC132" s="115"/>
      <c r="AD132" s="115"/>
      <c r="AE132" s="116">
        <f>AE133</f>
        <v>1260</v>
      </c>
      <c r="AF132" s="116">
        <f>AF133</f>
        <v>1890</v>
      </c>
      <c r="AG132" s="116">
        <f>AG133</f>
        <v>0</v>
      </c>
      <c r="AH132" s="116">
        <f>AH133</f>
        <v>3150</v>
      </c>
      <c r="AI132" s="116">
        <f>AI133</f>
        <v>3150</v>
      </c>
      <c r="AJ132" s="116"/>
      <c r="AK132" s="116"/>
      <c r="AL132" s="116"/>
      <c r="AM132" s="116"/>
      <c r="AN132" s="116"/>
      <c r="AO132" s="227"/>
      <c r="AP132" s="109"/>
      <c r="AQ132" s="109"/>
    </row>
    <row r="133" spans="1:43" ht="62.4">
      <c r="A133" s="119" t="s">
        <v>720</v>
      </c>
      <c r="B133" s="120" t="s">
        <v>721</v>
      </c>
      <c r="C133" s="121"/>
      <c r="D133" s="122"/>
      <c r="E133" s="170"/>
      <c r="F133" s="171"/>
      <c r="G133" s="124">
        <v>0</v>
      </c>
      <c r="H133" s="124">
        <v>0</v>
      </c>
      <c r="I133" s="124"/>
      <c r="J133" s="125"/>
      <c r="K133" s="125"/>
      <c r="L133" s="125"/>
      <c r="M133" s="126"/>
      <c r="N133" s="126"/>
      <c r="O133" s="126"/>
      <c r="P133" s="125"/>
      <c r="Q133" s="125"/>
      <c r="R133" s="125"/>
      <c r="S133" s="126"/>
      <c r="T133" s="126"/>
      <c r="U133" s="126"/>
      <c r="V133" s="125"/>
      <c r="W133" s="125"/>
      <c r="X133" s="125"/>
      <c r="Y133" s="126"/>
      <c r="Z133" s="126"/>
      <c r="AA133" s="126"/>
      <c r="AB133" s="125"/>
      <c r="AC133" s="125"/>
      <c r="AD133" s="125"/>
      <c r="AE133" s="126">
        <f t="shared" ref="AE133:AI133" si="91">AE134</f>
        <v>1260</v>
      </c>
      <c r="AF133" s="126">
        <f t="shared" si="91"/>
        <v>1890</v>
      </c>
      <c r="AG133" s="126">
        <f t="shared" si="91"/>
        <v>0</v>
      </c>
      <c r="AH133" s="126">
        <f t="shared" si="91"/>
        <v>3150</v>
      </c>
      <c r="AI133" s="126">
        <f t="shared" si="91"/>
        <v>3150</v>
      </c>
      <c r="AJ133" s="126"/>
      <c r="AK133" s="126"/>
      <c r="AL133" s="126"/>
      <c r="AM133" s="126"/>
      <c r="AN133" s="126"/>
      <c r="AO133" s="127"/>
      <c r="AP133" s="120"/>
      <c r="AQ133" s="120"/>
    </row>
    <row r="134" spans="1:43" ht="46.8">
      <c r="A134" s="129" t="s">
        <v>722</v>
      </c>
      <c r="B134" s="130" t="s">
        <v>723</v>
      </c>
      <c r="C134" s="131"/>
      <c r="D134" s="132"/>
      <c r="E134" s="174"/>
      <c r="F134" s="149"/>
      <c r="G134" s="134">
        <v>100</v>
      </c>
      <c r="H134" s="134"/>
      <c r="I134" s="135">
        <v>100</v>
      </c>
      <c r="J134" s="136"/>
      <c r="K134" s="136"/>
      <c r="L134" s="136"/>
      <c r="M134" s="137"/>
      <c r="N134" s="137"/>
      <c r="O134" s="137"/>
      <c r="P134" s="136"/>
      <c r="Q134" s="136"/>
      <c r="R134" s="136"/>
      <c r="S134" s="137"/>
      <c r="T134" s="137"/>
      <c r="U134" s="137"/>
      <c r="V134" s="136"/>
      <c r="W134" s="136"/>
      <c r="X134" s="136"/>
      <c r="Y134" s="137"/>
      <c r="Z134" s="137"/>
      <c r="AA134" s="137"/>
      <c r="AB134" s="136"/>
      <c r="AC134" s="136"/>
      <c r="AD134" s="136"/>
      <c r="AE134" s="137">
        <v>1260</v>
      </c>
      <c r="AF134" s="137">
        <v>1890</v>
      </c>
      <c r="AG134" s="137"/>
      <c r="AH134" s="137">
        <f>SUM(AH135)</f>
        <v>3150</v>
      </c>
      <c r="AI134" s="206">
        <f>SUM(AI135)</f>
        <v>3150</v>
      </c>
      <c r="AJ134" s="137"/>
      <c r="AK134" s="137"/>
      <c r="AL134" s="137"/>
      <c r="AM134" s="137"/>
      <c r="AN134" s="137"/>
      <c r="AO134" s="150"/>
      <c r="AP134" s="130"/>
      <c r="AQ134" s="130"/>
    </row>
    <row r="135" spans="1:43" ht="78">
      <c r="A135" s="152" t="s">
        <v>724</v>
      </c>
      <c r="B135" s="173" t="s">
        <v>725</v>
      </c>
      <c r="C135" s="140">
        <v>50</v>
      </c>
      <c r="D135" s="141" t="s">
        <v>445</v>
      </c>
      <c r="E135" s="160" t="s">
        <v>726</v>
      </c>
      <c r="F135" s="176" t="s">
        <v>52</v>
      </c>
      <c r="G135" s="158">
        <v>100</v>
      </c>
      <c r="H135" s="158"/>
      <c r="I135" s="158"/>
      <c r="J135" s="142"/>
      <c r="K135" s="142"/>
      <c r="L135" s="142"/>
      <c r="M135" s="143"/>
      <c r="N135" s="143"/>
      <c r="O135" s="143"/>
      <c r="P135" s="142"/>
      <c r="Q135" s="142"/>
      <c r="R135" s="142"/>
      <c r="S135" s="143"/>
      <c r="T135" s="143"/>
      <c r="U135" s="143"/>
      <c r="V135" s="142"/>
      <c r="W135" s="142"/>
      <c r="X135" s="142"/>
      <c r="Y135" s="143"/>
      <c r="Z135" s="143"/>
      <c r="AA135" s="143"/>
      <c r="AB135" s="142">
        <v>20</v>
      </c>
      <c r="AC135" s="142">
        <v>30</v>
      </c>
      <c r="AD135" s="142"/>
      <c r="AE135" s="143">
        <v>1260</v>
      </c>
      <c r="AF135" s="143">
        <v>1890</v>
      </c>
      <c r="AG135" s="143"/>
      <c r="AH135" s="143">
        <v>3150</v>
      </c>
      <c r="AI135" s="172">
        <v>3150</v>
      </c>
      <c r="AJ135" s="143"/>
      <c r="AK135" s="143"/>
      <c r="AL135" s="143"/>
      <c r="AM135" s="143"/>
      <c r="AN135" s="143"/>
      <c r="AO135" s="145" t="s">
        <v>422</v>
      </c>
      <c r="AP135" s="146" t="s">
        <v>423</v>
      </c>
      <c r="AQ135" s="146"/>
    </row>
    <row r="136" spans="1:43" ht="31.2">
      <c r="A136" s="96" t="s">
        <v>727</v>
      </c>
      <c r="B136" s="97" t="s">
        <v>728</v>
      </c>
      <c r="C136" s="98"/>
      <c r="D136" s="99"/>
      <c r="E136" s="248"/>
      <c r="F136" s="249"/>
      <c r="G136" s="101"/>
      <c r="H136" s="101"/>
      <c r="I136" s="101"/>
      <c r="J136" s="105"/>
      <c r="K136" s="105"/>
      <c r="L136" s="105"/>
      <c r="M136" s="104"/>
      <c r="N136" s="104"/>
      <c r="O136" s="104">
        <f>O137</f>
        <v>625</v>
      </c>
      <c r="P136" s="105"/>
      <c r="Q136" s="105"/>
      <c r="R136" s="105"/>
      <c r="S136" s="104"/>
      <c r="T136" s="104">
        <v>625</v>
      </c>
      <c r="U136" s="104"/>
      <c r="V136" s="105"/>
      <c r="W136" s="105"/>
      <c r="X136" s="105"/>
      <c r="Y136" s="104"/>
      <c r="Z136" s="104"/>
      <c r="AA136" s="104">
        <v>625</v>
      </c>
      <c r="AB136" s="105"/>
      <c r="AC136" s="105"/>
      <c r="AD136" s="105"/>
      <c r="AE136" s="104"/>
      <c r="AF136" s="104"/>
      <c r="AG136" s="104">
        <v>625</v>
      </c>
      <c r="AH136" s="250">
        <f>SUM(AH137)</f>
        <v>2500</v>
      </c>
      <c r="AI136" s="250">
        <f>SUM(AI137)</f>
        <v>2500</v>
      </c>
      <c r="AJ136" s="104"/>
      <c r="AK136" s="104"/>
      <c r="AL136" s="104"/>
      <c r="AM136" s="104"/>
      <c r="AN136" s="104"/>
      <c r="AO136" s="251"/>
      <c r="AP136" s="97"/>
      <c r="AQ136" s="97"/>
    </row>
    <row r="137" spans="1:43" ht="93.6">
      <c r="A137" s="108" t="s">
        <v>729</v>
      </c>
      <c r="B137" s="109" t="s">
        <v>325</v>
      </c>
      <c r="C137" s="110"/>
      <c r="D137" s="111"/>
      <c r="E137" s="252"/>
      <c r="F137" s="253"/>
      <c r="G137" s="113"/>
      <c r="H137" s="113"/>
      <c r="I137" s="113"/>
      <c r="J137" s="115"/>
      <c r="K137" s="115"/>
      <c r="L137" s="115"/>
      <c r="M137" s="116"/>
      <c r="N137" s="116"/>
      <c r="O137" s="116">
        <f>O138</f>
        <v>625</v>
      </c>
      <c r="P137" s="115"/>
      <c r="Q137" s="115"/>
      <c r="R137" s="115"/>
      <c r="S137" s="116"/>
      <c r="T137" s="116">
        <f>T138</f>
        <v>625</v>
      </c>
      <c r="U137" s="116"/>
      <c r="V137" s="115"/>
      <c r="W137" s="115"/>
      <c r="X137" s="115"/>
      <c r="Y137" s="116"/>
      <c r="Z137" s="116"/>
      <c r="AA137" s="116">
        <f>AA138</f>
        <v>625</v>
      </c>
      <c r="AB137" s="115"/>
      <c r="AC137" s="115"/>
      <c r="AD137" s="115"/>
      <c r="AE137" s="116"/>
      <c r="AF137" s="116"/>
      <c r="AG137" s="116">
        <f>AG138</f>
        <v>625</v>
      </c>
      <c r="AH137" s="116">
        <f>AH138</f>
        <v>2500</v>
      </c>
      <c r="AI137" s="116">
        <f>AI138</f>
        <v>2500</v>
      </c>
      <c r="AJ137" s="116"/>
      <c r="AK137" s="116"/>
      <c r="AL137" s="116"/>
      <c r="AM137" s="116"/>
      <c r="AN137" s="116"/>
      <c r="AO137" s="227"/>
      <c r="AP137" s="109"/>
      <c r="AQ137" s="109"/>
    </row>
    <row r="138" spans="1:43" ht="31.2">
      <c r="A138" s="119" t="s">
        <v>730</v>
      </c>
      <c r="B138" s="120" t="s">
        <v>327</v>
      </c>
      <c r="C138" s="121"/>
      <c r="D138" s="122"/>
      <c r="E138" s="170"/>
      <c r="F138" s="171"/>
      <c r="G138" s="124">
        <v>0</v>
      </c>
      <c r="H138" s="124">
        <v>0</v>
      </c>
      <c r="I138" s="124"/>
      <c r="J138" s="125"/>
      <c r="K138" s="125"/>
      <c r="L138" s="125"/>
      <c r="M138" s="126"/>
      <c r="N138" s="126"/>
      <c r="O138" s="126">
        <f>O139</f>
        <v>625</v>
      </c>
      <c r="P138" s="125"/>
      <c r="Q138" s="125"/>
      <c r="R138" s="125"/>
      <c r="S138" s="126"/>
      <c r="T138" s="126">
        <v>625</v>
      </c>
      <c r="U138" s="126"/>
      <c r="V138" s="125"/>
      <c r="W138" s="125"/>
      <c r="X138" s="125"/>
      <c r="Y138" s="126"/>
      <c r="Z138" s="126"/>
      <c r="AA138" s="126">
        <v>625</v>
      </c>
      <c r="AB138" s="125"/>
      <c r="AC138" s="125"/>
      <c r="AD138" s="125"/>
      <c r="AE138" s="126"/>
      <c r="AF138" s="126"/>
      <c r="AG138" s="126">
        <v>625</v>
      </c>
      <c r="AH138" s="126">
        <f>(AH139)</f>
        <v>2500</v>
      </c>
      <c r="AI138" s="126">
        <f>(AI139)</f>
        <v>2500</v>
      </c>
      <c r="AJ138" s="126"/>
      <c r="AK138" s="126"/>
      <c r="AL138" s="126"/>
      <c r="AM138" s="126"/>
      <c r="AN138" s="126"/>
      <c r="AO138" s="127"/>
      <c r="AP138" s="120"/>
      <c r="AQ138" s="120"/>
    </row>
    <row r="139" spans="1:43" ht="93.6">
      <c r="A139" s="129" t="s">
        <v>731</v>
      </c>
      <c r="B139" s="265" t="s">
        <v>732</v>
      </c>
      <c r="C139" s="131"/>
      <c r="D139" s="266"/>
      <c r="E139" s="267"/>
      <c r="F139" s="261"/>
      <c r="G139" s="134">
        <v>100</v>
      </c>
      <c r="H139" s="134"/>
      <c r="I139" s="135">
        <v>100</v>
      </c>
      <c r="J139" s="136"/>
      <c r="K139" s="136"/>
      <c r="L139" s="136"/>
      <c r="M139" s="137"/>
      <c r="N139" s="137"/>
      <c r="O139" s="137">
        <f>O140</f>
        <v>625</v>
      </c>
      <c r="P139" s="136"/>
      <c r="Q139" s="136"/>
      <c r="R139" s="136"/>
      <c r="S139" s="137"/>
      <c r="T139" s="137">
        <v>625</v>
      </c>
      <c r="U139" s="137"/>
      <c r="V139" s="136"/>
      <c r="W139" s="136"/>
      <c r="X139" s="136"/>
      <c r="Y139" s="137"/>
      <c r="Z139" s="137"/>
      <c r="AA139" s="137">
        <v>625</v>
      </c>
      <c r="AB139" s="136"/>
      <c r="AC139" s="136"/>
      <c r="AD139" s="136"/>
      <c r="AE139" s="137"/>
      <c r="AF139" s="137"/>
      <c r="AG139" s="137">
        <v>625</v>
      </c>
      <c r="AH139" s="137">
        <f>SUM(AH140)</f>
        <v>2500</v>
      </c>
      <c r="AI139" s="206">
        <f>SUM(AI140)</f>
        <v>2500</v>
      </c>
      <c r="AJ139" s="137"/>
      <c r="AK139" s="137"/>
      <c r="AL139" s="137"/>
      <c r="AM139" s="137"/>
      <c r="AN139" s="137"/>
      <c r="AO139" s="150"/>
      <c r="AP139" s="130"/>
      <c r="AQ139" s="130"/>
    </row>
    <row r="140" spans="1:43" ht="78">
      <c r="A140" s="175" t="s">
        <v>733</v>
      </c>
      <c r="B140" s="146" t="s">
        <v>734</v>
      </c>
      <c r="C140" s="140">
        <v>4</v>
      </c>
      <c r="D140" s="141" t="s">
        <v>52</v>
      </c>
      <c r="E140" s="146" t="s">
        <v>735</v>
      </c>
      <c r="F140" s="268" t="s">
        <v>52</v>
      </c>
      <c r="G140" s="158">
        <v>100</v>
      </c>
      <c r="H140" s="158"/>
      <c r="I140" s="158"/>
      <c r="J140" s="142"/>
      <c r="K140" s="142"/>
      <c r="L140" s="142">
        <v>1</v>
      </c>
      <c r="M140" s="143"/>
      <c r="N140" s="143"/>
      <c r="O140" s="143">
        <v>625</v>
      </c>
      <c r="P140" s="142"/>
      <c r="Q140" s="142"/>
      <c r="R140" s="142">
        <v>1</v>
      </c>
      <c r="S140" s="143"/>
      <c r="T140" s="143">
        <v>625</v>
      </c>
      <c r="U140" s="143"/>
      <c r="V140" s="142"/>
      <c r="W140" s="142"/>
      <c r="X140" s="142">
        <v>1</v>
      </c>
      <c r="Y140" s="143"/>
      <c r="Z140" s="143"/>
      <c r="AA140" s="143">
        <v>625</v>
      </c>
      <c r="AB140" s="142"/>
      <c r="AC140" s="142"/>
      <c r="AD140" s="142">
        <v>1</v>
      </c>
      <c r="AE140" s="143"/>
      <c r="AF140" s="143"/>
      <c r="AG140" s="143">
        <v>625</v>
      </c>
      <c r="AH140" s="143">
        <v>2500</v>
      </c>
      <c r="AI140" s="172">
        <v>2500</v>
      </c>
      <c r="AJ140" s="143"/>
      <c r="AK140" s="143"/>
      <c r="AL140" s="143"/>
      <c r="AM140" s="143"/>
      <c r="AN140" s="143"/>
      <c r="AO140" s="145" t="s">
        <v>441</v>
      </c>
      <c r="AP140" s="146" t="s">
        <v>736</v>
      </c>
      <c r="AQ140" s="146"/>
    </row>
    <row r="141" spans="1:43" ht="31.2">
      <c r="A141" s="96" t="s">
        <v>737</v>
      </c>
      <c r="B141" s="97" t="s">
        <v>738</v>
      </c>
      <c r="C141" s="98"/>
      <c r="D141" s="99"/>
      <c r="E141" s="248"/>
      <c r="F141" s="249"/>
      <c r="G141" s="101"/>
      <c r="H141" s="101"/>
      <c r="I141" s="101"/>
      <c r="J141" s="105"/>
      <c r="K141" s="105"/>
      <c r="L141" s="105"/>
      <c r="M141" s="104"/>
      <c r="N141" s="104"/>
      <c r="O141" s="104"/>
      <c r="P141" s="105"/>
      <c r="Q141" s="105"/>
      <c r="R141" s="105"/>
      <c r="S141" s="104">
        <f t="shared" ref="S141" si="92">S143</f>
        <v>750</v>
      </c>
      <c r="T141" s="104"/>
      <c r="U141" s="104"/>
      <c r="V141" s="105"/>
      <c r="W141" s="105"/>
      <c r="X141" s="105"/>
      <c r="Y141" s="104">
        <v>750</v>
      </c>
      <c r="Z141" s="104"/>
      <c r="AA141" s="104"/>
      <c r="AB141" s="105"/>
      <c r="AC141" s="105"/>
      <c r="AD141" s="105"/>
      <c r="AE141" s="104"/>
      <c r="AF141" s="104">
        <v>750</v>
      </c>
      <c r="AG141" s="104"/>
      <c r="AH141" s="250">
        <f t="shared" ref="AH141:AI143" si="93">AH142</f>
        <v>2250</v>
      </c>
      <c r="AI141" s="250">
        <f t="shared" si="93"/>
        <v>2250</v>
      </c>
      <c r="AJ141" s="104"/>
      <c r="AK141" s="104"/>
      <c r="AL141" s="104"/>
      <c r="AM141" s="104"/>
      <c r="AN141" s="104"/>
      <c r="AO141" s="251"/>
      <c r="AP141" s="97"/>
      <c r="AQ141" s="97"/>
    </row>
    <row r="142" spans="1:43" ht="31.2">
      <c r="A142" s="108" t="s">
        <v>739</v>
      </c>
      <c r="B142" s="109" t="s">
        <v>740</v>
      </c>
      <c r="C142" s="110"/>
      <c r="D142" s="111"/>
      <c r="E142" s="252"/>
      <c r="F142" s="253"/>
      <c r="G142" s="113"/>
      <c r="H142" s="113"/>
      <c r="I142" s="113"/>
      <c r="J142" s="115"/>
      <c r="K142" s="115"/>
      <c r="L142" s="115"/>
      <c r="M142" s="116"/>
      <c r="N142" s="116"/>
      <c r="O142" s="116"/>
      <c r="P142" s="115"/>
      <c r="Q142" s="115"/>
      <c r="R142" s="115"/>
      <c r="S142" s="116">
        <f>S143</f>
        <v>750</v>
      </c>
      <c r="T142" s="116"/>
      <c r="U142" s="116"/>
      <c r="V142" s="115"/>
      <c r="W142" s="115"/>
      <c r="X142" s="115"/>
      <c r="Y142" s="116">
        <v>750</v>
      </c>
      <c r="Z142" s="116"/>
      <c r="AA142" s="116"/>
      <c r="AB142" s="115"/>
      <c r="AC142" s="115"/>
      <c r="AD142" s="115"/>
      <c r="AE142" s="116"/>
      <c r="AF142" s="116">
        <v>750</v>
      </c>
      <c r="AG142" s="116"/>
      <c r="AH142" s="116">
        <f t="shared" si="93"/>
        <v>2250</v>
      </c>
      <c r="AI142" s="116">
        <f t="shared" si="93"/>
        <v>2250</v>
      </c>
      <c r="AJ142" s="116"/>
      <c r="AK142" s="116"/>
      <c r="AL142" s="116"/>
      <c r="AM142" s="116"/>
      <c r="AN142" s="116"/>
      <c r="AO142" s="227"/>
      <c r="AP142" s="109"/>
      <c r="AQ142" s="109"/>
    </row>
    <row r="143" spans="1:43" ht="31.2">
      <c r="A143" s="119" t="s">
        <v>741</v>
      </c>
      <c r="B143" s="120" t="s">
        <v>742</v>
      </c>
      <c r="C143" s="121"/>
      <c r="D143" s="122"/>
      <c r="E143" s="170"/>
      <c r="F143" s="171"/>
      <c r="G143" s="124">
        <v>0</v>
      </c>
      <c r="H143" s="124">
        <v>0</v>
      </c>
      <c r="I143" s="124"/>
      <c r="J143" s="125"/>
      <c r="K143" s="125"/>
      <c r="L143" s="125"/>
      <c r="M143" s="126"/>
      <c r="N143" s="126"/>
      <c r="O143" s="126"/>
      <c r="P143" s="125"/>
      <c r="Q143" s="125"/>
      <c r="R143" s="125"/>
      <c r="S143" s="126">
        <v>750</v>
      </c>
      <c r="T143" s="126"/>
      <c r="U143" s="126"/>
      <c r="V143" s="125"/>
      <c r="W143" s="125"/>
      <c r="X143" s="125"/>
      <c r="Y143" s="126">
        <v>750</v>
      </c>
      <c r="Z143" s="126"/>
      <c r="AA143" s="126"/>
      <c r="AB143" s="125"/>
      <c r="AC143" s="125"/>
      <c r="AD143" s="125"/>
      <c r="AE143" s="126"/>
      <c r="AF143" s="126">
        <v>750</v>
      </c>
      <c r="AG143" s="126"/>
      <c r="AH143" s="126">
        <f t="shared" si="93"/>
        <v>2250</v>
      </c>
      <c r="AI143" s="126">
        <f t="shared" si="93"/>
        <v>2250</v>
      </c>
      <c r="AJ143" s="126"/>
      <c r="AK143" s="126"/>
      <c r="AL143" s="126"/>
      <c r="AM143" s="126"/>
      <c r="AN143" s="126"/>
      <c r="AO143" s="127"/>
      <c r="AP143" s="120"/>
      <c r="AQ143" s="120"/>
    </row>
    <row r="144" spans="1:43" ht="46.8">
      <c r="A144" s="129" t="s">
        <v>743</v>
      </c>
      <c r="B144" s="130" t="s">
        <v>744</v>
      </c>
      <c r="C144" s="131"/>
      <c r="D144" s="269"/>
      <c r="E144" s="174"/>
      <c r="F144" s="149"/>
      <c r="G144" s="134">
        <v>100</v>
      </c>
      <c r="H144" s="134"/>
      <c r="I144" s="135">
        <v>100</v>
      </c>
      <c r="J144" s="136"/>
      <c r="K144" s="136"/>
      <c r="L144" s="136"/>
      <c r="M144" s="137"/>
      <c r="N144" s="137"/>
      <c r="O144" s="137"/>
      <c r="P144" s="136"/>
      <c r="Q144" s="136"/>
      <c r="R144" s="136"/>
      <c r="S144" s="137">
        <v>750</v>
      </c>
      <c r="T144" s="137"/>
      <c r="U144" s="137"/>
      <c r="V144" s="136"/>
      <c r="W144" s="136"/>
      <c r="X144" s="136"/>
      <c r="Y144" s="137">
        <v>750</v>
      </c>
      <c r="Z144" s="137"/>
      <c r="AA144" s="137"/>
      <c r="AB144" s="136"/>
      <c r="AC144" s="136"/>
      <c r="AD144" s="136"/>
      <c r="AE144" s="137"/>
      <c r="AF144" s="137">
        <v>750</v>
      </c>
      <c r="AG144" s="137"/>
      <c r="AH144" s="137">
        <f>SUM(AH145)</f>
        <v>2250</v>
      </c>
      <c r="AI144" s="137">
        <f>SUM(AI145)</f>
        <v>2250</v>
      </c>
      <c r="AJ144" s="137"/>
      <c r="AK144" s="137"/>
      <c r="AL144" s="137"/>
      <c r="AM144" s="137"/>
      <c r="AN144" s="137"/>
      <c r="AO144" s="150"/>
      <c r="AP144" s="130"/>
      <c r="AQ144" s="130"/>
    </row>
    <row r="145" spans="1:43" ht="62.4">
      <c r="A145" s="175" t="s">
        <v>745</v>
      </c>
      <c r="B145" s="146" t="s">
        <v>746</v>
      </c>
      <c r="C145" s="140">
        <v>45</v>
      </c>
      <c r="D145" s="141" t="s">
        <v>747</v>
      </c>
      <c r="E145" s="160" t="s">
        <v>748</v>
      </c>
      <c r="F145" s="176" t="s">
        <v>749</v>
      </c>
      <c r="G145" s="158">
        <v>100</v>
      </c>
      <c r="H145" s="158"/>
      <c r="I145" s="158"/>
      <c r="J145" s="142"/>
      <c r="K145" s="142"/>
      <c r="L145" s="142"/>
      <c r="M145" s="143"/>
      <c r="N145" s="143"/>
      <c r="O145" s="143"/>
      <c r="P145" s="142">
        <v>15</v>
      </c>
      <c r="Q145" s="142"/>
      <c r="R145" s="142"/>
      <c r="S145" s="143">
        <v>750</v>
      </c>
      <c r="T145" s="143"/>
      <c r="U145" s="143"/>
      <c r="V145" s="142">
        <v>15</v>
      </c>
      <c r="W145" s="142"/>
      <c r="X145" s="142"/>
      <c r="Y145" s="143">
        <v>750</v>
      </c>
      <c r="Z145" s="143"/>
      <c r="AA145" s="143"/>
      <c r="AB145" s="142"/>
      <c r="AC145" s="142">
        <v>15</v>
      </c>
      <c r="AD145" s="142"/>
      <c r="AE145" s="143"/>
      <c r="AF145" s="143">
        <v>750</v>
      </c>
      <c r="AG145" s="143"/>
      <c r="AH145" s="143">
        <v>2250</v>
      </c>
      <c r="AI145" s="172">
        <v>2250</v>
      </c>
      <c r="AJ145" s="143"/>
      <c r="AK145" s="143"/>
      <c r="AL145" s="143"/>
      <c r="AM145" s="143"/>
      <c r="AN145" s="143"/>
      <c r="AO145" s="228" t="s">
        <v>441</v>
      </c>
      <c r="AP145" s="146" t="s">
        <v>750</v>
      </c>
      <c r="AQ145" s="146"/>
    </row>
    <row r="146" spans="1:43" ht="15.6">
      <c r="A146" s="204" t="s">
        <v>751</v>
      </c>
      <c r="B146" s="204" t="s">
        <v>752</v>
      </c>
      <c r="C146" s="205"/>
      <c r="D146" s="204" t="s">
        <v>753</v>
      </c>
      <c r="E146" s="204" t="s">
        <v>754</v>
      </c>
      <c r="F146" s="204" t="s">
        <v>52</v>
      </c>
      <c r="G146" s="134"/>
      <c r="H146" s="134"/>
      <c r="I146" s="134"/>
      <c r="J146" s="136"/>
      <c r="K146" s="136"/>
      <c r="L146" s="136"/>
      <c r="M146" s="137"/>
      <c r="N146" s="137"/>
      <c r="O146" s="137"/>
      <c r="P146" s="136"/>
      <c r="Q146" s="136"/>
      <c r="R146" s="136"/>
      <c r="S146" s="137"/>
      <c r="T146" s="137"/>
      <c r="U146" s="137"/>
      <c r="V146" s="136"/>
      <c r="W146" s="136"/>
      <c r="X146" s="136"/>
      <c r="Y146" s="137"/>
      <c r="Z146" s="137"/>
      <c r="AA146" s="137"/>
      <c r="AB146" s="136"/>
      <c r="AC146" s="136"/>
      <c r="AD146" s="136"/>
      <c r="AE146" s="137"/>
      <c r="AF146" s="137"/>
      <c r="AG146" s="137"/>
      <c r="AH146" s="137">
        <f>SUM(AH147)</f>
        <v>0</v>
      </c>
      <c r="AI146" s="206">
        <f>SUM(AI147)</f>
        <v>0</v>
      </c>
      <c r="AJ146" s="137"/>
      <c r="AK146" s="137"/>
      <c r="AL146" s="137"/>
      <c r="AM146" s="137"/>
      <c r="AN146" s="137"/>
      <c r="AO146" s="270"/>
      <c r="AP146" s="130"/>
      <c r="AQ146" s="1996" t="s">
        <v>525</v>
      </c>
    </row>
    <row r="147" spans="1:43" ht="15.6">
      <c r="A147" s="271" t="s">
        <v>755</v>
      </c>
      <c r="B147" s="208" t="s">
        <v>756</v>
      </c>
      <c r="C147" s="272"/>
      <c r="D147" s="208" t="s">
        <v>462</v>
      </c>
      <c r="E147" s="208" t="s">
        <v>757</v>
      </c>
      <c r="F147" s="208" t="s">
        <v>52</v>
      </c>
      <c r="G147" s="158"/>
      <c r="H147" s="158"/>
      <c r="I147" s="158"/>
      <c r="J147" s="142"/>
      <c r="K147" s="142"/>
      <c r="L147" s="142"/>
      <c r="M147" s="143"/>
      <c r="N147" s="143"/>
      <c r="O147" s="143"/>
      <c r="P147" s="142"/>
      <c r="Q147" s="142"/>
      <c r="R147" s="142"/>
      <c r="S147" s="143"/>
      <c r="T147" s="143"/>
      <c r="U147" s="143"/>
      <c r="V147" s="142"/>
      <c r="W147" s="142"/>
      <c r="X147" s="142"/>
      <c r="Y147" s="143"/>
      <c r="Z147" s="143"/>
      <c r="AA147" s="143"/>
      <c r="AB147" s="142"/>
      <c r="AC147" s="142"/>
      <c r="AD147" s="142"/>
      <c r="AE147" s="143"/>
      <c r="AF147" s="143"/>
      <c r="AG147" s="143"/>
      <c r="AH147" s="143"/>
      <c r="AI147" s="172"/>
      <c r="AJ147" s="143"/>
      <c r="AK147" s="143"/>
      <c r="AL147" s="143"/>
      <c r="AM147" s="143"/>
      <c r="AN147" s="143"/>
      <c r="AO147" s="228"/>
      <c r="AP147" s="146"/>
      <c r="AQ147" s="1997"/>
    </row>
    <row r="148" spans="1:43" ht="31.2">
      <c r="A148" s="204" t="s">
        <v>758</v>
      </c>
      <c r="B148" s="204" t="s">
        <v>759</v>
      </c>
      <c r="C148" s="193"/>
      <c r="D148" s="204" t="s">
        <v>753</v>
      </c>
      <c r="E148" s="204" t="s">
        <v>760</v>
      </c>
      <c r="F148" s="204" t="s">
        <v>52</v>
      </c>
      <c r="G148" s="134"/>
      <c r="H148" s="134"/>
      <c r="I148" s="134"/>
      <c r="J148" s="136"/>
      <c r="K148" s="136"/>
      <c r="L148" s="136"/>
      <c r="M148" s="137"/>
      <c r="N148" s="137"/>
      <c r="O148" s="137"/>
      <c r="P148" s="136"/>
      <c r="Q148" s="136"/>
      <c r="R148" s="136"/>
      <c r="S148" s="137"/>
      <c r="T148" s="137"/>
      <c r="U148" s="137"/>
      <c r="V148" s="136"/>
      <c r="W148" s="136"/>
      <c r="X148" s="136"/>
      <c r="Y148" s="137"/>
      <c r="Z148" s="137"/>
      <c r="AA148" s="137"/>
      <c r="AB148" s="136"/>
      <c r="AC148" s="136"/>
      <c r="AD148" s="136"/>
      <c r="AE148" s="137"/>
      <c r="AF148" s="137"/>
      <c r="AG148" s="137"/>
      <c r="AH148" s="137">
        <f>SUM(AH149)</f>
        <v>0</v>
      </c>
      <c r="AI148" s="206">
        <f>SUM(AI149)</f>
        <v>0</v>
      </c>
      <c r="AJ148" s="137"/>
      <c r="AK148" s="137"/>
      <c r="AL148" s="137"/>
      <c r="AM148" s="137"/>
      <c r="AN148" s="137"/>
      <c r="AO148" s="270"/>
      <c r="AP148" s="130"/>
      <c r="AQ148" s="1997"/>
    </row>
    <row r="149" spans="1:43" ht="15.6">
      <c r="A149" s="271" t="s">
        <v>761</v>
      </c>
      <c r="B149" s="208" t="s">
        <v>762</v>
      </c>
      <c r="C149" s="272"/>
      <c r="D149" s="208" t="s">
        <v>753</v>
      </c>
      <c r="E149" s="208" t="s">
        <v>760</v>
      </c>
      <c r="F149" s="208" t="s">
        <v>52</v>
      </c>
      <c r="G149" s="158"/>
      <c r="H149" s="158"/>
      <c r="I149" s="158"/>
      <c r="J149" s="142"/>
      <c r="K149" s="142"/>
      <c r="L149" s="142"/>
      <c r="M149" s="143"/>
      <c r="N149" s="143"/>
      <c r="O149" s="143"/>
      <c r="P149" s="142"/>
      <c r="Q149" s="142"/>
      <c r="R149" s="142"/>
      <c r="S149" s="143"/>
      <c r="T149" s="143"/>
      <c r="U149" s="143"/>
      <c r="V149" s="142"/>
      <c r="W149" s="142"/>
      <c r="X149" s="142"/>
      <c r="Y149" s="143"/>
      <c r="Z149" s="143"/>
      <c r="AA149" s="143"/>
      <c r="AB149" s="142"/>
      <c r="AC149" s="142"/>
      <c r="AD149" s="142"/>
      <c r="AE149" s="143"/>
      <c r="AF149" s="143"/>
      <c r="AG149" s="143"/>
      <c r="AH149" s="143"/>
      <c r="AI149" s="172"/>
      <c r="AJ149" s="143"/>
      <c r="AK149" s="143"/>
      <c r="AL149" s="143"/>
      <c r="AM149" s="143"/>
      <c r="AN149" s="143"/>
      <c r="AO149" s="228"/>
      <c r="AP149" s="146"/>
      <c r="AQ149" s="1998"/>
    </row>
    <row r="150" spans="1:43" ht="31.2">
      <c r="A150" s="96" t="s">
        <v>763</v>
      </c>
      <c r="B150" s="97" t="s">
        <v>764</v>
      </c>
      <c r="C150" s="98"/>
      <c r="D150" s="99"/>
      <c r="E150" s="248"/>
      <c r="F150" s="249"/>
      <c r="G150" s="101"/>
      <c r="H150" s="101"/>
      <c r="I150" s="101"/>
      <c r="J150" s="105"/>
      <c r="K150" s="105"/>
      <c r="L150" s="105"/>
      <c r="M150" s="104"/>
      <c r="N150" s="104"/>
      <c r="O150" s="104">
        <f>O151+O155+O159+O163</f>
        <v>1000</v>
      </c>
      <c r="P150" s="105"/>
      <c r="Q150" s="105"/>
      <c r="R150" s="105"/>
      <c r="S150" s="104"/>
      <c r="T150" s="104"/>
      <c r="U150" s="104">
        <v>1000</v>
      </c>
      <c r="V150" s="105"/>
      <c r="W150" s="105"/>
      <c r="X150" s="105"/>
      <c r="Y150" s="104"/>
      <c r="Z150" s="104"/>
      <c r="AA150" s="104">
        <v>3000</v>
      </c>
      <c r="AB150" s="105"/>
      <c r="AC150" s="105"/>
      <c r="AD150" s="105"/>
      <c r="AE150" s="104"/>
      <c r="AF150" s="104"/>
      <c r="AG150" s="104">
        <v>3000</v>
      </c>
      <c r="AH150" s="250">
        <f>SUM(AH151+AH155+AH159+AH163)</f>
        <v>8000</v>
      </c>
      <c r="AI150" s="250">
        <f>SUM(AI151+AI155+AI159+AI163)</f>
        <v>8000</v>
      </c>
      <c r="AJ150" s="104"/>
      <c r="AK150" s="104"/>
      <c r="AL150" s="104"/>
      <c r="AM150" s="104"/>
      <c r="AN150" s="104"/>
      <c r="AO150" s="251"/>
      <c r="AP150" s="97"/>
      <c r="AQ150" s="97"/>
    </row>
    <row r="151" spans="1:43" ht="75">
      <c r="A151" s="10" t="s">
        <v>765</v>
      </c>
      <c r="B151" s="10" t="s">
        <v>766</v>
      </c>
      <c r="C151" s="11"/>
      <c r="D151" s="10"/>
      <c r="E151" s="10"/>
      <c r="F151" s="10"/>
      <c r="G151" s="113"/>
      <c r="H151" s="113"/>
      <c r="I151" s="113"/>
      <c r="J151" s="115"/>
      <c r="K151" s="115"/>
      <c r="L151" s="115"/>
      <c r="M151" s="116"/>
      <c r="N151" s="116"/>
      <c r="O151" s="116"/>
      <c r="P151" s="115"/>
      <c r="Q151" s="115"/>
      <c r="R151" s="115"/>
      <c r="S151" s="116"/>
      <c r="T151" s="116"/>
      <c r="U151" s="116"/>
      <c r="V151" s="115"/>
      <c r="W151" s="115"/>
      <c r="X151" s="115"/>
      <c r="Y151" s="116"/>
      <c r="Z151" s="116"/>
      <c r="AA151" s="116"/>
      <c r="AB151" s="115"/>
      <c r="AC151" s="115"/>
      <c r="AD151" s="115"/>
      <c r="AE151" s="116"/>
      <c r="AF151" s="116"/>
      <c r="AG151" s="116"/>
      <c r="AH151" s="254">
        <f>(AH152)</f>
        <v>0</v>
      </c>
      <c r="AI151" s="254">
        <f>(AI152)</f>
        <v>0</v>
      </c>
      <c r="AJ151" s="116"/>
      <c r="AK151" s="116"/>
      <c r="AL151" s="116"/>
      <c r="AM151" s="116"/>
      <c r="AN151" s="116"/>
      <c r="AO151" s="227"/>
      <c r="AP151" s="109"/>
      <c r="AQ151" s="109"/>
    </row>
    <row r="152" spans="1:43" ht="30">
      <c r="A152" s="273" t="s">
        <v>767</v>
      </c>
      <c r="B152" s="273" t="s">
        <v>768</v>
      </c>
      <c r="C152" s="274"/>
      <c r="D152" s="273"/>
      <c r="E152" s="273"/>
      <c r="F152" s="273"/>
      <c r="G152" s="186"/>
      <c r="H152" s="186"/>
      <c r="I152" s="186"/>
      <c r="J152" s="187"/>
      <c r="K152" s="187"/>
      <c r="L152" s="187"/>
      <c r="M152" s="188"/>
      <c r="N152" s="188"/>
      <c r="O152" s="188"/>
      <c r="P152" s="187"/>
      <c r="Q152" s="187"/>
      <c r="R152" s="187"/>
      <c r="S152" s="188"/>
      <c r="T152" s="188"/>
      <c r="U152" s="188"/>
      <c r="V152" s="187"/>
      <c r="W152" s="187"/>
      <c r="X152" s="187"/>
      <c r="Y152" s="188"/>
      <c r="Z152" s="188"/>
      <c r="AA152" s="188"/>
      <c r="AB152" s="187"/>
      <c r="AC152" s="187"/>
      <c r="AD152" s="187"/>
      <c r="AE152" s="188"/>
      <c r="AF152" s="188"/>
      <c r="AG152" s="188"/>
      <c r="AH152" s="275">
        <f>AH153</f>
        <v>0</v>
      </c>
      <c r="AI152" s="275">
        <f>AI153</f>
        <v>0</v>
      </c>
      <c r="AJ152" s="188"/>
      <c r="AK152" s="188"/>
      <c r="AL152" s="188"/>
      <c r="AM152" s="188"/>
      <c r="AN152" s="188"/>
      <c r="AO152" s="189"/>
      <c r="AP152" s="190"/>
      <c r="AQ152" s="190"/>
    </row>
    <row r="153" spans="1:43" ht="31.2">
      <c r="A153" s="204" t="s">
        <v>769</v>
      </c>
      <c r="B153" s="204" t="s">
        <v>770</v>
      </c>
      <c r="C153" s="205"/>
      <c r="D153" s="204" t="s">
        <v>771</v>
      </c>
      <c r="E153" s="204" t="s">
        <v>772</v>
      </c>
      <c r="F153" s="204" t="s">
        <v>435</v>
      </c>
      <c r="G153" s="134"/>
      <c r="H153" s="134"/>
      <c r="I153" s="134"/>
      <c r="J153" s="136"/>
      <c r="K153" s="136"/>
      <c r="L153" s="136"/>
      <c r="M153" s="137"/>
      <c r="N153" s="137"/>
      <c r="O153" s="137"/>
      <c r="P153" s="136"/>
      <c r="Q153" s="136"/>
      <c r="R153" s="136"/>
      <c r="S153" s="137"/>
      <c r="T153" s="137"/>
      <c r="U153" s="137"/>
      <c r="V153" s="136"/>
      <c r="W153" s="136"/>
      <c r="X153" s="136"/>
      <c r="Y153" s="137"/>
      <c r="Z153" s="137"/>
      <c r="AA153" s="137"/>
      <c r="AB153" s="136"/>
      <c r="AC153" s="136"/>
      <c r="AD153" s="136"/>
      <c r="AE153" s="137"/>
      <c r="AF153" s="137"/>
      <c r="AG153" s="137"/>
      <c r="AH153" s="256">
        <f>AH154</f>
        <v>0</v>
      </c>
      <c r="AI153" s="256">
        <f>AI154</f>
        <v>0</v>
      </c>
      <c r="AJ153" s="137"/>
      <c r="AK153" s="137"/>
      <c r="AL153" s="137"/>
      <c r="AM153" s="137"/>
      <c r="AN153" s="137"/>
      <c r="AO153" s="150"/>
      <c r="AP153" s="130"/>
      <c r="AQ153" s="130"/>
    </row>
    <row r="154" spans="1:43" ht="93.6">
      <c r="A154" s="271" t="s">
        <v>773</v>
      </c>
      <c r="B154" s="208" t="s">
        <v>770</v>
      </c>
      <c r="C154" s="272"/>
      <c r="D154" s="208" t="s">
        <v>771</v>
      </c>
      <c r="E154" s="208" t="s">
        <v>772</v>
      </c>
      <c r="F154" s="208" t="s">
        <v>435</v>
      </c>
      <c r="G154" s="158"/>
      <c r="H154" s="158"/>
      <c r="I154" s="158"/>
      <c r="J154" s="142"/>
      <c r="K154" s="142"/>
      <c r="L154" s="142"/>
      <c r="M154" s="143"/>
      <c r="N154" s="143"/>
      <c r="O154" s="143"/>
      <c r="P154" s="142"/>
      <c r="Q154" s="142"/>
      <c r="R154" s="142"/>
      <c r="S154" s="143"/>
      <c r="T154" s="143"/>
      <c r="U154" s="143"/>
      <c r="V154" s="142"/>
      <c r="W154" s="142"/>
      <c r="X154" s="142"/>
      <c r="Y154" s="143"/>
      <c r="Z154" s="143"/>
      <c r="AA154" s="143"/>
      <c r="AB154" s="142"/>
      <c r="AC154" s="142"/>
      <c r="AD154" s="142"/>
      <c r="AE154" s="143"/>
      <c r="AF154" s="143"/>
      <c r="AG154" s="143"/>
      <c r="AH154" s="257"/>
      <c r="AI154" s="143"/>
      <c r="AJ154" s="143"/>
      <c r="AK154" s="143"/>
      <c r="AL154" s="143"/>
      <c r="AM154" s="143"/>
      <c r="AN154" s="143"/>
      <c r="AO154" s="145"/>
      <c r="AP154" s="146"/>
      <c r="AQ154" s="146" t="s">
        <v>774</v>
      </c>
    </row>
    <row r="155" spans="1:43" ht="15.6">
      <c r="A155" s="108" t="s">
        <v>775</v>
      </c>
      <c r="B155" s="109" t="s">
        <v>776</v>
      </c>
      <c r="C155" s="110"/>
      <c r="D155" s="111"/>
      <c r="E155" s="252"/>
      <c r="F155" s="253"/>
      <c r="G155" s="113"/>
      <c r="H155" s="113"/>
      <c r="I155" s="113"/>
      <c r="J155" s="115"/>
      <c r="K155" s="115"/>
      <c r="L155" s="115"/>
      <c r="M155" s="116"/>
      <c r="N155" s="116"/>
      <c r="O155" s="116"/>
      <c r="P155" s="115"/>
      <c r="Q155" s="115"/>
      <c r="R155" s="115"/>
      <c r="S155" s="116"/>
      <c r="T155" s="116"/>
      <c r="U155" s="116"/>
      <c r="V155" s="115"/>
      <c r="W155" s="115"/>
      <c r="X155" s="115"/>
      <c r="Y155" s="116"/>
      <c r="Z155" s="116"/>
      <c r="AA155" s="116"/>
      <c r="AB155" s="115"/>
      <c r="AC155" s="115"/>
      <c r="AD155" s="115"/>
      <c r="AE155" s="116"/>
      <c r="AF155" s="116"/>
      <c r="AG155" s="116">
        <f>AG156</f>
        <v>3000</v>
      </c>
      <c r="AH155" s="116">
        <f>AH156</f>
        <v>3000</v>
      </c>
      <c r="AI155" s="116">
        <f>AI156</f>
        <v>3000</v>
      </c>
      <c r="AJ155" s="116"/>
      <c r="AK155" s="116"/>
      <c r="AL155" s="116"/>
      <c r="AM155" s="116"/>
      <c r="AN155" s="116"/>
      <c r="AO155" s="227"/>
      <c r="AP155" s="109"/>
      <c r="AQ155" s="109"/>
    </row>
    <row r="156" spans="1:43" ht="31.2">
      <c r="A156" s="119" t="s">
        <v>777</v>
      </c>
      <c r="B156" s="120" t="s">
        <v>778</v>
      </c>
      <c r="C156" s="121"/>
      <c r="D156" s="122"/>
      <c r="E156" s="170"/>
      <c r="F156" s="171"/>
      <c r="G156" s="124">
        <v>0</v>
      </c>
      <c r="H156" s="124">
        <v>0</v>
      </c>
      <c r="I156" s="124"/>
      <c r="J156" s="125"/>
      <c r="K156" s="125"/>
      <c r="L156" s="125"/>
      <c r="M156" s="126"/>
      <c r="N156" s="126"/>
      <c r="O156" s="126"/>
      <c r="P156" s="125"/>
      <c r="Q156" s="125"/>
      <c r="R156" s="125"/>
      <c r="S156" s="126"/>
      <c r="T156" s="126"/>
      <c r="U156" s="126"/>
      <c r="V156" s="125"/>
      <c r="W156" s="125"/>
      <c r="X156" s="125"/>
      <c r="Y156" s="126"/>
      <c r="Z156" s="126"/>
      <c r="AA156" s="126"/>
      <c r="AB156" s="125"/>
      <c r="AC156" s="125"/>
      <c r="AD156" s="125"/>
      <c r="AE156" s="126"/>
      <c r="AF156" s="126"/>
      <c r="AG156" s="126">
        <f t="shared" ref="AG156:AI156" si="94">AG157</f>
        <v>3000</v>
      </c>
      <c r="AH156" s="126">
        <f t="shared" si="94"/>
        <v>3000</v>
      </c>
      <c r="AI156" s="126">
        <f t="shared" si="94"/>
        <v>3000</v>
      </c>
      <c r="AJ156" s="126"/>
      <c r="AK156" s="126"/>
      <c r="AL156" s="126"/>
      <c r="AM156" s="126"/>
      <c r="AN156" s="126"/>
      <c r="AO156" s="127"/>
      <c r="AP156" s="120"/>
      <c r="AQ156" s="120"/>
    </row>
    <row r="157" spans="1:43" ht="78">
      <c r="A157" s="129" t="s">
        <v>779</v>
      </c>
      <c r="B157" s="130" t="s">
        <v>780</v>
      </c>
      <c r="C157" s="131"/>
      <c r="D157" s="132"/>
      <c r="E157" s="174"/>
      <c r="F157" s="149"/>
      <c r="G157" s="135">
        <v>100</v>
      </c>
      <c r="H157" s="134"/>
      <c r="I157" s="135">
        <v>100</v>
      </c>
      <c r="J157" s="136"/>
      <c r="K157" s="136"/>
      <c r="L157" s="136"/>
      <c r="M157" s="137"/>
      <c r="N157" s="137"/>
      <c r="O157" s="137"/>
      <c r="P157" s="136"/>
      <c r="Q157" s="136"/>
      <c r="R157" s="136"/>
      <c r="S157" s="137"/>
      <c r="T157" s="137"/>
      <c r="U157" s="137"/>
      <c r="V157" s="136"/>
      <c r="W157" s="136"/>
      <c r="X157" s="136"/>
      <c r="Y157" s="137"/>
      <c r="Z157" s="137"/>
      <c r="AA157" s="137"/>
      <c r="AB157" s="136"/>
      <c r="AC157" s="136"/>
      <c r="AD157" s="136"/>
      <c r="AE157" s="137"/>
      <c r="AF157" s="137"/>
      <c r="AG157" s="137">
        <v>3000</v>
      </c>
      <c r="AH157" s="137">
        <f>AH158</f>
        <v>3000</v>
      </c>
      <c r="AI157" s="137">
        <f>AI158</f>
        <v>3000</v>
      </c>
      <c r="AJ157" s="137"/>
      <c r="AK157" s="137"/>
      <c r="AL157" s="137"/>
      <c r="AM157" s="137"/>
      <c r="AN157" s="137"/>
      <c r="AO157" s="150"/>
      <c r="AP157" s="130"/>
      <c r="AQ157" s="130"/>
    </row>
    <row r="158" spans="1:43" ht="46.8">
      <c r="A158" s="175" t="s">
        <v>781</v>
      </c>
      <c r="B158" s="146" t="s">
        <v>782</v>
      </c>
      <c r="C158" s="140">
        <v>1</v>
      </c>
      <c r="D158" s="141" t="s">
        <v>55</v>
      </c>
      <c r="E158" s="160" t="s">
        <v>783</v>
      </c>
      <c r="F158" s="176" t="s">
        <v>784</v>
      </c>
      <c r="G158" s="158">
        <v>100</v>
      </c>
      <c r="H158" s="158"/>
      <c r="I158" s="158"/>
      <c r="J158" s="142"/>
      <c r="K158" s="142"/>
      <c r="L158" s="142"/>
      <c r="M158" s="143"/>
      <c r="N158" s="143"/>
      <c r="O158" s="143"/>
      <c r="P158" s="142"/>
      <c r="Q158" s="142"/>
      <c r="R158" s="142"/>
      <c r="S158" s="143"/>
      <c r="T158" s="143"/>
      <c r="U158" s="143"/>
      <c r="V158" s="142"/>
      <c r="W158" s="142"/>
      <c r="X158" s="142"/>
      <c r="Y158" s="143"/>
      <c r="Z158" s="143"/>
      <c r="AA158" s="143"/>
      <c r="AB158" s="142"/>
      <c r="AC158" s="142"/>
      <c r="AD158" s="142">
        <v>1</v>
      </c>
      <c r="AE158" s="143"/>
      <c r="AF158" s="143"/>
      <c r="AG158" s="143">
        <v>3000</v>
      </c>
      <c r="AH158" s="143">
        <v>3000</v>
      </c>
      <c r="AI158" s="172">
        <v>3000</v>
      </c>
      <c r="AJ158" s="143"/>
      <c r="AK158" s="143"/>
      <c r="AL158" s="143"/>
      <c r="AM158" s="143"/>
      <c r="AN158" s="143"/>
      <c r="AO158" s="228" t="s">
        <v>441</v>
      </c>
      <c r="AP158" s="276" t="s">
        <v>785</v>
      </c>
      <c r="AQ158" s="146"/>
    </row>
    <row r="159" spans="1:43" ht="31.2">
      <c r="A159" s="108" t="s">
        <v>786</v>
      </c>
      <c r="B159" s="109" t="s">
        <v>787</v>
      </c>
      <c r="C159" s="110"/>
      <c r="D159" s="111"/>
      <c r="E159" s="252"/>
      <c r="F159" s="253"/>
      <c r="G159" s="113"/>
      <c r="H159" s="113"/>
      <c r="I159" s="113"/>
      <c r="J159" s="115"/>
      <c r="K159" s="115"/>
      <c r="L159" s="115"/>
      <c r="M159" s="116"/>
      <c r="N159" s="116"/>
      <c r="O159" s="116"/>
      <c r="P159" s="115"/>
      <c r="Q159" s="115"/>
      <c r="R159" s="115"/>
      <c r="S159" s="116"/>
      <c r="T159" s="116"/>
      <c r="U159" s="116"/>
      <c r="V159" s="115"/>
      <c r="W159" s="115"/>
      <c r="X159" s="115"/>
      <c r="Y159" s="116"/>
      <c r="Z159" s="116"/>
      <c r="AA159" s="116">
        <f>AA160</f>
        <v>2000</v>
      </c>
      <c r="AB159" s="115"/>
      <c r="AC159" s="115"/>
      <c r="AD159" s="115"/>
      <c r="AE159" s="116"/>
      <c r="AF159" s="116"/>
      <c r="AG159" s="116"/>
      <c r="AH159" s="116">
        <f>AH160</f>
        <v>2000</v>
      </c>
      <c r="AI159" s="116">
        <f>AI160</f>
        <v>2000</v>
      </c>
      <c r="AJ159" s="116"/>
      <c r="AK159" s="116"/>
      <c r="AL159" s="116"/>
      <c r="AM159" s="116"/>
      <c r="AN159" s="116"/>
      <c r="AO159" s="227"/>
      <c r="AP159" s="109"/>
      <c r="AQ159" s="109"/>
    </row>
    <row r="160" spans="1:43" ht="15.6">
      <c r="A160" s="119" t="s">
        <v>788</v>
      </c>
      <c r="B160" s="120" t="s">
        <v>789</v>
      </c>
      <c r="C160" s="121"/>
      <c r="D160" s="122"/>
      <c r="E160" s="170"/>
      <c r="F160" s="171"/>
      <c r="G160" s="124">
        <v>0</v>
      </c>
      <c r="H160" s="124">
        <v>0</v>
      </c>
      <c r="I160" s="124"/>
      <c r="J160" s="125"/>
      <c r="K160" s="125"/>
      <c r="L160" s="125"/>
      <c r="M160" s="126"/>
      <c r="N160" s="126"/>
      <c r="O160" s="126"/>
      <c r="P160" s="125"/>
      <c r="Q160" s="125"/>
      <c r="R160" s="125"/>
      <c r="S160" s="126"/>
      <c r="T160" s="126"/>
      <c r="U160" s="126"/>
      <c r="V160" s="125"/>
      <c r="W160" s="125"/>
      <c r="X160" s="125"/>
      <c r="Y160" s="126"/>
      <c r="Z160" s="126"/>
      <c r="AA160" s="126">
        <v>2000</v>
      </c>
      <c r="AB160" s="125"/>
      <c r="AC160" s="125"/>
      <c r="AD160" s="125"/>
      <c r="AE160" s="126"/>
      <c r="AF160" s="126"/>
      <c r="AG160" s="126"/>
      <c r="AH160" s="126">
        <v>2000</v>
      </c>
      <c r="AI160" s="277">
        <v>2000</v>
      </c>
      <c r="AJ160" s="126"/>
      <c r="AK160" s="126"/>
      <c r="AL160" s="126"/>
      <c r="AM160" s="126"/>
      <c r="AN160" s="126"/>
      <c r="AO160" s="127"/>
      <c r="AP160" s="120"/>
      <c r="AQ160" s="120"/>
    </row>
    <row r="161" spans="1:43" ht="62.4">
      <c r="A161" s="129" t="s">
        <v>790</v>
      </c>
      <c r="B161" s="130" t="s">
        <v>791</v>
      </c>
      <c r="C161" s="131"/>
      <c r="D161" s="132"/>
      <c r="E161" s="174"/>
      <c r="F161" s="149"/>
      <c r="G161" s="134">
        <v>100</v>
      </c>
      <c r="H161" s="134"/>
      <c r="I161" s="135">
        <v>100</v>
      </c>
      <c r="J161" s="136"/>
      <c r="K161" s="136"/>
      <c r="L161" s="136"/>
      <c r="M161" s="137"/>
      <c r="N161" s="137"/>
      <c r="O161" s="137"/>
      <c r="P161" s="136"/>
      <c r="Q161" s="136"/>
      <c r="R161" s="136"/>
      <c r="S161" s="137"/>
      <c r="T161" s="137"/>
      <c r="U161" s="137"/>
      <c r="V161" s="136"/>
      <c r="W161" s="136"/>
      <c r="X161" s="136"/>
      <c r="Y161" s="137"/>
      <c r="Z161" s="137"/>
      <c r="AA161" s="137">
        <v>2000</v>
      </c>
      <c r="AB161" s="136"/>
      <c r="AC161" s="136"/>
      <c r="AD161" s="136"/>
      <c r="AE161" s="137"/>
      <c r="AF161" s="137"/>
      <c r="AG161" s="137"/>
      <c r="AH161" s="137">
        <f>AH162</f>
        <v>2000</v>
      </c>
      <c r="AI161" s="137">
        <f>AI162</f>
        <v>2000</v>
      </c>
      <c r="AJ161" s="137"/>
      <c r="AK161" s="137"/>
      <c r="AL161" s="137"/>
      <c r="AM161" s="137"/>
      <c r="AN161" s="137"/>
      <c r="AO161" s="150"/>
      <c r="AP161" s="130"/>
      <c r="AQ161" s="130"/>
    </row>
    <row r="162" spans="1:43" ht="31.2">
      <c r="A162" s="175" t="s">
        <v>792</v>
      </c>
      <c r="B162" s="146" t="s">
        <v>793</v>
      </c>
      <c r="C162" s="140">
        <v>1</v>
      </c>
      <c r="D162" s="141" t="s">
        <v>57</v>
      </c>
      <c r="E162" s="160" t="s">
        <v>794</v>
      </c>
      <c r="F162" s="176" t="s">
        <v>795</v>
      </c>
      <c r="G162" s="158">
        <v>100</v>
      </c>
      <c r="H162" s="158"/>
      <c r="I162" s="158"/>
      <c r="J162" s="142"/>
      <c r="K162" s="142"/>
      <c r="L162" s="142"/>
      <c r="M162" s="143"/>
      <c r="N162" s="143"/>
      <c r="O162" s="143"/>
      <c r="P162" s="142"/>
      <c r="Q162" s="142"/>
      <c r="R162" s="142"/>
      <c r="S162" s="143"/>
      <c r="T162" s="143"/>
      <c r="U162" s="143"/>
      <c r="V162" s="142"/>
      <c r="W162" s="142"/>
      <c r="X162" s="142">
        <v>1</v>
      </c>
      <c r="Y162" s="143"/>
      <c r="Z162" s="143"/>
      <c r="AA162" s="143">
        <v>2000</v>
      </c>
      <c r="AB162" s="142"/>
      <c r="AC162" s="142"/>
      <c r="AD162" s="142"/>
      <c r="AE162" s="143"/>
      <c r="AF162" s="143"/>
      <c r="AG162" s="143"/>
      <c r="AH162" s="143">
        <v>2000</v>
      </c>
      <c r="AI162" s="172">
        <v>2000</v>
      </c>
      <c r="AJ162" s="143"/>
      <c r="AK162" s="143"/>
      <c r="AL162" s="143"/>
      <c r="AM162" s="143"/>
      <c r="AN162" s="143"/>
      <c r="AO162" s="228" t="s">
        <v>441</v>
      </c>
      <c r="AP162" s="276" t="s">
        <v>796</v>
      </c>
      <c r="AQ162" s="146"/>
    </row>
    <row r="163" spans="1:43" ht="15.6">
      <c r="A163" s="108" t="s">
        <v>797</v>
      </c>
      <c r="B163" s="109" t="s">
        <v>798</v>
      </c>
      <c r="C163" s="110"/>
      <c r="D163" s="111"/>
      <c r="E163" s="252"/>
      <c r="F163" s="253"/>
      <c r="G163" s="113"/>
      <c r="H163" s="113"/>
      <c r="I163" s="113"/>
      <c r="J163" s="115"/>
      <c r="K163" s="115"/>
      <c r="L163" s="115"/>
      <c r="M163" s="116"/>
      <c r="N163" s="116"/>
      <c r="O163" s="116">
        <f>O164</f>
        <v>1000</v>
      </c>
      <c r="P163" s="115"/>
      <c r="Q163" s="115"/>
      <c r="R163" s="115"/>
      <c r="S163" s="116"/>
      <c r="T163" s="116"/>
      <c r="U163" s="116">
        <f>U164</f>
        <v>1000</v>
      </c>
      <c r="V163" s="115"/>
      <c r="W163" s="115"/>
      <c r="X163" s="115"/>
      <c r="Y163" s="116"/>
      <c r="Z163" s="116"/>
      <c r="AA163" s="116">
        <f>AA164</f>
        <v>1000</v>
      </c>
      <c r="AB163" s="115"/>
      <c r="AC163" s="115"/>
      <c r="AD163" s="115"/>
      <c r="AE163" s="116"/>
      <c r="AF163" s="116"/>
      <c r="AG163" s="116"/>
      <c r="AH163" s="116">
        <f>AH164</f>
        <v>3000</v>
      </c>
      <c r="AI163" s="116">
        <f>AI164</f>
        <v>3000</v>
      </c>
      <c r="AJ163" s="116"/>
      <c r="AK163" s="116"/>
      <c r="AL163" s="116"/>
      <c r="AM163" s="116"/>
      <c r="AN163" s="116"/>
      <c r="AO163" s="227"/>
      <c r="AP163" s="109"/>
      <c r="AQ163" s="109"/>
    </row>
    <row r="164" spans="1:43" ht="15.6">
      <c r="A164" s="119" t="s">
        <v>799</v>
      </c>
      <c r="B164" s="120" t="s">
        <v>800</v>
      </c>
      <c r="C164" s="121"/>
      <c r="D164" s="122"/>
      <c r="E164" s="170"/>
      <c r="F164" s="171"/>
      <c r="G164" s="124">
        <v>0</v>
      </c>
      <c r="H164" s="124">
        <v>0</v>
      </c>
      <c r="I164" s="124"/>
      <c r="J164" s="125"/>
      <c r="K164" s="125"/>
      <c r="L164" s="125"/>
      <c r="M164" s="126"/>
      <c r="N164" s="126"/>
      <c r="O164" s="126">
        <f>O165</f>
        <v>1000</v>
      </c>
      <c r="P164" s="125"/>
      <c r="Q164" s="125"/>
      <c r="R164" s="125"/>
      <c r="S164" s="126"/>
      <c r="T164" s="126"/>
      <c r="U164" s="126">
        <v>1000</v>
      </c>
      <c r="V164" s="125"/>
      <c r="W164" s="125"/>
      <c r="X164" s="125"/>
      <c r="Y164" s="126"/>
      <c r="Z164" s="126"/>
      <c r="AA164" s="126">
        <v>1000</v>
      </c>
      <c r="AB164" s="125"/>
      <c r="AC164" s="125"/>
      <c r="AD164" s="125"/>
      <c r="AE164" s="126"/>
      <c r="AF164" s="126"/>
      <c r="AG164" s="126"/>
      <c r="AH164" s="126">
        <v>3000</v>
      </c>
      <c r="AI164" s="277">
        <v>3000</v>
      </c>
      <c r="AJ164" s="126"/>
      <c r="AK164" s="126"/>
      <c r="AL164" s="126"/>
      <c r="AM164" s="126"/>
      <c r="AN164" s="126"/>
      <c r="AO164" s="127"/>
      <c r="AP164" s="120"/>
      <c r="AQ164" s="120"/>
    </row>
    <row r="165" spans="1:43" ht="31.2">
      <c r="A165" s="129" t="s">
        <v>801</v>
      </c>
      <c r="B165" s="130" t="s">
        <v>802</v>
      </c>
      <c r="C165" s="131"/>
      <c r="D165" s="132"/>
      <c r="E165" s="174"/>
      <c r="F165" s="149"/>
      <c r="G165" s="134">
        <v>100</v>
      </c>
      <c r="H165" s="134"/>
      <c r="I165" s="135">
        <v>100</v>
      </c>
      <c r="J165" s="136"/>
      <c r="K165" s="136"/>
      <c r="L165" s="136"/>
      <c r="M165" s="137"/>
      <c r="N165" s="137"/>
      <c r="O165" s="137">
        <f>O166</f>
        <v>1000</v>
      </c>
      <c r="P165" s="136"/>
      <c r="Q165" s="136"/>
      <c r="R165" s="136"/>
      <c r="S165" s="137"/>
      <c r="T165" s="137"/>
      <c r="U165" s="137">
        <v>1000</v>
      </c>
      <c r="V165" s="136"/>
      <c r="W165" s="136"/>
      <c r="X165" s="136"/>
      <c r="Y165" s="137"/>
      <c r="Z165" s="137"/>
      <c r="AA165" s="137">
        <v>1000</v>
      </c>
      <c r="AB165" s="136"/>
      <c r="AC165" s="136"/>
      <c r="AD165" s="136"/>
      <c r="AE165" s="137"/>
      <c r="AF165" s="137"/>
      <c r="AG165" s="137"/>
      <c r="AH165" s="137">
        <f>SUM(AH166)</f>
        <v>3000</v>
      </c>
      <c r="AI165" s="206">
        <f>SUM(AI166)</f>
        <v>3000</v>
      </c>
      <c r="AJ165" s="137"/>
      <c r="AK165" s="137"/>
      <c r="AL165" s="137"/>
      <c r="AM165" s="137"/>
      <c r="AN165" s="137"/>
      <c r="AO165" s="150"/>
      <c r="AP165" s="130"/>
      <c r="AQ165" s="130"/>
    </row>
    <row r="166" spans="1:43" ht="78">
      <c r="A166" s="175" t="s">
        <v>803</v>
      </c>
      <c r="B166" s="146" t="s">
        <v>804</v>
      </c>
      <c r="C166" s="140">
        <v>3</v>
      </c>
      <c r="D166" s="141" t="s">
        <v>805</v>
      </c>
      <c r="E166" s="160" t="s">
        <v>806</v>
      </c>
      <c r="F166" s="176" t="s">
        <v>807</v>
      </c>
      <c r="G166" s="158">
        <v>100</v>
      </c>
      <c r="H166" s="158"/>
      <c r="I166" s="158"/>
      <c r="J166" s="142"/>
      <c r="K166" s="142"/>
      <c r="L166" s="142">
        <v>1</v>
      </c>
      <c r="M166" s="143"/>
      <c r="N166" s="143"/>
      <c r="O166" s="143">
        <v>1000</v>
      </c>
      <c r="P166" s="142"/>
      <c r="Q166" s="142"/>
      <c r="R166" s="142">
        <v>1</v>
      </c>
      <c r="S166" s="143"/>
      <c r="T166" s="143"/>
      <c r="U166" s="143">
        <v>1000</v>
      </c>
      <c r="V166" s="142"/>
      <c r="W166" s="142"/>
      <c r="X166" s="142">
        <v>1</v>
      </c>
      <c r="Y166" s="143"/>
      <c r="Z166" s="143"/>
      <c r="AA166" s="143">
        <v>1000</v>
      </c>
      <c r="AB166" s="142"/>
      <c r="AC166" s="142"/>
      <c r="AD166" s="142"/>
      <c r="AE166" s="143"/>
      <c r="AF166" s="143"/>
      <c r="AG166" s="143"/>
      <c r="AH166" s="143">
        <v>3000</v>
      </c>
      <c r="AI166" s="172">
        <v>3000</v>
      </c>
      <c r="AJ166" s="143"/>
      <c r="AK166" s="143"/>
      <c r="AL166" s="143"/>
      <c r="AM166" s="143"/>
      <c r="AN166" s="143"/>
      <c r="AO166" s="228" t="s">
        <v>441</v>
      </c>
      <c r="AP166" s="276" t="s">
        <v>785</v>
      </c>
      <c r="AQ166" s="146"/>
    </row>
    <row r="167" spans="1:43" ht="15.6">
      <c r="A167" s="278" t="s">
        <v>379</v>
      </c>
      <c r="B167" s="97" t="s">
        <v>808</v>
      </c>
      <c r="C167" s="98"/>
      <c r="D167" s="99"/>
      <c r="E167" s="248"/>
      <c r="F167" s="249"/>
      <c r="G167" s="101"/>
      <c r="H167" s="101"/>
      <c r="I167" s="101"/>
      <c r="J167" s="105"/>
      <c r="K167" s="105"/>
      <c r="L167" s="105"/>
      <c r="M167" s="104">
        <f>+M168</f>
        <v>855036</v>
      </c>
      <c r="N167" s="104">
        <f t="shared" ref="N167:O167" si="95">+N168</f>
        <v>357282</v>
      </c>
      <c r="O167" s="104">
        <f t="shared" si="95"/>
        <v>289253</v>
      </c>
      <c r="P167" s="105"/>
      <c r="Q167" s="105"/>
      <c r="R167" s="105"/>
      <c r="S167" s="104">
        <f t="shared" ref="S167:U167" si="96">+S168</f>
        <v>362000</v>
      </c>
      <c r="T167" s="104">
        <f t="shared" si="96"/>
        <v>1010410</v>
      </c>
      <c r="U167" s="104">
        <f t="shared" si="96"/>
        <v>991309</v>
      </c>
      <c r="V167" s="105"/>
      <c r="W167" s="105"/>
      <c r="X167" s="105"/>
      <c r="Y167" s="104">
        <f t="shared" ref="Y167:AA167" si="97">+Y168</f>
        <v>410083</v>
      </c>
      <c r="Z167" s="104">
        <f t="shared" si="97"/>
        <v>259806</v>
      </c>
      <c r="AA167" s="104">
        <f t="shared" si="97"/>
        <v>388844</v>
      </c>
      <c r="AB167" s="105"/>
      <c r="AC167" s="105"/>
      <c r="AD167" s="105"/>
      <c r="AE167" s="104">
        <f t="shared" ref="AE167:AG167" si="98">+AE168</f>
        <v>313008</v>
      </c>
      <c r="AF167" s="104">
        <f t="shared" si="98"/>
        <v>313838</v>
      </c>
      <c r="AG167" s="104">
        <f t="shared" si="98"/>
        <v>276048</v>
      </c>
      <c r="AH167" s="250">
        <f>+AH168</f>
        <v>5826917</v>
      </c>
      <c r="AI167" s="104">
        <f>+AI168</f>
        <v>4905038</v>
      </c>
      <c r="AJ167" s="104"/>
      <c r="AK167" s="104"/>
      <c r="AL167" s="104">
        <v>836575</v>
      </c>
      <c r="AM167" s="104">
        <v>85304</v>
      </c>
      <c r="AN167" s="104"/>
      <c r="AO167" s="106"/>
      <c r="AP167" s="97"/>
      <c r="AQ167" s="97"/>
    </row>
    <row r="168" spans="1:43" ht="15.6">
      <c r="A168" s="279" t="s">
        <v>809</v>
      </c>
      <c r="B168" s="109" t="s">
        <v>810</v>
      </c>
      <c r="C168" s="110"/>
      <c r="D168" s="111"/>
      <c r="E168" s="252"/>
      <c r="F168" s="253"/>
      <c r="G168" s="113"/>
      <c r="H168" s="113"/>
      <c r="I168" s="113"/>
      <c r="J168" s="115"/>
      <c r="K168" s="115"/>
      <c r="L168" s="115"/>
      <c r="M168" s="116">
        <f>M169+M179+M188</f>
        <v>855036</v>
      </c>
      <c r="N168" s="116">
        <f>N169+N179+N188</f>
        <v>357282</v>
      </c>
      <c r="O168" s="116">
        <f>O169+O179+O188</f>
        <v>289253</v>
      </c>
      <c r="P168" s="115"/>
      <c r="Q168" s="115"/>
      <c r="R168" s="115"/>
      <c r="S168" s="116">
        <f>S169+S179+S188</f>
        <v>362000</v>
      </c>
      <c r="T168" s="116">
        <f>T169+T179+T188</f>
        <v>1010410</v>
      </c>
      <c r="U168" s="116">
        <f>U169+U179+U188</f>
        <v>991309</v>
      </c>
      <c r="V168" s="115"/>
      <c r="W168" s="115"/>
      <c r="X168" s="115"/>
      <c r="Y168" s="116">
        <f>Y169+Y179+Y188</f>
        <v>410083</v>
      </c>
      <c r="Z168" s="116">
        <f>Z169+Z179+Z188</f>
        <v>259806</v>
      </c>
      <c r="AA168" s="116">
        <f>AA169+AA179+AA188</f>
        <v>388844</v>
      </c>
      <c r="AB168" s="115"/>
      <c r="AC168" s="115"/>
      <c r="AD168" s="115"/>
      <c r="AE168" s="116">
        <f>AE169+AE179+AE188</f>
        <v>313008</v>
      </c>
      <c r="AF168" s="116">
        <f>AF169+AF179+AF188</f>
        <v>313838</v>
      </c>
      <c r="AG168" s="116">
        <f>AG169+AG179+AG188</f>
        <v>276048</v>
      </c>
      <c r="AH168" s="116">
        <f>AH169+AH179+AH188</f>
        <v>5826917</v>
      </c>
      <c r="AI168" s="116">
        <f>AI169+AI179+AI188</f>
        <v>4905038</v>
      </c>
      <c r="AJ168" s="116"/>
      <c r="AK168" s="116"/>
      <c r="AL168" s="116">
        <v>836575</v>
      </c>
      <c r="AM168" s="116">
        <v>85304</v>
      </c>
      <c r="AN168" s="116"/>
      <c r="AO168" s="117"/>
      <c r="AP168" s="109"/>
      <c r="AQ168" s="109"/>
    </row>
    <row r="169" spans="1:43" ht="15.6">
      <c r="A169" s="280" t="s">
        <v>811</v>
      </c>
      <c r="B169" s="120" t="s">
        <v>812</v>
      </c>
      <c r="C169" s="121"/>
      <c r="D169" s="122"/>
      <c r="E169" s="170"/>
      <c r="F169" s="171"/>
      <c r="G169" s="124">
        <v>7.59</v>
      </c>
      <c r="H169" s="124">
        <v>7.59</v>
      </c>
      <c r="I169" s="124"/>
      <c r="J169" s="125"/>
      <c r="K169" s="125"/>
      <c r="L169" s="125"/>
      <c r="M169" s="188">
        <v>88010</v>
      </c>
      <c r="N169" s="188">
        <v>88010</v>
      </c>
      <c r="O169" s="188">
        <v>88010</v>
      </c>
      <c r="P169" s="187"/>
      <c r="Q169" s="187"/>
      <c r="R169" s="187"/>
      <c r="S169" s="188">
        <v>88010</v>
      </c>
      <c r="T169" s="188">
        <v>88010</v>
      </c>
      <c r="U169" s="188">
        <v>88010</v>
      </c>
      <c r="V169" s="187"/>
      <c r="W169" s="187"/>
      <c r="X169" s="187"/>
      <c r="Y169" s="188">
        <v>88010</v>
      </c>
      <c r="Z169" s="188">
        <v>88010</v>
      </c>
      <c r="AA169" s="188">
        <v>88010</v>
      </c>
      <c r="AB169" s="187"/>
      <c r="AC169" s="187"/>
      <c r="AD169" s="187"/>
      <c r="AE169" s="188">
        <v>88010</v>
      </c>
      <c r="AF169" s="188">
        <v>88010</v>
      </c>
      <c r="AG169" s="188">
        <v>73735</v>
      </c>
      <c r="AH169" s="188">
        <f>SUM(AH170)</f>
        <v>1041845</v>
      </c>
      <c r="AI169" s="188">
        <f>SUM(AI170)</f>
        <v>1041845</v>
      </c>
      <c r="AJ169" s="126"/>
      <c r="AK169" s="126"/>
      <c r="AL169" s="126"/>
      <c r="AM169" s="126"/>
      <c r="AN169" s="126"/>
      <c r="AO169" s="281"/>
      <c r="AP169" s="120"/>
      <c r="AQ169" s="120"/>
    </row>
    <row r="170" spans="1:43" ht="46.8">
      <c r="A170" s="282" t="s">
        <v>813</v>
      </c>
      <c r="B170" s="130" t="s">
        <v>814</v>
      </c>
      <c r="C170" s="129"/>
      <c r="D170" s="150"/>
      <c r="E170" s="130"/>
      <c r="F170" s="283"/>
      <c r="G170" s="134">
        <v>100</v>
      </c>
      <c r="H170" s="134"/>
      <c r="I170" s="135">
        <v>100</v>
      </c>
      <c r="J170" s="136"/>
      <c r="K170" s="136"/>
      <c r="L170" s="136"/>
      <c r="M170" s="137">
        <f t="shared" ref="M170:N170" si="99">M171+M172+M173+M174+M175+M176+M177+M178</f>
        <v>88010</v>
      </c>
      <c r="N170" s="137">
        <f t="shared" si="99"/>
        <v>88010</v>
      </c>
      <c r="O170" s="137">
        <f>O171+O172+O173+O174+O175+O176+O177+O178</f>
        <v>88010</v>
      </c>
      <c r="P170" s="136"/>
      <c r="Q170" s="136"/>
      <c r="R170" s="136"/>
      <c r="S170" s="137">
        <v>88010</v>
      </c>
      <c r="T170" s="137">
        <v>88010</v>
      </c>
      <c r="U170" s="137">
        <v>88010</v>
      </c>
      <c r="V170" s="136"/>
      <c r="W170" s="136"/>
      <c r="X170" s="136"/>
      <c r="Y170" s="137">
        <v>88010</v>
      </c>
      <c r="Z170" s="137">
        <v>88010</v>
      </c>
      <c r="AA170" s="137">
        <v>88010</v>
      </c>
      <c r="AB170" s="136"/>
      <c r="AC170" s="136"/>
      <c r="AD170" s="136"/>
      <c r="AE170" s="137">
        <v>88010</v>
      </c>
      <c r="AF170" s="137">
        <v>88010</v>
      </c>
      <c r="AG170" s="137">
        <v>73735</v>
      </c>
      <c r="AH170" s="137">
        <f>SUM(AH171:AH178)</f>
        <v>1041845</v>
      </c>
      <c r="AI170" s="137">
        <f>SUM(AI171:AI178)</f>
        <v>1041845</v>
      </c>
      <c r="AJ170" s="137"/>
      <c r="AK170" s="137"/>
      <c r="AL170" s="137"/>
      <c r="AM170" s="137"/>
      <c r="AN170" s="137"/>
      <c r="AO170" s="150"/>
      <c r="AP170" s="130"/>
      <c r="AQ170" s="130"/>
    </row>
    <row r="171" spans="1:43" ht="46.8">
      <c r="A171" s="284" t="s">
        <v>815</v>
      </c>
      <c r="B171" s="146" t="s">
        <v>816</v>
      </c>
      <c r="C171" s="262">
        <v>104</v>
      </c>
      <c r="D171" s="145" t="s">
        <v>52</v>
      </c>
      <c r="E171" s="146" t="s">
        <v>817</v>
      </c>
      <c r="F171" s="285" t="s">
        <v>435</v>
      </c>
      <c r="G171" s="158">
        <v>13</v>
      </c>
      <c r="H171" s="158"/>
      <c r="I171" s="158"/>
      <c r="J171" s="286">
        <v>8</v>
      </c>
      <c r="K171" s="286">
        <v>8</v>
      </c>
      <c r="L171" s="286">
        <v>9</v>
      </c>
      <c r="M171" s="143">
        <v>10520</v>
      </c>
      <c r="N171" s="143">
        <v>10520</v>
      </c>
      <c r="O171" s="143">
        <v>10520</v>
      </c>
      <c r="P171" s="287">
        <v>8</v>
      </c>
      <c r="Q171" s="287">
        <v>9</v>
      </c>
      <c r="R171" s="287">
        <v>12</v>
      </c>
      <c r="S171" s="143">
        <v>10520</v>
      </c>
      <c r="T171" s="143">
        <v>10520</v>
      </c>
      <c r="U171" s="143">
        <v>10520</v>
      </c>
      <c r="V171" s="288">
        <v>8</v>
      </c>
      <c r="W171" s="288">
        <v>8</v>
      </c>
      <c r="X171" s="288">
        <v>9</v>
      </c>
      <c r="Y171" s="143">
        <v>10520</v>
      </c>
      <c r="Z171" s="143">
        <v>10520</v>
      </c>
      <c r="AA171" s="143">
        <v>10520</v>
      </c>
      <c r="AB171" s="286">
        <v>8</v>
      </c>
      <c r="AC171" s="286">
        <v>8</v>
      </c>
      <c r="AD171" s="286">
        <v>9</v>
      </c>
      <c r="AE171" s="143">
        <v>10520</v>
      </c>
      <c r="AF171" s="143">
        <v>10520</v>
      </c>
      <c r="AG171" s="143">
        <v>4610</v>
      </c>
      <c r="AH171" s="143">
        <v>120330</v>
      </c>
      <c r="AI171" s="143">
        <v>120330</v>
      </c>
      <c r="AJ171" s="143"/>
      <c r="AK171" s="143"/>
      <c r="AL171" s="143"/>
      <c r="AM171" s="143"/>
      <c r="AN171" s="143"/>
      <c r="AO171" s="177" t="s">
        <v>441</v>
      </c>
      <c r="AP171" s="276" t="s">
        <v>785</v>
      </c>
      <c r="AQ171" s="289"/>
    </row>
    <row r="172" spans="1:43" ht="46.8">
      <c r="A172" s="284" t="s">
        <v>818</v>
      </c>
      <c r="B172" s="153" t="s">
        <v>819</v>
      </c>
      <c r="C172" s="290">
        <v>12</v>
      </c>
      <c r="D172" s="258" t="s">
        <v>52</v>
      </c>
      <c r="E172" s="153" t="s">
        <v>820</v>
      </c>
      <c r="F172" s="291" t="s">
        <v>435</v>
      </c>
      <c r="G172" s="158">
        <v>38</v>
      </c>
      <c r="H172" s="158"/>
      <c r="I172" s="158"/>
      <c r="J172" s="292">
        <v>1</v>
      </c>
      <c r="K172" s="292">
        <v>1</v>
      </c>
      <c r="L172" s="292">
        <v>1</v>
      </c>
      <c r="M172" s="143">
        <v>39515</v>
      </c>
      <c r="N172" s="143">
        <v>39515</v>
      </c>
      <c r="O172" s="143">
        <v>39515</v>
      </c>
      <c r="P172" s="292">
        <v>1</v>
      </c>
      <c r="Q172" s="292">
        <v>1</v>
      </c>
      <c r="R172" s="292">
        <v>1</v>
      </c>
      <c r="S172" s="143">
        <v>39515</v>
      </c>
      <c r="T172" s="143">
        <v>39515</v>
      </c>
      <c r="U172" s="143">
        <v>39515</v>
      </c>
      <c r="V172" s="292">
        <v>1</v>
      </c>
      <c r="W172" s="292">
        <v>1</v>
      </c>
      <c r="X172" s="292">
        <v>1</v>
      </c>
      <c r="Y172" s="143">
        <v>39515</v>
      </c>
      <c r="Z172" s="143">
        <v>39515</v>
      </c>
      <c r="AA172" s="143">
        <v>39515</v>
      </c>
      <c r="AB172" s="142">
        <v>1</v>
      </c>
      <c r="AC172" s="142">
        <v>1</v>
      </c>
      <c r="AD172" s="142">
        <v>1</v>
      </c>
      <c r="AE172" s="143">
        <v>39515</v>
      </c>
      <c r="AF172" s="143">
        <v>39515</v>
      </c>
      <c r="AG172" s="143">
        <v>39510</v>
      </c>
      <c r="AH172" s="143">
        <v>474175</v>
      </c>
      <c r="AI172" s="144">
        <v>474175</v>
      </c>
      <c r="AJ172" s="143"/>
      <c r="AK172" s="143"/>
      <c r="AL172" s="143"/>
      <c r="AM172" s="143"/>
      <c r="AN172" s="143"/>
      <c r="AO172" s="177" t="s">
        <v>441</v>
      </c>
      <c r="AP172" s="276" t="s">
        <v>796</v>
      </c>
      <c r="AQ172" s="146"/>
    </row>
    <row r="173" spans="1:43" ht="62.4">
      <c r="A173" s="284" t="s">
        <v>821</v>
      </c>
      <c r="B173" s="293" t="s">
        <v>822</v>
      </c>
      <c r="C173" s="164">
        <v>12</v>
      </c>
      <c r="D173" s="294" t="s">
        <v>823</v>
      </c>
      <c r="E173" s="293" t="s">
        <v>824</v>
      </c>
      <c r="F173" s="291" t="s">
        <v>435</v>
      </c>
      <c r="G173" s="158">
        <v>2</v>
      </c>
      <c r="H173" s="158"/>
      <c r="I173" s="158"/>
      <c r="J173" s="292">
        <v>1</v>
      </c>
      <c r="K173" s="292">
        <v>1</v>
      </c>
      <c r="L173" s="292">
        <v>1</v>
      </c>
      <c r="M173" s="143">
        <v>1505</v>
      </c>
      <c r="N173" s="143">
        <v>1505</v>
      </c>
      <c r="O173" s="143">
        <v>1505</v>
      </c>
      <c r="P173" s="292">
        <v>1</v>
      </c>
      <c r="Q173" s="292">
        <v>1</v>
      </c>
      <c r="R173" s="292">
        <v>1</v>
      </c>
      <c r="S173" s="143">
        <v>1505</v>
      </c>
      <c r="T173" s="143">
        <v>1505</v>
      </c>
      <c r="U173" s="143">
        <v>1505</v>
      </c>
      <c r="V173" s="292">
        <v>1</v>
      </c>
      <c r="W173" s="292">
        <v>1</v>
      </c>
      <c r="X173" s="292">
        <v>1</v>
      </c>
      <c r="Y173" s="143">
        <v>1505</v>
      </c>
      <c r="Z173" s="143">
        <v>1505</v>
      </c>
      <c r="AA173" s="143">
        <v>1505</v>
      </c>
      <c r="AB173" s="142">
        <v>1</v>
      </c>
      <c r="AC173" s="142">
        <v>1</v>
      </c>
      <c r="AD173" s="142">
        <v>1</v>
      </c>
      <c r="AE173" s="143">
        <v>1505</v>
      </c>
      <c r="AF173" s="143">
        <v>1505</v>
      </c>
      <c r="AG173" s="143">
        <v>1500</v>
      </c>
      <c r="AH173" s="143">
        <v>18055</v>
      </c>
      <c r="AI173" s="143">
        <v>18055</v>
      </c>
      <c r="AJ173" s="143"/>
      <c r="AK173" s="143"/>
      <c r="AL173" s="143"/>
      <c r="AM173" s="143"/>
      <c r="AN173" s="143"/>
      <c r="AO173" s="177" t="s">
        <v>441</v>
      </c>
      <c r="AP173" s="276" t="s">
        <v>825</v>
      </c>
      <c r="AQ173" s="295"/>
    </row>
    <row r="174" spans="1:43" ht="62.4">
      <c r="A174" s="284" t="s">
        <v>826</v>
      </c>
      <c r="B174" s="153" t="s">
        <v>827</v>
      </c>
      <c r="C174" s="164">
        <v>1440</v>
      </c>
      <c r="D174" s="258" t="s">
        <v>57</v>
      </c>
      <c r="E174" s="153" t="s">
        <v>828</v>
      </c>
      <c r="F174" s="291" t="s">
        <v>435</v>
      </c>
      <c r="G174" s="158">
        <v>20</v>
      </c>
      <c r="H174" s="158"/>
      <c r="I174" s="158"/>
      <c r="J174" s="142">
        <v>120</v>
      </c>
      <c r="K174" s="142">
        <v>120</v>
      </c>
      <c r="L174" s="142">
        <v>120</v>
      </c>
      <c r="M174" s="143">
        <v>15554</v>
      </c>
      <c r="N174" s="143">
        <v>15554</v>
      </c>
      <c r="O174" s="143">
        <v>15554</v>
      </c>
      <c r="P174" s="142">
        <v>120</v>
      </c>
      <c r="Q174" s="142">
        <v>120</v>
      </c>
      <c r="R174" s="142">
        <v>120</v>
      </c>
      <c r="S174" s="143">
        <v>15554</v>
      </c>
      <c r="T174" s="143">
        <v>15554</v>
      </c>
      <c r="U174" s="143">
        <v>15554</v>
      </c>
      <c r="V174" s="142">
        <v>120</v>
      </c>
      <c r="W174" s="142">
        <v>120</v>
      </c>
      <c r="X174" s="142">
        <v>120</v>
      </c>
      <c r="Y174" s="143">
        <v>15554</v>
      </c>
      <c r="Z174" s="143">
        <v>15554</v>
      </c>
      <c r="AA174" s="143">
        <v>15554</v>
      </c>
      <c r="AB174" s="142">
        <v>120</v>
      </c>
      <c r="AC174" s="142">
        <v>120</v>
      </c>
      <c r="AD174" s="142">
        <v>120</v>
      </c>
      <c r="AE174" s="143">
        <v>15554</v>
      </c>
      <c r="AF174" s="143">
        <v>15554</v>
      </c>
      <c r="AG174" s="143">
        <v>11151</v>
      </c>
      <c r="AH174" s="143">
        <v>182245</v>
      </c>
      <c r="AI174" s="144">
        <v>182245</v>
      </c>
      <c r="AJ174" s="143"/>
      <c r="AK174" s="143"/>
      <c r="AL174" s="143"/>
      <c r="AM174" s="143"/>
      <c r="AN174" s="143"/>
      <c r="AO174" s="177" t="s">
        <v>441</v>
      </c>
      <c r="AP174" s="146" t="s">
        <v>829</v>
      </c>
      <c r="AQ174" s="146"/>
    </row>
    <row r="175" spans="1:43" ht="46.8">
      <c r="A175" s="284" t="s">
        <v>830</v>
      </c>
      <c r="B175" s="153" t="s">
        <v>831</v>
      </c>
      <c r="C175" s="164">
        <v>2400</v>
      </c>
      <c r="D175" s="258" t="s">
        <v>57</v>
      </c>
      <c r="E175" s="153" t="s">
        <v>832</v>
      </c>
      <c r="F175" s="291" t="s">
        <v>435</v>
      </c>
      <c r="G175" s="158">
        <v>11</v>
      </c>
      <c r="H175" s="158"/>
      <c r="I175" s="158"/>
      <c r="J175" s="142">
        <v>200</v>
      </c>
      <c r="K175" s="142">
        <v>200</v>
      </c>
      <c r="L175" s="142">
        <v>200</v>
      </c>
      <c r="M175" s="143">
        <v>9026</v>
      </c>
      <c r="N175" s="143">
        <v>9026</v>
      </c>
      <c r="O175" s="143">
        <v>9026</v>
      </c>
      <c r="P175" s="142">
        <v>200</v>
      </c>
      <c r="Q175" s="142">
        <v>200</v>
      </c>
      <c r="R175" s="142">
        <v>200</v>
      </c>
      <c r="S175" s="143">
        <v>9026</v>
      </c>
      <c r="T175" s="143">
        <v>9026</v>
      </c>
      <c r="U175" s="143">
        <v>9026</v>
      </c>
      <c r="V175" s="142">
        <v>200</v>
      </c>
      <c r="W175" s="142">
        <v>200</v>
      </c>
      <c r="X175" s="142">
        <v>200</v>
      </c>
      <c r="Y175" s="143">
        <v>9026</v>
      </c>
      <c r="Z175" s="143">
        <v>9026</v>
      </c>
      <c r="AA175" s="143">
        <v>9026</v>
      </c>
      <c r="AB175" s="142">
        <v>200</v>
      </c>
      <c r="AC175" s="142">
        <v>200</v>
      </c>
      <c r="AD175" s="142">
        <v>200</v>
      </c>
      <c r="AE175" s="143">
        <v>9026</v>
      </c>
      <c r="AF175" s="143">
        <v>9026</v>
      </c>
      <c r="AG175" s="143">
        <v>9029</v>
      </c>
      <c r="AH175" s="143">
        <v>108315</v>
      </c>
      <c r="AI175" s="143">
        <v>108315</v>
      </c>
      <c r="AJ175" s="143"/>
      <c r="AK175" s="143"/>
      <c r="AL175" s="143"/>
      <c r="AM175" s="143"/>
      <c r="AN175" s="143"/>
      <c r="AO175" s="177" t="s">
        <v>441</v>
      </c>
      <c r="AP175" s="146" t="s">
        <v>833</v>
      </c>
      <c r="AQ175" s="295"/>
    </row>
    <row r="176" spans="1:43" ht="62.4">
      <c r="A176" s="284" t="s">
        <v>834</v>
      </c>
      <c r="B176" s="153" t="s">
        <v>835</v>
      </c>
      <c r="C176" s="164">
        <v>16</v>
      </c>
      <c r="D176" s="258" t="s">
        <v>52</v>
      </c>
      <c r="E176" s="153" t="s">
        <v>836</v>
      </c>
      <c r="F176" s="291" t="s">
        <v>435</v>
      </c>
      <c r="G176" s="158">
        <v>9</v>
      </c>
      <c r="H176" s="158"/>
      <c r="I176" s="158"/>
      <c r="J176" s="292">
        <v>1</v>
      </c>
      <c r="K176" s="292">
        <v>1</v>
      </c>
      <c r="L176" s="292">
        <v>2</v>
      </c>
      <c r="M176" s="143">
        <v>7197</v>
      </c>
      <c r="N176" s="143">
        <v>7197</v>
      </c>
      <c r="O176" s="143">
        <v>7197</v>
      </c>
      <c r="P176" s="292">
        <v>1</v>
      </c>
      <c r="Q176" s="292">
        <v>1</v>
      </c>
      <c r="R176" s="292">
        <v>2</v>
      </c>
      <c r="S176" s="143">
        <v>7197</v>
      </c>
      <c r="T176" s="143">
        <v>7197</v>
      </c>
      <c r="U176" s="143">
        <v>7197</v>
      </c>
      <c r="V176" s="292">
        <v>1</v>
      </c>
      <c r="W176" s="292">
        <v>1</v>
      </c>
      <c r="X176" s="292">
        <v>2</v>
      </c>
      <c r="Y176" s="143">
        <v>7197</v>
      </c>
      <c r="Z176" s="143">
        <v>7197</v>
      </c>
      <c r="AA176" s="143">
        <v>7197</v>
      </c>
      <c r="AB176" s="142">
        <v>1</v>
      </c>
      <c r="AC176" s="142">
        <v>1</v>
      </c>
      <c r="AD176" s="142">
        <v>2</v>
      </c>
      <c r="AE176" s="143">
        <v>7197</v>
      </c>
      <c r="AF176" s="143">
        <v>7197</v>
      </c>
      <c r="AG176" s="143">
        <v>6503</v>
      </c>
      <c r="AH176" s="143">
        <v>85670</v>
      </c>
      <c r="AI176" s="144">
        <v>85670</v>
      </c>
      <c r="AJ176" s="143"/>
      <c r="AK176" s="143"/>
      <c r="AL176" s="143"/>
      <c r="AM176" s="143"/>
      <c r="AN176" s="143"/>
      <c r="AO176" s="177" t="s">
        <v>441</v>
      </c>
      <c r="AP176" s="146" t="s">
        <v>837</v>
      </c>
      <c r="AQ176" s="295"/>
    </row>
    <row r="177" spans="1:43" ht="62.4">
      <c r="A177" s="284" t="s">
        <v>838</v>
      </c>
      <c r="B177" s="153" t="s">
        <v>839</v>
      </c>
      <c r="C177" s="164">
        <v>12</v>
      </c>
      <c r="D177" s="258" t="s">
        <v>52</v>
      </c>
      <c r="E177" s="153" t="s">
        <v>840</v>
      </c>
      <c r="F177" s="291" t="s">
        <v>435</v>
      </c>
      <c r="G177" s="158">
        <v>3</v>
      </c>
      <c r="H177" s="158"/>
      <c r="I177" s="158"/>
      <c r="J177" s="292">
        <v>1</v>
      </c>
      <c r="K177" s="292">
        <v>1</v>
      </c>
      <c r="L177" s="292">
        <v>1</v>
      </c>
      <c r="M177" s="143">
        <v>1594</v>
      </c>
      <c r="N177" s="143">
        <v>1594</v>
      </c>
      <c r="O177" s="143">
        <v>1594</v>
      </c>
      <c r="P177" s="292">
        <v>1</v>
      </c>
      <c r="Q177" s="292">
        <v>1</v>
      </c>
      <c r="R177" s="292">
        <v>1</v>
      </c>
      <c r="S177" s="143">
        <v>1594</v>
      </c>
      <c r="T177" s="143">
        <v>1594</v>
      </c>
      <c r="U177" s="143">
        <v>1594</v>
      </c>
      <c r="V177" s="292">
        <v>1</v>
      </c>
      <c r="W177" s="292">
        <v>1</v>
      </c>
      <c r="X177" s="292">
        <v>1</v>
      </c>
      <c r="Y177" s="143">
        <v>1594</v>
      </c>
      <c r="Z177" s="143">
        <v>1594</v>
      </c>
      <c r="AA177" s="143">
        <v>1594</v>
      </c>
      <c r="AB177" s="142">
        <v>1</v>
      </c>
      <c r="AC177" s="142">
        <v>1</v>
      </c>
      <c r="AD177" s="142">
        <v>1</v>
      </c>
      <c r="AE177" s="143">
        <v>1594</v>
      </c>
      <c r="AF177" s="143">
        <v>1594</v>
      </c>
      <c r="AG177" s="143">
        <v>796</v>
      </c>
      <c r="AH177" s="143">
        <v>18330</v>
      </c>
      <c r="AI177" s="143">
        <v>18330</v>
      </c>
      <c r="AJ177" s="143"/>
      <c r="AK177" s="143"/>
      <c r="AL177" s="143"/>
      <c r="AM177" s="143"/>
      <c r="AN177" s="143"/>
      <c r="AO177" s="177" t="s">
        <v>441</v>
      </c>
      <c r="AP177" s="146" t="s">
        <v>841</v>
      </c>
      <c r="AQ177" s="295"/>
    </row>
    <row r="178" spans="1:43" ht="62.4">
      <c r="A178" s="284" t="s">
        <v>842</v>
      </c>
      <c r="B178" s="153" t="s">
        <v>843</v>
      </c>
      <c r="C178" s="164">
        <v>12</v>
      </c>
      <c r="D178" s="258" t="s">
        <v>52</v>
      </c>
      <c r="E178" s="153" t="s">
        <v>844</v>
      </c>
      <c r="F178" s="291" t="s">
        <v>435</v>
      </c>
      <c r="G178" s="158">
        <v>4</v>
      </c>
      <c r="H178" s="158"/>
      <c r="I178" s="158"/>
      <c r="J178" s="292">
        <v>1</v>
      </c>
      <c r="K178" s="292">
        <v>1</v>
      </c>
      <c r="L178" s="292">
        <v>1</v>
      </c>
      <c r="M178" s="143">
        <v>3099</v>
      </c>
      <c r="N178" s="143">
        <v>3099</v>
      </c>
      <c r="O178" s="143">
        <v>3099</v>
      </c>
      <c r="P178" s="292">
        <v>1</v>
      </c>
      <c r="Q178" s="292">
        <v>1</v>
      </c>
      <c r="R178" s="292">
        <v>1</v>
      </c>
      <c r="S178" s="143">
        <v>3099</v>
      </c>
      <c r="T178" s="143">
        <v>3099</v>
      </c>
      <c r="U178" s="143">
        <v>3099</v>
      </c>
      <c r="V178" s="292">
        <v>1</v>
      </c>
      <c r="W178" s="292">
        <v>1</v>
      </c>
      <c r="X178" s="292">
        <v>1</v>
      </c>
      <c r="Y178" s="143">
        <v>3099</v>
      </c>
      <c r="Z178" s="143">
        <v>3099</v>
      </c>
      <c r="AA178" s="143">
        <v>3099</v>
      </c>
      <c r="AB178" s="142">
        <v>1</v>
      </c>
      <c r="AC178" s="142">
        <v>1</v>
      </c>
      <c r="AD178" s="142">
        <v>1</v>
      </c>
      <c r="AE178" s="143">
        <v>3099</v>
      </c>
      <c r="AF178" s="143">
        <v>3099</v>
      </c>
      <c r="AG178" s="143">
        <v>636</v>
      </c>
      <c r="AH178" s="143">
        <v>34725</v>
      </c>
      <c r="AI178" s="144">
        <v>34725</v>
      </c>
      <c r="AJ178" s="143"/>
      <c r="AK178" s="143"/>
      <c r="AL178" s="143"/>
      <c r="AM178" s="143"/>
      <c r="AN178" s="143"/>
      <c r="AO178" s="177" t="s">
        <v>441</v>
      </c>
      <c r="AP178" s="146" t="s">
        <v>845</v>
      </c>
      <c r="AQ178" s="146"/>
    </row>
    <row r="179" spans="1:43" ht="15.6">
      <c r="A179" s="280" t="s">
        <v>846</v>
      </c>
      <c r="B179" s="120" t="s">
        <v>847</v>
      </c>
      <c r="C179" s="296"/>
      <c r="D179" s="127"/>
      <c r="E179" s="120"/>
      <c r="F179" s="297"/>
      <c r="G179" s="124">
        <v>11.3</v>
      </c>
      <c r="H179" s="124">
        <v>11.3</v>
      </c>
      <c r="I179" s="124"/>
      <c r="J179" s="298"/>
      <c r="K179" s="298"/>
      <c r="L179" s="298"/>
      <c r="M179" s="188">
        <f t="shared" ref="M179:N179" si="100">M180</f>
        <v>107757</v>
      </c>
      <c r="N179" s="188">
        <f t="shared" si="100"/>
        <v>107757</v>
      </c>
      <c r="O179" s="188">
        <f>O180</f>
        <v>134858</v>
      </c>
      <c r="P179" s="299"/>
      <c r="Q179" s="299"/>
      <c r="R179" s="299"/>
      <c r="S179" s="188">
        <v>107757</v>
      </c>
      <c r="T179" s="188">
        <v>107757</v>
      </c>
      <c r="U179" s="188">
        <v>134858</v>
      </c>
      <c r="V179" s="299"/>
      <c r="W179" s="299"/>
      <c r="X179" s="299"/>
      <c r="Y179" s="188">
        <v>107757</v>
      </c>
      <c r="Z179" s="188">
        <v>107757</v>
      </c>
      <c r="AA179" s="188">
        <v>134858</v>
      </c>
      <c r="AB179" s="187"/>
      <c r="AC179" s="187"/>
      <c r="AD179" s="187"/>
      <c r="AE179" s="188">
        <v>107757</v>
      </c>
      <c r="AF179" s="188">
        <v>107757</v>
      </c>
      <c r="AG179" s="188">
        <v>134863</v>
      </c>
      <c r="AH179" s="188">
        <f>SUM(AH180)</f>
        <v>1401493</v>
      </c>
      <c r="AI179" s="217">
        <v>1234938</v>
      </c>
      <c r="AJ179" s="126"/>
      <c r="AK179" s="126"/>
      <c r="AL179" s="126">
        <v>166555</v>
      </c>
      <c r="AM179" s="126"/>
      <c r="AN179" s="126"/>
      <c r="AO179" s="300"/>
      <c r="AP179" s="120"/>
      <c r="AQ179" s="120"/>
    </row>
    <row r="180" spans="1:43" ht="46.8">
      <c r="A180" s="282" t="s">
        <v>848</v>
      </c>
      <c r="B180" s="130" t="s">
        <v>849</v>
      </c>
      <c r="C180" s="301"/>
      <c r="D180" s="150"/>
      <c r="E180" s="130"/>
      <c r="F180" s="302"/>
      <c r="G180" s="134">
        <v>100</v>
      </c>
      <c r="H180" s="134"/>
      <c r="I180" s="135">
        <v>100</v>
      </c>
      <c r="J180" s="303"/>
      <c r="K180" s="303"/>
      <c r="L180" s="303"/>
      <c r="M180" s="137">
        <f t="shared" ref="M180:N180" si="101">M181+M182+M183+M184+M185+M186+M187</f>
        <v>107757</v>
      </c>
      <c r="N180" s="137">
        <f t="shared" si="101"/>
        <v>107757</v>
      </c>
      <c r="O180" s="137">
        <f>O181+O182+O183+O184+O185+O186+O187</f>
        <v>134858</v>
      </c>
      <c r="P180" s="303"/>
      <c r="Q180" s="303"/>
      <c r="R180" s="303"/>
      <c r="S180" s="137">
        <v>107757</v>
      </c>
      <c r="T180" s="137">
        <v>107757</v>
      </c>
      <c r="U180" s="137">
        <v>134858</v>
      </c>
      <c r="V180" s="303"/>
      <c r="W180" s="303"/>
      <c r="X180" s="303"/>
      <c r="Y180" s="137">
        <v>107757</v>
      </c>
      <c r="Z180" s="137">
        <v>107757</v>
      </c>
      <c r="AA180" s="137">
        <v>134858</v>
      </c>
      <c r="AB180" s="136"/>
      <c r="AC180" s="136"/>
      <c r="AD180" s="136"/>
      <c r="AE180" s="137">
        <v>107757</v>
      </c>
      <c r="AF180" s="137">
        <v>107757</v>
      </c>
      <c r="AG180" s="137">
        <v>134863</v>
      </c>
      <c r="AH180" s="137">
        <f>SUM(AH181:AH187)</f>
        <v>1401493</v>
      </c>
      <c r="AI180" s="137">
        <f>SUM(AI181:AI187)</f>
        <v>1234938</v>
      </c>
      <c r="AJ180" s="137"/>
      <c r="AK180" s="137"/>
      <c r="AL180" s="137">
        <v>166555</v>
      </c>
      <c r="AM180" s="137"/>
      <c r="AN180" s="137"/>
      <c r="AO180" s="270"/>
      <c r="AP180" s="130"/>
      <c r="AQ180" s="130"/>
    </row>
    <row r="181" spans="1:43" ht="46.8">
      <c r="A181" s="284" t="s">
        <v>850</v>
      </c>
      <c r="B181" s="153" t="s">
        <v>851</v>
      </c>
      <c r="C181" s="164">
        <v>4</v>
      </c>
      <c r="D181" s="258" t="s">
        <v>57</v>
      </c>
      <c r="E181" s="153" t="s">
        <v>852</v>
      </c>
      <c r="F181" s="291" t="s">
        <v>435</v>
      </c>
      <c r="G181" s="158">
        <v>8</v>
      </c>
      <c r="H181" s="158"/>
      <c r="I181" s="158"/>
      <c r="J181" s="142"/>
      <c r="K181" s="142"/>
      <c r="L181" s="142">
        <v>1</v>
      </c>
      <c r="M181" s="143"/>
      <c r="N181" s="143"/>
      <c r="O181" s="143">
        <v>27101</v>
      </c>
      <c r="P181" s="142"/>
      <c r="Q181" s="142"/>
      <c r="R181" s="142">
        <v>1</v>
      </c>
      <c r="S181" s="143"/>
      <c r="T181" s="143"/>
      <c r="U181" s="143">
        <v>27101</v>
      </c>
      <c r="V181" s="142"/>
      <c r="W181" s="142"/>
      <c r="X181" s="142">
        <v>1</v>
      </c>
      <c r="Y181" s="143"/>
      <c r="Z181" s="143"/>
      <c r="AA181" s="143">
        <v>27101</v>
      </c>
      <c r="AB181" s="142"/>
      <c r="AC181" s="142"/>
      <c r="AD181" s="142">
        <v>1</v>
      </c>
      <c r="AE181" s="143"/>
      <c r="AF181" s="143"/>
      <c r="AG181" s="143">
        <v>27102</v>
      </c>
      <c r="AH181" s="143">
        <v>108405</v>
      </c>
      <c r="AI181" s="143">
        <v>108405</v>
      </c>
      <c r="AJ181" s="143"/>
      <c r="AK181" s="143"/>
      <c r="AL181" s="257"/>
      <c r="AM181" s="143"/>
      <c r="AN181" s="143"/>
      <c r="AO181" s="177" t="s">
        <v>441</v>
      </c>
      <c r="AP181" s="146" t="s">
        <v>853</v>
      </c>
      <c r="AQ181" s="295"/>
    </row>
    <row r="182" spans="1:43" ht="62.4">
      <c r="A182" s="284" t="s">
        <v>854</v>
      </c>
      <c r="B182" s="153" t="s">
        <v>855</v>
      </c>
      <c r="C182" s="164">
        <v>12</v>
      </c>
      <c r="D182" s="258" t="s">
        <v>52</v>
      </c>
      <c r="E182" s="153" t="s">
        <v>856</v>
      </c>
      <c r="F182" s="291" t="s">
        <v>435</v>
      </c>
      <c r="G182" s="158">
        <v>10</v>
      </c>
      <c r="H182" s="158"/>
      <c r="I182" s="158"/>
      <c r="J182" s="142">
        <v>1</v>
      </c>
      <c r="K182" s="142">
        <v>1</v>
      </c>
      <c r="L182" s="142">
        <v>1</v>
      </c>
      <c r="M182" s="143">
        <v>12678</v>
      </c>
      <c r="N182" s="143">
        <v>12678</v>
      </c>
      <c r="O182" s="143">
        <v>12678</v>
      </c>
      <c r="P182" s="292">
        <v>1</v>
      </c>
      <c r="Q182" s="292">
        <v>1</v>
      </c>
      <c r="R182" s="142">
        <v>1</v>
      </c>
      <c r="S182" s="143">
        <v>12678</v>
      </c>
      <c r="T182" s="143">
        <v>12678</v>
      </c>
      <c r="U182" s="143">
        <v>12678</v>
      </c>
      <c r="V182" s="142">
        <v>1</v>
      </c>
      <c r="W182" s="142">
        <v>1</v>
      </c>
      <c r="X182" s="142">
        <v>1</v>
      </c>
      <c r="Y182" s="143">
        <v>12678</v>
      </c>
      <c r="Z182" s="143">
        <v>12678</v>
      </c>
      <c r="AA182" s="143">
        <v>12678</v>
      </c>
      <c r="AB182" s="142">
        <v>1</v>
      </c>
      <c r="AC182" s="142">
        <v>1</v>
      </c>
      <c r="AD182" s="142">
        <v>1</v>
      </c>
      <c r="AE182" s="143">
        <v>12678</v>
      </c>
      <c r="AF182" s="143">
        <v>12678</v>
      </c>
      <c r="AG182" s="143">
        <v>12677</v>
      </c>
      <c r="AH182" s="143">
        <v>152135</v>
      </c>
      <c r="AI182" s="143">
        <v>152135</v>
      </c>
      <c r="AJ182" s="143"/>
      <c r="AK182" s="143"/>
      <c r="AL182" s="257"/>
      <c r="AM182" s="143"/>
      <c r="AN182" s="143"/>
      <c r="AO182" s="177" t="s">
        <v>441</v>
      </c>
      <c r="AP182" s="146" t="s">
        <v>857</v>
      </c>
      <c r="AQ182" s="289"/>
    </row>
    <row r="183" spans="1:43" ht="78">
      <c r="A183" s="284" t="s">
        <v>858</v>
      </c>
      <c r="B183" s="153" t="s">
        <v>859</v>
      </c>
      <c r="C183" s="164">
        <v>12</v>
      </c>
      <c r="D183" s="258" t="s">
        <v>52</v>
      </c>
      <c r="E183" s="153" t="s">
        <v>860</v>
      </c>
      <c r="F183" s="291" t="s">
        <v>435</v>
      </c>
      <c r="G183" s="158">
        <v>46</v>
      </c>
      <c r="H183" s="158"/>
      <c r="I183" s="158"/>
      <c r="J183" s="142">
        <v>1</v>
      </c>
      <c r="K183" s="142">
        <v>1</v>
      </c>
      <c r="L183" s="142">
        <v>1</v>
      </c>
      <c r="M183" s="143">
        <v>54362</v>
      </c>
      <c r="N183" s="143">
        <v>54362</v>
      </c>
      <c r="O183" s="143">
        <v>54362</v>
      </c>
      <c r="P183" s="142">
        <v>1</v>
      </c>
      <c r="Q183" s="142">
        <v>1</v>
      </c>
      <c r="R183" s="142">
        <v>1</v>
      </c>
      <c r="S183" s="143">
        <v>54362</v>
      </c>
      <c r="T183" s="143">
        <v>54362</v>
      </c>
      <c r="U183" s="143">
        <v>54362</v>
      </c>
      <c r="V183" s="142">
        <v>1</v>
      </c>
      <c r="W183" s="142">
        <v>1</v>
      </c>
      <c r="X183" s="142">
        <v>1</v>
      </c>
      <c r="Y183" s="143">
        <v>54362</v>
      </c>
      <c r="Z183" s="143">
        <v>54362</v>
      </c>
      <c r="AA183" s="143">
        <v>54362</v>
      </c>
      <c r="AB183" s="142">
        <v>1</v>
      </c>
      <c r="AC183" s="142">
        <v>1</v>
      </c>
      <c r="AD183" s="142">
        <v>1</v>
      </c>
      <c r="AE183" s="143">
        <v>54362</v>
      </c>
      <c r="AF183" s="143">
        <v>54362</v>
      </c>
      <c r="AG183" s="143">
        <v>61546</v>
      </c>
      <c r="AH183" s="143">
        <v>659528</v>
      </c>
      <c r="AI183" s="143">
        <v>492973</v>
      </c>
      <c r="AJ183" s="143"/>
      <c r="AK183" s="143"/>
      <c r="AL183" s="143">
        <v>166555</v>
      </c>
      <c r="AM183" s="143"/>
      <c r="AN183" s="143"/>
      <c r="AO183" s="177" t="s">
        <v>441</v>
      </c>
      <c r="AP183" s="146" t="s">
        <v>861</v>
      </c>
      <c r="AQ183" s="146"/>
    </row>
    <row r="184" spans="1:43" ht="124.8">
      <c r="A184" s="284" t="s">
        <v>862</v>
      </c>
      <c r="B184" s="153" t="s">
        <v>863</v>
      </c>
      <c r="C184" s="164">
        <v>12</v>
      </c>
      <c r="D184" s="258" t="s">
        <v>52</v>
      </c>
      <c r="E184" s="153" t="s">
        <v>864</v>
      </c>
      <c r="F184" s="291" t="s">
        <v>435</v>
      </c>
      <c r="G184" s="158">
        <v>12</v>
      </c>
      <c r="H184" s="158"/>
      <c r="I184" s="158"/>
      <c r="J184" s="142">
        <v>1</v>
      </c>
      <c r="K184" s="142">
        <v>1</v>
      </c>
      <c r="L184" s="142">
        <v>1</v>
      </c>
      <c r="M184" s="143">
        <v>13770</v>
      </c>
      <c r="N184" s="143">
        <v>13770</v>
      </c>
      <c r="O184" s="143">
        <v>13770</v>
      </c>
      <c r="P184" s="142">
        <v>1</v>
      </c>
      <c r="Q184" s="142">
        <v>1</v>
      </c>
      <c r="R184" s="142">
        <v>1</v>
      </c>
      <c r="S184" s="143">
        <v>13770</v>
      </c>
      <c r="T184" s="143">
        <v>13770</v>
      </c>
      <c r="U184" s="143">
        <v>13770</v>
      </c>
      <c r="V184" s="142">
        <v>1</v>
      </c>
      <c r="W184" s="142">
        <v>1</v>
      </c>
      <c r="X184" s="142">
        <v>1</v>
      </c>
      <c r="Y184" s="143">
        <v>13770</v>
      </c>
      <c r="Z184" s="143">
        <v>13770</v>
      </c>
      <c r="AA184" s="143">
        <v>13770</v>
      </c>
      <c r="AB184" s="142">
        <v>1</v>
      </c>
      <c r="AC184" s="142">
        <v>1</v>
      </c>
      <c r="AD184" s="142">
        <v>1</v>
      </c>
      <c r="AE184" s="143">
        <v>13770</v>
      </c>
      <c r="AF184" s="143">
        <v>13770</v>
      </c>
      <c r="AG184" s="143">
        <v>13765</v>
      </c>
      <c r="AH184" s="143">
        <v>165235</v>
      </c>
      <c r="AI184" s="143">
        <v>165235</v>
      </c>
      <c r="AJ184" s="143"/>
      <c r="AK184" s="143"/>
      <c r="AL184" s="143"/>
      <c r="AM184" s="143"/>
      <c r="AN184" s="143"/>
      <c r="AO184" s="177" t="s">
        <v>441</v>
      </c>
      <c r="AP184" s="146" t="s">
        <v>865</v>
      </c>
      <c r="AQ184" s="295"/>
    </row>
    <row r="185" spans="1:43" ht="62.4">
      <c r="A185" s="284" t="s">
        <v>866</v>
      </c>
      <c r="B185" s="153" t="s">
        <v>867</v>
      </c>
      <c r="C185" s="164">
        <v>12</v>
      </c>
      <c r="D185" s="258" t="s">
        <v>52</v>
      </c>
      <c r="E185" s="153" t="s">
        <v>868</v>
      </c>
      <c r="F185" s="291" t="s">
        <v>435</v>
      </c>
      <c r="G185" s="158">
        <v>7</v>
      </c>
      <c r="H185" s="158"/>
      <c r="I185" s="158"/>
      <c r="J185" s="142">
        <v>1</v>
      </c>
      <c r="K185" s="142">
        <v>1</v>
      </c>
      <c r="L185" s="142">
        <v>1</v>
      </c>
      <c r="M185" s="143">
        <v>8483</v>
      </c>
      <c r="N185" s="143">
        <v>8483</v>
      </c>
      <c r="O185" s="143">
        <v>8483</v>
      </c>
      <c r="P185" s="142">
        <v>1</v>
      </c>
      <c r="Q185" s="142">
        <v>1</v>
      </c>
      <c r="R185" s="142">
        <v>1</v>
      </c>
      <c r="S185" s="143">
        <v>8483</v>
      </c>
      <c r="T185" s="143">
        <v>8483</v>
      </c>
      <c r="U185" s="143">
        <v>8483</v>
      </c>
      <c r="V185" s="142">
        <v>1</v>
      </c>
      <c r="W185" s="142">
        <v>1</v>
      </c>
      <c r="X185" s="142">
        <v>1</v>
      </c>
      <c r="Y185" s="143">
        <v>8483</v>
      </c>
      <c r="Z185" s="143">
        <v>8483</v>
      </c>
      <c r="AA185" s="143">
        <v>8483</v>
      </c>
      <c r="AB185" s="142">
        <v>1</v>
      </c>
      <c r="AC185" s="142">
        <v>1</v>
      </c>
      <c r="AD185" s="142">
        <v>1</v>
      </c>
      <c r="AE185" s="143">
        <v>8483</v>
      </c>
      <c r="AF185" s="143">
        <v>8483</v>
      </c>
      <c r="AG185" s="143">
        <v>1302</v>
      </c>
      <c r="AH185" s="143">
        <v>94615</v>
      </c>
      <c r="AI185" s="143">
        <v>94615</v>
      </c>
      <c r="AJ185" s="143"/>
      <c r="AK185" s="143"/>
      <c r="AL185" s="143"/>
      <c r="AM185" s="143"/>
      <c r="AN185" s="143"/>
      <c r="AO185" s="177" t="s">
        <v>441</v>
      </c>
      <c r="AP185" s="146" t="s">
        <v>869</v>
      </c>
      <c r="AQ185" s="146"/>
    </row>
    <row r="186" spans="1:43" ht="62.4">
      <c r="A186" s="284" t="s">
        <v>870</v>
      </c>
      <c r="B186" s="153" t="s">
        <v>871</v>
      </c>
      <c r="C186" s="164">
        <v>12</v>
      </c>
      <c r="D186" s="258" t="s">
        <v>52</v>
      </c>
      <c r="E186" s="153" t="s">
        <v>872</v>
      </c>
      <c r="F186" s="291" t="s">
        <v>435</v>
      </c>
      <c r="G186" s="158">
        <v>14</v>
      </c>
      <c r="H186" s="158"/>
      <c r="I186" s="158"/>
      <c r="J186" s="292">
        <v>1</v>
      </c>
      <c r="K186" s="292">
        <v>1</v>
      </c>
      <c r="L186" s="292">
        <v>1</v>
      </c>
      <c r="M186" s="143">
        <v>16394</v>
      </c>
      <c r="N186" s="143">
        <v>16394</v>
      </c>
      <c r="O186" s="143">
        <v>16394</v>
      </c>
      <c r="P186" s="292">
        <v>1</v>
      </c>
      <c r="Q186" s="292">
        <v>1</v>
      </c>
      <c r="R186" s="292">
        <v>1</v>
      </c>
      <c r="S186" s="143">
        <v>16394</v>
      </c>
      <c r="T186" s="143">
        <v>16394</v>
      </c>
      <c r="U186" s="143">
        <v>16394</v>
      </c>
      <c r="V186" s="292">
        <v>1</v>
      </c>
      <c r="W186" s="292">
        <v>1</v>
      </c>
      <c r="X186" s="292">
        <v>1</v>
      </c>
      <c r="Y186" s="143">
        <v>16394</v>
      </c>
      <c r="Z186" s="143">
        <v>16394</v>
      </c>
      <c r="AA186" s="143">
        <v>16394</v>
      </c>
      <c r="AB186" s="292">
        <v>1</v>
      </c>
      <c r="AC186" s="292">
        <v>1</v>
      </c>
      <c r="AD186" s="292">
        <v>1</v>
      </c>
      <c r="AE186" s="143">
        <v>16394</v>
      </c>
      <c r="AF186" s="143">
        <v>16394</v>
      </c>
      <c r="AG186" s="143">
        <v>16396</v>
      </c>
      <c r="AH186" s="143">
        <v>196730</v>
      </c>
      <c r="AI186" s="143">
        <v>196730</v>
      </c>
      <c r="AJ186" s="143"/>
      <c r="AK186" s="143"/>
      <c r="AL186" s="143"/>
      <c r="AM186" s="143"/>
      <c r="AN186" s="143"/>
      <c r="AO186" s="177" t="s">
        <v>441</v>
      </c>
      <c r="AP186" s="276" t="s">
        <v>873</v>
      </c>
      <c r="AQ186" s="146"/>
    </row>
    <row r="187" spans="1:43" ht="78">
      <c r="A187" s="284" t="s">
        <v>874</v>
      </c>
      <c r="B187" s="153" t="s">
        <v>875</v>
      </c>
      <c r="C187" s="164">
        <v>12</v>
      </c>
      <c r="D187" s="258" t="s">
        <v>52</v>
      </c>
      <c r="E187" s="153" t="s">
        <v>876</v>
      </c>
      <c r="F187" s="291" t="s">
        <v>435</v>
      </c>
      <c r="G187" s="158">
        <v>3</v>
      </c>
      <c r="H187" s="158"/>
      <c r="I187" s="158"/>
      <c r="J187" s="292">
        <v>1</v>
      </c>
      <c r="K187" s="292">
        <v>1</v>
      </c>
      <c r="L187" s="292">
        <v>1</v>
      </c>
      <c r="M187" s="143">
        <v>2070</v>
      </c>
      <c r="N187" s="143">
        <v>2070</v>
      </c>
      <c r="O187" s="143">
        <v>2070</v>
      </c>
      <c r="P187" s="292">
        <v>1</v>
      </c>
      <c r="Q187" s="292">
        <v>1</v>
      </c>
      <c r="R187" s="292">
        <v>1</v>
      </c>
      <c r="S187" s="143">
        <v>2070</v>
      </c>
      <c r="T187" s="143">
        <v>2070</v>
      </c>
      <c r="U187" s="143">
        <v>2070</v>
      </c>
      <c r="V187" s="292">
        <v>1</v>
      </c>
      <c r="W187" s="292">
        <v>1</v>
      </c>
      <c r="X187" s="292">
        <v>1</v>
      </c>
      <c r="Y187" s="143">
        <v>2070</v>
      </c>
      <c r="Z187" s="143">
        <v>2070</v>
      </c>
      <c r="AA187" s="143">
        <v>2070</v>
      </c>
      <c r="AB187" s="292">
        <v>1</v>
      </c>
      <c r="AC187" s="292">
        <v>1</v>
      </c>
      <c r="AD187" s="292">
        <v>1</v>
      </c>
      <c r="AE187" s="143">
        <v>2070</v>
      </c>
      <c r="AF187" s="143">
        <v>2070</v>
      </c>
      <c r="AG187" s="143">
        <v>2075</v>
      </c>
      <c r="AH187" s="143">
        <v>24845</v>
      </c>
      <c r="AI187" s="143">
        <v>24845</v>
      </c>
      <c r="AJ187" s="143"/>
      <c r="AK187" s="143"/>
      <c r="AL187" s="143"/>
      <c r="AM187" s="143"/>
      <c r="AN187" s="143"/>
      <c r="AO187" s="177" t="s">
        <v>441</v>
      </c>
      <c r="AP187" s="276" t="s">
        <v>877</v>
      </c>
      <c r="AQ187" s="146"/>
    </row>
    <row r="188" spans="1:43" ht="15.6">
      <c r="A188" s="280" t="s">
        <v>878</v>
      </c>
      <c r="B188" s="120" t="s">
        <v>879</v>
      </c>
      <c r="C188" s="296"/>
      <c r="D188" s="127"/>
      <c r="E188" s="120"/>
      <c r="F188" s="297"/>
      <c r="G188" s="124">
        <v>26.16</v>
      </c>
      <c r="H188" s="124">
        <v>26.16</v>
      </c>
      <c r="I188" s="124"/>
      <c r="J188" s="298"/>
      <c r="K188" s="298"/>
      <c r="L188" s="298"/>
      <c r="M188" s="126">
        <f t="shared" ref="M188:O188" si="102">+M189</f>
        <v>659269</v>
      </c>
      <c r="N188" s="126">
        <f t="shared" si="102"/>
        <v>161515</v>
      </c>
      <c r="O188" s="126">
        <f t="shared" si="102"/>
        <v>66385</v>
      </c>
      <c r="P188" s="298"/>
      <c r="Q188" s="298"/>
      <c r="R188" s="298"/>
      <c r="S188" s="126">
        <f t="shared" ref="S188:U188" si="103">+S189</f>
        <v>166233</v>
      </c>
      <c r="T188" s="126">
        <f t="shared" si="103"/>
        <v>814643</v>
      </c>
      <c r="U188" s="126">
        <f t="shared" si="103"/>
        <v>768441</v>
      </c>
      <c r="V188" s="298"/>
      <c r="W188" s="298"/>
      <c r="X188" s="298"/>
      <c r="Y188" s="126">
        <f t="shared" ref="Y188:AA188" si="104">+Y189</f>
        <v>214316</v>
      </c>
      <c r="Z188" s="126">
        <f t="shared" si="104"/>
        <v>64039</v>
      </c>
      <c r="AA188" s="126">
        <f t="shared" si="104"/>
        <v>165976</v>
      </c>
      <c r="AB188" s="298"/>
      <c r="AC188" s="298"/>
      <c r="AD188" s="298"/>
      <c r="AE188" s="126">
        <f t="shared" ref="AE188:AG188" si="105">+AE189</f>
        <v>117241</v>
      </c>
      <c r="AF188" s="126">
        <f t="shared" si="105"/>
        <v>118071</v>
      </c>
      <c r="AG188" s="126">
        <f t="shared" si="105"/>
        <v>67450</v>
      </c>
      <c r="AH188" s="126">
        <f>+AH189</f>
        <v>3383579</v>
      </c>
      <c r="AI188" s="126">
        <f>+AI189</f>
        <v>2628255</v>
      </c>
      <c r="AJ188" s="126"/>
      <c r="AK188" s="126"/>
      <c r="AL188" s="126">
        <v>670020</v>
      </c>
      <c r="AM188" s="126">
        <v>85304</v>
      </c>
      <c r="AN188" s="126"/>
      <c r="AO188" s="304"/>
      <c r="AP188" s="305"/>
      <c r="AQ188" s="120"/>
    </row>
    <row r="189" spans="1:43" ht="46.8">
      <c r="A189" s="282" t="s">
        <v>880</v>
      </c>
      <c r="B189" s="130" t="s">
        <v>881</v>
      </c>
      <c r="C189" s="301"/>
      <c r="D189" s="150"/>
      <c r="E189" s="130"/>
      <c r="F189" s="302"/>
      <c r="G189" s="134">
        <v>100</v>
      </c>
      <c r="H189" s="134"/>
      <c r="I189" s="135">
        <v>100</v>
      </c>
      <c r="J189" s="303"/>
      <c r="K189" s="303"/>
      <c r="L189" s="303"/>
      <c r="M189" s="137">
        <f>SUM(M190,M191,M192,M193,M194,M195)</f>
        <v>659269</v>
      </c>
      <c r="N189" s="137">
        <f t="shared" ref="N189:O189" si="106">SUM(N190,N191,N192,N193,N194,N195)</f>
        <v>161515</v>
      </c>
      <c r="O189" s="137">
        <f t="shared" si="106"/>
        <v>66385</v>
      </c>
      <c r="P189" s="303"/>
      <c r="Q189" s="303"/>
      <c r="R189" s="303"/>
      <c r="S189" s="137">
        <f t="shared" ref="S189:U189" si="107">SUM(S190,S191,S192,S193,S194,S195)</f>
        <v>166233</v>
      </c>
      <c r="T189" s="137">
        <v>814643</v>
      </c>
      <c r="U189" s="137">
        <f t="shared" si="107"/>
        <v>768441</v>
      </c>
      <c r="V189" s="303"/>
      <c r="W189" s="303"/>
      <c r="X189" s="303"/>
      <c r="Y189" s="137">
        <f t="shared" ref="Y189:AA189" si="108">SUM(Y190,Y191,Y192,Y193,Y194,Y195)</f>
        <v>214316</v>
      </c>
      <c r="Z189" s="137">
        <f t="shared" si="108"/>
        <v>64039</v>
      </c>
      <c r="AA189" s="137">
        <f t="shared" si="108"/>
        <v>165976</v>
      </c>
      <c r="AB189" s="303"/>
      <c r="AC189" s="303"/>
      <c r="AD189" s="303"/>
      <c r="AE189" s="137">
        <f t="shared" ref="AE189:AG189" si="109">SUM(AE190,AE191,AE192,AE193,AE194,AE195)</f>
        <v>117241</v>
      </c>
      <c r="AF189" s="137">
        <f t="shared" si="109"/>
        <v>118071</v>
      </c>
      <c r="AG189" s="137">
        <f t="shared" si="109"/>
        <v>67450</v>
      </c>
      <c r="AH189" s="137">
        <f>SUM(AH190,AH191,AH192,AH193,AH194,AH195)</f>
        <v>3383579</v>
      </c>
      <c r="AI189" s="137">
        <f>SUM(AI190,AI191,AI192,AI193,AI194,AI195)</f>
        <v>2628255</v>
      </c>
      <c r="AJ189" s="137"/>
      <c r="AK189" s="137"/>
      <c r="AL189" s="137">
        <v>670020</v>
      </c>
      <c r="AM189" s="137">
        <v>85304</v>
      </c>
      <c r="AN189" s="137"/>
      <c r="AO189" s="306"/>
      <c r="AP189" s="307"/>
      <c r="AQ189" s="130"/>
    </row>
    <row r="190" spans="1:43" ht="202.8">
      <c r="A190" s="284" t="s">
        <v>882</v>
      </c>
      <c r="B190" s="308" t="s">
        <v>883</v>
      </c>
      <c r="C190" s="154">
        <f t="shared" ref="C190:C195" si="110">J190+K190+L190+P190+Q190+R190+V190+W190+X190+AB190+AC190+AD190</f>
        <v>14</v>
      </c>
      <c r="D190" s="309" t="s">
        <v>57</v>
      </c>
      <c r="E190" s="308" t="s">
        <v>884</v>
      </c>
      <c r="F190" s="291" t="s">
        <v>885</v>
      </c>
      <c r="G190" s="158">
        <v>1</v>
      </c>
      <c r="H190" s="158"/>
      <c r="I190" s="158"/>
      <c r="J190" s="292">
        <v>0</v>
      </c>
      <c r="K190" s="292">
        <v>0</v>
      </c>
      <c r="L190" s="292">
        <v>0</v>
      </c>
      <c r="M190" s="143"/>
      <c r="N190" s="143"/>
      <c r="O190" s="143"/>
      <c r="P190" s="292"/>
      <c r="Q190" s="292"/>
      <c r="R190" s="292"/>
      <c r="S190" s="143"/>
      <c r="T190" s="143"/>
      <c r="U190" s="143"/>
      <c r="V190" s="292">
        <v>4</v>
      </c>
      <c r="W190" s="292"/>
      <c r="X190" s="292">
        <v>1</v>
      </c>
      <c r="Y190" s="143">
        <v>2000</v>
      </c>
      <c r="Z190" s="143"/>
      <c r="AA190" s="143">
        <v>500</v>
      </c>
      <c r="AB190" s="292">
        <v>2</v>
      </c>
      <c r="AC190" s="292">
        <v>7</v>
      </c>
      <c r="AD190" s="292"/>
      <c r="AE190" s="143">
        <v>1000</v>
      </c>
      <c r="AF190" s="143">
        <v>3500</v>
      </c>
      <c r="AG190" s="143">
        <v>0</v>
      </c>
      <c r="AH190" s="143">
        <v>7000</v>
      </c>
      <c r="AI190" s="172">
        <v>7000</v>
      </c>
      <c r="AJ190" s="143"/>
      <c r="AK190" s="143"/>
      <c r="AL190" s="143"/>
      <c r="AM190" s="143"/>
      <c r="AN190" s="143"/>
      <c r="AO190" s="310" t="s">
        <v>441</v>
      </c>
      <c r="AP190" s="146" t="s">
        <v>886</v>
      </c>
      <c r="AQ190" s="146"/>
    </row>
    <row r="191" spans="1:43" ht="202.8">
      <c r="A191" s="284" t="s">
        <v>887</v>
      </c>
      <c r="B191" s="308" t="s">
        <v>888</v>
      </c>
      <c r="C191" s="154">
        <f t="shared" si="110"/>
        <v>52</v>
      </c>
      <c r="D191" s="309" t="s">
        <v>889</v>
      </c>
      <c r="E191" s="308" t="s">
        <v>890</v>
      </c>
      <c r="F191" s="291" t="s">
        <v>891</v>
      </c>
      <c r="G191" s="158">
        <v>76</v>
      </c>
      <c r="H191" s="158"/>
      <c r="I191" s="158"/>
      <c r="J191" s="292">
        <v>12</v>
      </c>
      <c r="K191" s="292">
        <v>2</v>
      </c>
      <c r="L191" s="292">
        <v>0</v>
      </c>
      <c r="M191" s="143">
        <v>597355</v>
      </c>
      <c r="N191" s="143">
        <v>99559</v>
      </c>
      <c r="O191" s="143"/>
      <c r="P191" s="292">
        <v>2</v>
      </c>
      <c r="Q191" s="292">
        <v>15</v>
      </c>
      <c r="R191" s="292">
        <v>14</v>
      </c>
      <c r="S191" s="143">
        <v>99559</v>
      </c>
      <c r="T191" s="143">
        <v>746694</v>
      </c>
      <c r="U191" s="143">
        <v>696914</v>
      </c>
      <c r="V191" s="292">
        <v>3</v>
      </c>
      <c r="W191" s="292"/>
      <c r="X191" s="292">
        <v>2</v>
      </c>
      <c r="Y191" s="143">
        <v>149339</v>
      </c>
      <c r="Z191" s="143">
        <v>0</v>
      </c>
      <c r="AA191" s="143">
        <v>99559</v>
      </c>
      <c r="AB191" s="292">
        <v>1</v>
      </c>
      <c r="AC191" s="292">
        <v>1</v>
      </c>
      <c r="AD191" s="292"/>
      <c r="AE191" s="143">
        <v>49780</v>
      </c>
      <c r="AF191" s="143">
        <v>49809</v>
      </c>
      <c r="AG191" s="143"/>
      <c r="AH191" s="143">
        <v>2588568</v>
      </c>
      <c r="AI191" s="172">
        <v>1844159</v>
      </c>
      <c r="AJ191" s="143"/>
      <c r="AK191" s="143"/>
      <c r="AL191" s="143">
        <v>670020</v>
      </c>
      <c r="AM191" s="143">
        <v>74389</v>
      </c>
      <c r="AN191" s="143"/>
      <c r="AO191" s="177" t="s">
        <v>422</v>
      </c>
      <c r="AP191" s="146" t="s">
        <v>892</v>
      </c>
      <c r="AQ191" s="289"/>
    </row>
    <row r="192" spans="1:43" ht="62.4">
      <c r="A192" s="284" t="s">
        <v>893</v>
      </c>
      <c r="B192" s="308" t="s">
        <v>894</v>
      </c>
      <c r="C192" s="154">
        <v>12</v>
      </c>
      <c r="D192" s="309" t="s">
        <v>52</v>
      </c>
      <c r="E192" s="308" t="s">
        <v>895</v>
      </c>
      <c r="F192" s="291" t="s">
        <v>435</v>
      </c>
      <c r="G192" s="158">
        <v>2</v>
      </c>
      <c r="H192" s="158"/>
      <c r="I192" s="158"/>
      <c r="J192" s="292">
        <v>1</v>
      </c>
      <c r="K192" s="292">
        <v>1</v>
      </c>
      <c r="L192" s="292">
        <v>1</v>
      </c>
      <c r="M192" s="143">
        <v>6221</v>
      </c>
      <c r="N192" s="143">
        <v>6221</v>
      </c>
      <c r="O192" s="143">
        <v>6221</v>
      </c>
      <c r="P192" s="292">
        <v>1</v>
      </c>
      <c r="Q192" s="292">
        <v>1</v>
      </c>
      <c r="R192" s="292">
        <v>1</v>
      </c>
      <c r="S192" s="143">
        <v>6221</v>
      </c>
      <c r="T192" s="143">
        <v>6221</v>
      </c>
      <c r="U192" s="143">
        <v>6221</v>
      </c>
      <c r="V192" s="292">
        <v>1</v>
      </c>
      <c r="W192" s="292">
        <v>1</v>
      </c>
      <c r="X192" s="292">
        <v>1</v>
      </c>
      <c r="Y192" s="143">
        <v>6221</v>
      </c>
      <c r="Z192" s="143">
        <v>6221</v>
      </c>
      <c r="AA192" s="143">
        <v>6221</v>
      </c>
      <c r="AB192" s="292">
        <v>1</v>
      </c>
      <c r="AC192" s="292">
        <v>1</v>
      </c>
      <c r="AD192" s="292">
        <v>1</v>
      </c>
      <c r="AE192" s="143">
        <v>6221</v>
      </c>
      <c r="AF192" s="143">
        <v>6221</v>
      </c>
      <c r="AG192" s="143">
        <v>6221</v>
      </c>
      <c r="AH192" s="143">
        <v>74652</v>
      </c>
      <c r="AI192" s="172">
        <v>74652</v>
      </c>
      <c r="AJ192" s="143"/>
      <c r="AK192" s="143"/>
      <c r="AL192" s="143"/>
      <c r="AM192" s="143"/>
      <c r="AN192" s="143"/>
      <c r="AO192" s="310" t="s">
        <v>441</v>
      </c>
      <c r="AP192" s="146" t="s">
        <v>896</v>
      </c>
      <c r="AQ192" s="146"/>
    </row>
    <row r="193" spans="1:43" ht="187.2">
      <c r="A193" s="284" t="s">
        <v>897</v>
      </c>
      <c r="B193" s="311" t="s">
        <v>898</v>
      </c>
      <c r="C193" s="154">
        <f t="shared" si="110"/>
        <v>25255</v>
      </c>
      <c r="D193" s="312" t="s">
        <v>899</v>
      </c>
      <c r="E193" s="311" t="s">
        <v>900</v>
      </c>
      <c r="F193" s="291" t="s">
        <v>435</v>
      </c>
      <c r="G193" s="158">
        <v>7</v>
      </c>
      <c r="H193" s="158"/>
      <c r="I193" s="158"/>
      <c r="J193" s="292">
        <v>1770</v>
      </c>
      <c r="K193" s="292">
        <v>1775</v>
      </c>
      <c r="L193" s="292">
        <v>1975</v>
      </c>
      <c r="M193" s="143">
        <v>15045</v>
      </c>
      <c r="N193" s="143">
        <v>15087</v>
      </c>
      <c r="O193" s="143">
        <v>19516</v>
      </c>
      <c r="P193" s="313">
        <v>2330</v>
      </c>
      <c r="Q193" s="313">
        <v>2480</v>
      </c>
      <c r="R193" s="313">
        <v>2580</v>
      </c>
      <c r="S193" s="143">
        <v>19805</v>
      </c>
      <c r="T193" s="143">
        <v>21080</v>
      </c>
      <c r="U193" s="143">
        <v>24658</v>
      </c>
      <c r="V193" s="313">
        <v>1895</v>
      </c>
      <c r="W193" s="313">
        <v>2020</v>
      </c>
      <c r="X193" s="313">
        <v>1920</v>
      </c>
      <c r="Y193" s="143">
        <v>16108</v>
      </c>
      <c r="Z193" s="143">
        <v>17170</v>
      </c>
      <c r="AA193" s="143">
        <v>19048</v>
      </c>
      <c r="AB193" s="313">
        <v>2305</v>
      </c>
      <c r="AC193" s="313">
        <v>2105</v>
      </c>
      <c r="AD193" s="313">
        <v>2100</v>
      </c>
      <c r="AE193" s="143">
        <v>19592</v>
      </c>
      <c r="AF193" s="143">
        <v>17893</v>
      </c>
      <c r="AG193" s="143">
        <v>20581</v>
      </c>
      <c r="AH193" s="143">
        <v>225583</v>
      </c>
      <c r="AI193" s="172">
        <v>214668</v>
      </c>
      <c r="AJ193" s="143"/>
      <c r="AK193" s="143"/>
      <c r="AL193" s="143"/>
      <c r="AM193" s="143">
        <v>10915</v>
      </c>
      <c r="AN193" s="143"/>
      <c r="AO193" s="310" t="s">
        <v>441</v>
      </c>
      <c r="AP193" s="146" t="s">
        <v>901</v>
      </c>
      <c r="AQ193" s="289"/>
    </row>
    <row r="194" spans="1:43" ht="109.2">
      <c r="A194" s="284" t="s">
        <v>902</v>
      </c>
      <c r="B194" s="308" t="s">
        <v>903</v>
      </c>
      <c r="C194" s="154">
        <f t="shared" si="110"/>
        <v>36</v>
      </c>
      <c r="D194" s="309" t="s">
        <v>52</v>
      </c>
      <c r="E194" s="308" t="s">
        <v>895</v>
      </c>
      <c r="F194" s="291" t="s">
        <v>435</v>
      </c>
      <c r="G194" s="158">
        <v>12</v>
      </c>
      <c r="H194" s="158"/>
      <c r="I194" s="158"/>
      <c r="J194" s="292">
        <v>3</v>
      </c>
      <c r="K194" s="292">
        <v>3</v>
      </c>
      <c r="L194" s="292">
        <v>3</v>
      </c>
      <c r="M194" s="143">
        <v>36030</v>
      </c>
      <c r="N194" s="143">
        <v>36030</v>
      </c>
      <c r="O194" s="143">
        <v>36030</v>
      </c>
      <c r="P194" s="292">
        <v>3</v>
      </c>
      <c r="Q194" s="292">
        <v>3</v>
      </c>
      <c r="R194" s="292">
        <v>3</v>
      </c>
      <c r="S194" s="143">
        <v>36030</v>
      </c>
      <c r="T194" s="143">
        <v>36030</v>
      </c>
      <c r="U194" s="143">
        <v>36030</v>
      </c>
      <c r="V194" s="292">
        <v>3</v>
      </c>
      <c r="W194" s="292">
        <v>3</v>
      </c>
      <c r="X194" s="292">
        <v>3</v>
      </c>
      <c r="Y194" s="143">
        <v>36030</v>
      </c>
      <c r="Z194" s="143">
        <v>36030</v>
      </c>
      <c r="AA194" s="143">
        <v>36030</v>
      </c>
      <c r="AB194" s="292">
        <v>3</v>
      </c>
      <c r="AC194" s="292">
        <v>3</v>
      </c>
      <c r="AD194" s="292">
        <v>3</v>
      </c>
      <c r="AE194" s="143">
        <v>36030</v>
      </c>
      <c r="AF194" s="143">
        <v>36030</v>
      </c>
      <c r="AG194" s="143">
        <v>36030</v>
      </c>
      <c r="AH194" s="143">
        <v>432360</v>
      </c>
      <c r="AI194" s="172">
        <v>432360</v>
      </c>
      <c r="AJ194" s="143"/>
      <c r="AK194" s="143"/>
      <c r="AL194" s="257"/>
      <c r="AM194" s="257"/>
      <c r="AN194" s="143"/>
      <c r="AO194" s="310" t="s">
        <v>904</v>
      </c>
      <c r="AP194" s="146" t="s">
        <v>905</v>
      </c>
      <c r="AQ194" s="146"/>
    </row>
    <row r="195" spans="1:43" ht="46.8">
      <c r="A195" s="284" t="s">
        <v>906</v>
      </c>
      <c r="B195" s="308" t="s">
        <v>907</v>
      </c>
      <c r="C195" s="154">
        <f t="shared" si="110"/>
        <v>12</v>
      </c>
      <c r="D195" s="309" t="s">
        <v>52</v>
      </c>
      <c r="E195" s="308" t="s">
        <v>908</v>
      </c>
      <c r="F195" s="291" t="s">
        <v>435</v>
      </c>
      <c r="G195" s="158">
        <v>2</v>
      </c>
      <c r="H195" s="158"/>
      <c r="I195" s="158"/>
      <c r="J195" s="292">
        <v>1</v>
      </c>
      <c r="K195" s="292">
        <v>1</v>
      </c>
      <c r="L195" s="292">
        <v>1</v>
      </c>
      <c r="M195" s="143">
        <v>4618</v>
      </c>
      <c r="N195" s="143">
        <v>4618</v>
      </c>
      <c r="O195" s="143">
        <v>4618</v>
      </c>
      <c r="P195" s="292">
        <v>1</v>
      </c>
      <c r="Q195" s="292">
        <v>1</v>
      </c>
      <c r="R195" s="292">
        <v>1</v>
      </c>
      <c r="S195" s="143">
        <v>4618</v>
      </c>
      <c r="T195" s="143">
        <v>4618</v>
      </c>
      <c r="U195" s="143">
        <v>4618</v>
      </c>
      <c r="V195" s="292">
        <v>1</v>
      </c>
      <c r="W195" s="292">
        <v>1</v>
      </c>
      <c r="X195" s="292">
        <v>1</v>
      </c>
      <c r="Y195" s="143">
        <v>4618</v>
      </c>
      <c r="Z195" s="143">
        <v>4618</v>
      </c>
      <c r="AA195" s="143">
        <v>4618</v>
      </c>
      <c r="AB195" s="292">
        <v>1</v>
      </c>
      <c r="AC195" s="292">
        <v>1</v>
      </c>
      <c r="AD195" s="292">
        <v>1</v>
      </c>
      <c r="AE195" s="143">
        <v>4618</v>
      </c>
      <c r="AF195" s="143">
        <v>4618</v>
      </c>
      <c r="AG195" s="143">
        <v>4618</v>
      </c>
      <c r="AH195" s="143">
        <v>55416</v>
      </c>
      <c r="AI195" s="172">
        <v>55416</v>
      </c>
      <c r="AJ195" s="143"/>
      <c r="AK195" s="143"/>
      <c r="AL195" s="257"/>
      <c r="AM195" s="257"/>
      <c r="AN195" s="143"/>
      <c r="AO195" s="177" t="s">
        <v>441</v>
      </c>
      <c r="AP195" s="146" t="s">
        <v>909</v>
      </c>
      <c r="AQ195" s="146"/>
    </row>
    <row r="196" spans="1:43" ht="15.6">
      <c r="A196" s="314"/>
      <c r="B196" s="314"/>
      <c r="C196" s="315"/>
      <c r="D196" s="316"/>
      <c r="E196" s="316"/>
      <c r="F196" s="314" t="s">
        <v>910</v>
      </c>
      <c r="G196" s="317">
        <v>100</v>
      </c>
      <c r="H196" s="317">
        <v>100</v>
      </c>
      <c r="I196" s="317"/>
      <c r="J196" s="315"/>
      <c r="K196" s="315"/>
      <c r="L196" s="315"/>
      <c r="M196" s="318">
        <f t="shared" ref="M196:AF196" si="111">M11+M93+M113+M136+M141+M150+M167</f>
        <v>1059577</v>
      </c>
      <c r="N196" s="318">
        <f t="shared" si="111"/>
        <v>805171</v>
      </c>
      <c r="O196" s="318">
        <f t="shared" si="111"/>
        <v>757075</v>
      </c>
      <c r="P196" s="319"/>
      <c r="Q196" s="319"/>
      <c r="R196" s="319"/>
      <c r="S196" s="318">
        <f t="shared" si="111"/>
        <v>1439892</v>
      </c>
      <c r="T196" s="318">
        <f t="shared" si="111"/>
        <v>1801768</v>
      </c>
      <c r="U196" s="318">
        <f t="shared" si="111"/>
        <v>1944972</v>
      </c>
      <c r="V196" s="319"/>
      <c r="W196" s="319"/>
      <c r="X196" s="319"/>
      <c r="Y196" s="318">
        <f t="shared" si="111"/>
        <v>1070373</v>
      </c>
      <c r="Z196" s="318">
        <f t="shared" si="111"/>
        <v>918426</v>
      </c>
      <c r="AA196" s="318">
        <f t="shared" si="111"/>
        <v>759573</v>
      </c>
      <c r="AB196" s="319"/>
      <c r="AC196" s="319"/>
      <c r="AD196" s="319"/>
      <c r="AE196" s="318">
        <f t="shared" si="111"/>
        <v>652038</v>
      </c>
      <c r="AF196" s="318">
        <f t="shared" si="111"/>
        <v>678973</v>
      </c>
      <c r="AG196" s="318">
        <f>AG11+AG93+AG113+AG136+AG141+AG150+AG167</f>
        <v>620099</v>
      </c>
      <c r="AH196" s="318">
        <f>SUM(AH167+AH150+AH141+AH136+AH113+AH93+AH11)</f>
        <v>12507937</v>
      </c>
      <c r="AI196" s="318">
        <f>AI11+AI93+AI113+AI136+AI141+AI150+AI167</f>
        <v>9806588</v>
      </c>
      <c r="AJ196" s="318"/>
      <c r="AK196" s="318">
        <v>1416045</v>
      </c>
      <c r="AL196" s="318">
        <v>1200000</v>
      </c>
      <c r="AM196" s="318">
        <v>85304</v>
      </c>
      <c r="AN196" s="318"/>
      <c r="AO196" s="320"/>
      <c r="AP196" s="321"/>
      <c r="AQ196" s="322"/>
    </row>
  </sheetData>
  <sheetProtection algorithmName="SHA-512" hashValue="fR9xtpbferIPHQfE+CafYi8qb3h6BTKjL4RJKwgJWId0UWjlQct6YhZUwC4hlzn7SZB2+/fCuDa7/yPlnI0ujA==" saltValue="28FmcBPFzacuDTL5WmZ8/Q==" spinCount="100000" sheet="1" objects="1" scenarios="1"/>
  <mergeCells count="109">
    <mergeCell ref="I102:I103"/>
    <mergeCell ref="AQ146:AQ149"/>
    <mergeCell ref="A102:A103"/>
    <mergeCell ref="B102:B103"/>
    <mergeCell ref="E102:E103"/>
    <mergeCell ref="F102:F103"/>
    <mergeCell ref="G102:G103"/>
    <mergeCell ref="H102:H103"/>
    <mergeCell ref="I70:I71"/>
    <mergeCell ref="A97:A98"/>
    <mergeCell ref="B97:B98"/>
    <mergeCell ref="E97:E98"/>
    <mergeCell ref="F97:F98"/>
    <mergeCell ref="G97:G98"/>
    <mergeCell ref="H97:H98"/>
    <mergeCell ref="I97:I98"/>
    <mergeCell ref="A70:A71"/>
    <mergeCell ref="B70:B71"/>
    <mergeCell ref="E70:E71"/>
    <mergeCell ref="F70:F71"/>
    <mergeCell ref="G70:G71"/>
    <mergeCell ref="H70:H71"/>
    <mergeCell ref="I57:I58"/>
    <mergeCell ref="A65:A66"/>
    <mergeCell ref="B65:B66"/>
    <mergeCell ref="E65:E66"/>
    <mergeCell ref="F65:F66"/>
    <mergeCell ref="G65:G66"/>
    <mergeCell ref="H65:H66"/>
    <mergeCell ref="I65:I66"/>
    <mergeCell ref="A57:A58"/>
    <mergeCell ref="B57:B58"/>
    <mergeCell ref="E57:E58"/>
    <mergeCell ref="F57:F58"/>
    <mergeCell ref="G57:G58"/>
    <mergeCell ref="H57:H58"/>
    <mergeCell ref="I41:I42"/>
    <mergeCell ref="AQ49:AQ51"/>
    <mergeCell ref="E54:E55"/>
    <mergeCell ref="F54:F55"/>
    <mergeCell ref="G54:G55"/>
    <mergeCell ref="H54:H55"/>
    <mergeCell ref="I54:I55"/>
    <mergeCell ref="A41:A42"/>
    <mergeCell ref="B41:B42"/>
    <mergeCell ref="E41:E42"/>
    <mergeCell ref="F41:F42"/>
    <mergeCell ref="G41:G42"/>
    <mergeCell ref="H41:H42"/>
    <mergeCell ref="I18:I19"/>
    <mergeCell ref="A21:A22"/>
    <mergeCell ref="B21:B22"/>
    <mergeCell ref="E21:E22"/>
    <mergeCell ref="F21:F22"/>
    <mergeCell ref="G21:G22"/>
    <mergeCell ref="H21:H22"/>
    <mergeCell ref="I21:I22"/>
    <mergeCell ref="A18:A19"/>
    <mergeCell ref="B18:B19"/>
    <mergeCell ref="E18:E19"/>
    <mergeCell ref="F18:F19"/>
    <mergeCell ref="G18:G19"/>
    <mergeCell ref="H18:H19"/>
    <mergeCell ref="S9:U9"/>
    <mergeCell ref="V9:X9"/>
    <mergeCell ref="Y9:AA9"/>
    <mergeCell ref="AB9:AD9"/>
    <mergeCell ref="G7:G10"/>
    <mergeCell ref="H7:H10"/>
    <mergeCell ref="I7:I10"/>
    <mergeCell ref="A7:A10"/>
    <mergeCell ref="B7:B10"/>
    <mergeCell ref="C7:C10"/>
    <mergeCell ref="D7:D10"/>
    <mergeCell ref="E7:E10"/>
    <mergeCell ref="F7:F10"/>
    <mergeCell ref="A15:A16"/>
    <mergeCell ref="B15:B16"/>
    <mergeCell ref="E15:E16"/>
    <mergeCell ref="F15:F16"/>
    <mergeCell ref="G15:G16"/>
    <mergeCell ref="H15:H16"/>
    <mergeCell ref="I15:I16"/>
    <mergeCell ref="M9:O9"/>
    <mergeCell ref="P9:R9"/>
    <mergeCell ref="A1:AQ1"/>
    <mergeCell ref="A2:AQ2"/>
    <mergeCell ref="A3:AQ3"/>
    <mergeCell ref="B4:E4"/>
    <mergeCell ref="B5:I5"/>
    <mergeCell ref="B6:E6"/>
    <mergeCell ref="AP7:AP10"/>
    <mergeCell ref="AQ7:AQ10"/>
    <mergeCell ref="J8:O8"/>
    <mergeCell ref="P8:U8"/>
    <mergeCell ref="V8:AA8"/>
    <mergeCell ref="AB8:AG8"/>
    <mergeCell ref="AH8:AH10"/>
    <mergeCell ref="AI8:AI10"/>
    <mergeCell ref="AJ8:AJ10"/>
    <mergeCell ref="AK8:AK10"/>
    <mergeCell ref="J7:AH7"/>
    <mergeCell ref="AI7:AN7"/>
    <mergeCell ref="AO7:AO10"/>
    <mergeCell ref="AL8:AL10"/>
    <mergeCell ref="AM8:AM10"/>
    <mergeCell ref="AN8:AN10"/>
    <mergeCell ref="J9:L9"/>
    <mergeCell ref="AE9:AG9"/>
  </mergeCells>
  <pageMargins left="0.7" right="0.7" top="0.75" bottom="0.75" header="0.3" footer="0.3"/>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5"/>
  <sheetViews>
    <sheetView topLeftCell="A16" workbookViewId="0">
      <selection activeCell="G13" sqref="G13"/>
    </sheetView>
  </sheetViews>
  <sheetFormatPr baseColWidth="10" defaultRowHeight="14.4"/>
  <cols>
    <col min="1" max="1" width="17.5546875" customWidth="1"/>
    <col min="2" max="2" width="38.6640625" customWidth="1"/>
    <col min="3" max="3" width="7" bestFit="1" customWidth="1"/>
    <col min="4" max="4" width="14.5546875" customWidth="1"/>
    <col min="5" max="5" width="23.6640625" customWidth="1"/>
    <col min="6" max="6" width="29.5546875" customWidth="1"/>
    <col min="7" max="7" width="9.5546875" customWidth="1"/>
    <col min="8" max="8" width="8.5546875" customWidth="1"/>
    <col min="9" max="9" width="11" customWidth="1"/>
    <col min="10" max="10" width="2.88671875" bestFit="1" customWidth="1"/>
    <col min="11" max="11" width="2.6640625" bestFit="1" customWidth="1"/>
    <col min="12" max="12" width="3.33203125" bestFit="1" customWidth="1"/>
    <col min="13" max="13" width="2.88671875" bestFit="1" customWidth="1"/>
    <col min="14" max="14" width="2.6640625" bestFit="1" customWidth="1"/>
    <col min="15" max="15" width="3.33203125" bestFit="1" customWidth="1"/>
    <col min="16" max="16" width="2.88671875" bestFit="1" customWidth="1"/>
    <col min="17" max="17" width="3.33203125" bestFit="1" customWidth="1"/>
    <col min="18" max="18" width="2.6640625" bestFit="1" customWidth="1"/>
    <col min="19" max="19" width="2.88671875" bestFit="1" customWidth="1"/>
    <col min="20" max="20" width="3.33203125" bestFit="1" customWidth="1"/>
    <col min="21" max="22" width="2.6640625" bestFit="1" customWidth="1"/>
    <col min="23" max="23" width="2.88671875" bestFit="1" customWidth="1"/>
    <col min="24" max="24" width="4" bestFit="1" customWidth="1"/>
    <col min="25" max="26" width="13.44140625" bestFit="1" customWidth="1"/>
    <col min="27" max="27" width="13.44140625" customWidth="1"/>
    <col min="28" max="28" width="3.109375" bestFit="1" customWidth="1"/>
    <col min="29" max="30" width="4" bestFit="1" customWidth="1"/>
    <col min="31" max="31" width="13.44140625" bestFit="1" customWidth="1"/>
    <col min="32" max="32" width="12.109375" bestFit="1" customWidth="1"/>
    <col min="33" max="33" width="13.44140625" customWidth="1"/>
    <col min="34" max="34" width="14" customWidth="1"/>
    <col min="35" max="35" width="13.44140625" bestFit="1" customWidth="1"/>
    <col min="36" max="36" width="13.109375" bestFit="1" customWidth="1"/>
    <col min="37" max="37" width="7.5546875" customWidth="1"/>
    <col min="38" max="38" width="5.88671875" bestFit="1" customWidth="1"/>
    <col min="39" max="39" width="8" bestFit="1" customWidth="1"/>
    <col min="40" max="40" width="10.33203125" bestFit="1" customWidth="1"/>
    <col min="41" max="41" width="15.6640625" customWidth="1"/>
    <col min="42" max="42" width="21.5546875" customWidth="1"/>
    <col min="43" max="43" width="17.33203125" customWidth="1"/>
  </cols>
  <sheetData>
    <row r="1" spans="1:43" ht="17.399999999999999">
      <c r="A1" s="2225" t="s">
        <v>0</v>
      </c>
      <c r="B1" s="2225"/>
      <c r="C1" s="2225"/>
      <c r="D1" s="2225"/>
      <c r="E1" s="2225"/>
      <c r="F1" s="2225"/>
      <c r="G1" s="2225"/>
      <c r="H1" s="2225"/>
      <c r="I1" s="2225"/>
      <c r="J1" s="2225"/>
      <c r="K1" s="2225"/>
      <c r="L1" s="2225"/>
      <c r="M1" s="2225"/>
      <c r="N1" s="2225"/>
      <c r="O1" s="2225"/>
      <c r="P1" s="2225"/>
      <c r="Q1" s="2225"/>
      <c r="R1" s="2225"/>
      <c r="S1" s="2225"/>
      <c r="T1" s="2225"/>
      <c r="U1" s="2225"/>
      <c r="V1" s="2225"/>
      <c r="W1" s="2225"/>
      <c r="X1" s="2225"/>
      <c r="Y1" s="2225"/>
      <c r="Z1" s="2225"/>
      <c r="AA1" s="2225"/>
      <c r="AB1" s="2225"/>
      <c r="AC1" s="2225"/>
      <c r="AD1" s="2225"/>
      <c r="AE1" s="2225"/>
      <c r="AF1" s="2225"/>
      <c r="AG1" s="2225"/>
      <c r="AH1" s="2225"/>
      <c r="AI1" s="2225"/>
      <c r="AJ1" s="2225"/>
      <c r="AK1" s="2225"/>
      <c r="AL1" s="2225"/>
      <c r="AM1" s="2225"/>
      <c r="AN1" s="2225"/>
      <c r="AO1" s="2225"/>
      <c r="AP1" s="2225"/>
      <c r="AQ1" s="2225"/>
    </row>
    <row r="2" spans="1:43" ht="17.399999999999999">
      <c r="A2" s="2225" t="s">
        <v>3845</v>
      </c>
      <c r="B2" s="2225"/>
      <c r="C2" s="2225"/>
      <c r="D2" s="2225"/>
      <c r="E2" s="2225"/>
      <c r="F2" s="2225"/>
      <c r="G2" s="2225"/>
      <c r="H2" s="2225"/>
      <c r="I2" s="2225"/>
      <c r="J2" s="2225"/>
      <c r="K2" s="2225"/>
      <c r="L2" s="2225"/>
      <c r="M2" s="2225"/>
      <c r="N2" s="2225"/>
      <c r="O2" s="2225"/>
      <c r="P2" s="2225"/>
      <c r="Q2" s="2225"/>
      <c r="R2" s="2225"/>
      <c r="S2" s="2225"/>
      <c r="T2" s="2225"/>
      <c r="U2" s="2225"/>
      <c r="V2" s="2225"/>
      <c r="W2" s="2225"/>
      <c r="X2" s="2225"/>
      <c r="Y2" s="2225"/>
      <c r="Z2" s="2225"/>
      <c r="AA2" s="2225"/>
      <c r="AB2" s="2225"/>
      <c r="AC2" s="2225"/>
      <c r="AD2" s="2225"/>
      <c r="AE2" s="2225"/>
      <c r="AF2" s="2225"/>
      <c r="AG2" s="2225"/>
      <c r="AH2" s="2225"/>
      <c r="AI2" s="2225"/>
      <c r="AJ2" s="2225"/>
      <c r="AK2" s="2225"/>
      <c r="AL2" s="2225"/>
      <c r="AM2" s="2225"/>
      <c r="AN2" s="2225"/>
      <c r="AO2" s="2225"/>
      <c r="AP2" s="2225"/>
      <c r="AQ2" s="2225"/>
    </row>
    <row r="3" spans="1:43" ht="17.399999999999999">
      <c r="A3" s="1840"/>
      <c r="B3" s="1841" t="s">
        <v>1390</v>
      </c>
      <c r="C3" s="1842"/>
      <c r="D3" s="1842"/>
      <c r="E3" s="1842"/>
      <c r="F3" s="1842"/>
      <c r="G3" s="1842"/>
      <c r="H3" s="1842"/>
      <c r="I3" s="1842"/>
      <c r="J3" s="1842"/>
      <c r="K3" s="1843"/>
      <c r="L3" s="1843"/>
      <c r="M3" s="1843"/>
      <c r="N3" s="1843"/>
      <c r="O3" s="1843"/>
      <c r="P3" s="1843"/>
      <c r="Q3" s="1843"/>
      <c r="R3" s="1843"/>
      <c r="S3" s="1843"/>
      <c r="T3" s="1843"/>
      <c r="U3" s="1843"/>
      <c r="V3" s="1843"/>
      <c r="W3" s="1843"/>
      <c r="X3" s="1843"/>
      <c r="Y3" s="1843"/>
      <c r="Z3" s="1843"/>
      <c r="AA3" s="1843"/>
      <c r="AB3" s="1843"/>
      <c r="AC3" s="1843"/>
      <c r="AD3" s="1843"/>
      <c r="AE3" s="1843"/>
      <c r="AF3" s="1843"/>
      <c r="AG3" s="1843"/>
      <c r="AH3" s="1843"/>
      <c r="AI3" s="1843"/>
      <c r="AJ3" s="1843"/>
      <c r="AK3" s="1843"/>
      <c r="AL3" s="1843"/>
      <c r="AM3" s="1843"/>
      <c r="AN3" s="1843"/>
      <c r="AO3" s="1843"/>
      <c r="AP3" s="1843"/>
      <c r="AQ3" s="1843"/>
    </row>
    <row r="4" spans="1:43" ht="17.399999999999999">
      <c r="A4" s="1840"/>
      <c r="B4" s="1841" t="s">
        <v>4235</v>
      </c>
      <c r="C4" s="1842"/>
      <c r="D4" s="1842"/>
      <c r="E4" s="1842"/>
      <c r="F4" s="1842"/>
      <c r="G4" s="1842"/>
      <c r="H4" s="1842"/>
      <c r="I4" s="1842"/>
      <c r="J4" s="1842"/>
      <c r="K4" s="1843"/>
      <c r="L4" s="1843"/>
      <c r="M4" s="1843"/>
      <c r="N4" s="1843"/>
      <c r="O4" s="1843"/>
      <c r="P4" s="1843"/>
      <c r="Q4" s="1843"/>
      <c r="R4" s="1843"/>
      <c r="S4" s="1843"/>
      <c r="T4" s="1843"/>
      <c r="U4" s="1843"/>
      <c r="V4" s="1843"/>
      <c r="W4" s="1843"/>
      <c r="X4" s="1843"/>
      <c r="Y4" s="1843"/>
      <c r="Z4" s="1843"/>
      <c r="AA4" s="1843"/>
      <c r="AB4" s="1843"/>
      <c r="AC4" s="1843"/>
      <c r="AD4" s="1843"/>
      <c r="AE4" s="1843"/>
      <c r="AF4" s="1843"/>
      <c r="AG4" s="1843"/>
      <c r="AH4" s="1843"/>
      <c r="AI4" s="1843"/>
      <c r="AJ4" s="1843"/>
      <c r="AK4" s="1843"/>
      <c r="AL4" s="1843"/>
      <c r="AM4" s="1843"/>
      <c r="AN4" s="1843"/>
      <c r="AO4" s="1843"/>
      <c r="AP4" s="1843"/>
      <c r="AQ4" s="1843"/>
    </row>
    <row r="5" spans="1:43" ht="17.399999999999999">
      <c r="A5" s="1840"/>
      <c r="B5" s="1844" t="s">
        <v>4236</v>
      </c>
      <c r="C5" s="1842"/>
      <c r="D5" s="1842"/>
      <c r="E5" s="1845"/>
      <c r="F5" s="1845"/>
      <c r="G5" s="1845"/>
      <c r="H5" s="1845"/>
      <c r="I5" s="1845"/>
      <c r="J5" s="1846"/>
      <c r="K5" s="1847"/>
      <c r="L5" s="1847"/>
      <c r="M5" s="1847"/>
      <c r="N5" s="1847"/>
      <c r="O5" s="1847"/>
      <c r="P5" s="1847"/>
      <c r="Q5" s="1847"/>
      <c r="R5" s="1847"/>
      <c r="S5" s="1847"/>
      <c r="T5" s="1847"/>
      <c r="U5" s="1847"/>
      <c r="V5" s="1847"/>
      <c r="W5" s="1847"/>
      <c r="X5" s="1847"/>
      <c r="Y5" s="1847"/>
      <c r="Z5" s="1847"/>
      <c r="AA5" s="1847"/>
      <c r="AB5" s="1847"/>
      <c r="AC5" s="1847"/>
      <c r="AD5" s="1847"/>
      <c r="AE5" s="1847"/>
      <c r="AF5" s="1847"/>
      <c r="AG5" s="1847"/>
      <c r="AH5" s="1847"/>
      <c r="AI5" s="1847"/>
      <c r="AJ5" s="1847"/>
      <c r="AK5" s="1847"/>
      <c r="AL5" s="1847"/>
      <c r="AM5" s="1847"/>
      <c r="AN5" s="1847"/>
      <c r="AO5" s="1847"/>
      <c r="AP5" s="1847"/>
      <c r="AQ5" s="1847"/>
    </row>
    <row r="6" spans="1:43" ht="15.6">
      <c r="A6" s="2014" t="s">
        <v>5</v>
      </c>
      <c r="B6" s="2227" t="s">
        <v>914</v>
      </c>
      <c r="C6" s="2227" t="s">
        <v>7</v>
      </c>
      <c r="D6" s="2227" t="s">
        <v>8</v>
      </c>
      <c r="E6" s="2228" t="s">
        <v>9</v>
      </c>
      <c r="F6" s="2017" t="s">
        <v>10</v>
      </c>
      <c r="G6" s="2230" t="s">
        <v>11</v>
      </c>
      <c r="H6" s="2021" t="s">
        <v>12</v>
      </c>
      <c r="I6" s="2021" t="s">
        <v>13</v>
      </c>
      <c r="J6" s="2025" t="s">
        <v>14</v>
      </c>
      <c r="K6" s="2026"/>
      <c r="L6" s="2026"/>
      <c r="M6" s="2026"/>
      <c r="N6" s="2026"/>
      <c r="O6" s="2026"/>
      <c r="P6" s="2026"/>
      <c r="Q6" s="2026"/>
      <c r="R6" s="2026"/>
      <c r="S6" s="2026"/>
      <c r="T6" s="2026"/>
      <c r="U6" s="2026"/>
      <c r="V6" s="2026"/>
      <c r="W6" s="2026"/>
      <c r="X6" s="2026"/>
      <c r="Y6" s="2026"/>
      <c r="Z6" s="2026"/>
      <c r="AA6" s="2026"/>
      <c r="AB6" s="2026"/>
      <c r="AC6" s="2026"/>
      <c r="AD6" s="2026"/>
      <c r="AE6" s="2026"/>
      <c r="AF6" s="2026"/>
      <c r="AG6" s="2026"/>
      <c r="AH6" s="2027"/>
      <c r="AI6" s="2232" t="s">
        <v>15</v>
      </c>
      <c r="AJ6" s="2232"/>
      <c r="AK6" s="2232"/>
      <c r="AL6" s="2232"/>
      <c r="AM6" s="2232"/>
      <c r="AN6" s="2232"/>
      <c r="AO6" s="2232" t="s">
        <v>16</v>
      </c>
      <c r="AP6" s="2232" t="s">
        <v>17</v>
      </c>
      <c r="AQ6" s="2021" t="s">
        <v>18</v>
      </c>
    </row>
    <row r="7" spans="1:43" ht="15.6">
      <c r="A7" s="2015"/>
      <c r="B7" s="2227"/>
      <c r="C7" s="2227"/>
      <c r="D7" s="2227"/>
      <c r="E7" s="2228"/>
      <c r="F7" s="2018"/>
      <c r="G7" s="2230"/>
      <c r="H7" s="2022"/>
      <c r="I7" s="2022"/>
      <c r="J7" s="2227" t="s">
        <v>19</v>
      </c>
      <c r="K7" s="2227"/>
      <c r="L7" s="2227"/>
      <c r="M7" s="2227"/>
      <c r="N7" s="2227"/>
      <c r="O7" s="2227"/>
      <c r="P7" s="2227" t="s">
        <v>20</v>
      </c>
      <c r="Q7" s="2227"/>
      <c r="R7" s="2227"/>
      <c r="S7" s="2227"/>
      <c r="T7" s="2227"/>
      <c r="U7" s="2227"/>
      <c r="V7" s="2227" t="s">
        <v>21</v>
      </c>
      <c r="W7" s="2227"/>
      <c r="X7" s="2227"/>
      <c r="Y7" s="2227"/>
      <c r="Z7" s="2227"/>
      <c r="AA7" s="2227"/>
      <c r="AB7" s="2227" t="s">
        <v>22</v>
      </c>
      <c r="AC7" s="2227"/>
      <c r="AD7" s="2227"/>
      <c r="AE7" s="2227"/>
      <c r="AF7" s="2227"/>
      <c r="AG7" s="2227"/>
      <c r="AH7" s="2227" t="s">
        <v>23</v>
      </c>
      <c r="AI7" s="1957" t="s">
        <v>24</v>
      </c>
      <c r="AJ7" s="1954" t="s">
        <v>2383</v>
      </c>
      <c r="AK7" s="1954" t="s">
        <v>916</v>
      </c>
      <c r="AL7" s="1957" t="s">
        <v>27</v>
      </c>
      <c r="AM7" s="1954" t="s">
        <v>28</v>
      </c>
      <c r="AN7" s="1954" t="s">
        <v>29</v>
      </c>
      <c r="AO7" s="2232"/>
      <c r="AP7" s="2232"/>
      <c r="AQ7" s="2022"/>
    </row>
    <row r="8" spans="1:43" ht="15.6">
      <c r="A8" s="2226"/>
      <c r="B8" s="2227"/>
      <c r="C8" s="2227"/>
      <c r="D8" s="2227"/>
      <c r="E8" s="2228"/>
      <c r="F8" s="2229"/>
      <c r="G8" s="2230"/>
      <c r="H8" s="2231"/>
      <c r="I8" s="2231"/>
      <c r="J8" s="1848" t="s">
        <v>32</v>
      </c>
      <c r="K8" s="1848" t="s">
        <v>33</v>
      </c>
      <c r="L8" s="1848" t="s">
        <v>34</v>
      </c>
      <c r="M8" s="1848" t="s">
        <v>32</v>
      </c>
      <c r="N8" s="1848" t="s">
        <v>33</v>
      </c>
      <c r="O8" s="1848" t="s">
        <v>34</v>
      </c>
      <c r="P8" s="1848" t="s">
        <v>35</v>
      </c>
      <c r="Q8" s="1848" t="s">
        <v>34</v>
      </c>
      <c r="R8" s="1848" t="s">
        <v>36</v>
      </c>
      <c r="S8" s="1848" t="s">
        <v>35</v>
      </c>
      <c r="T8" s="1848" t="s">
        <v>34</v>
      </c>
      <c r="U8" s="1848" t="s">
        <v>36</v>
      </c>
      <c r="V8" s="1848" t="s">
        <v>36</v>
      </c>
      <c r="W8" s="1848" t="s">
        <v>35</v>
      </c>
      <c r="X8" s="1848" t="s">
        <v>37</v>
      </c>
      <c r="Y8" s="1848" t="s">
        <v>36</v>
      </c>
      <c r="Z8" s="1848" t="s">
        <v>35</v>
      </c>
      <c r="AA8" s="1848" t="s">
        <v>37</v>
      </c>
      <c r="AB8" s="1848" t="s">
        <v>38</v>
      </c>
      <c r="AC8" s="1848" t="s">
        <v>39</v>
      </c>
      <c r="AD8" s="1848" t="s">
        <v>40</v>
      </c>
      <c r="AE8" s="1848" t="s">
        <v>38</v>
      </c>
      <c r="AF8" s="1848" t="s">
        <v>39</v>
      </c>
      <c r="AG8" s="1848" t="s">
        <v>40</v>
      </c>
      <c r="AH8" s="2227"/>
      <c r="AI8" s="1957"/>
      <c r="AJ8" s="1956"/>
      <c r="AK8" s="1956"/>
      <c r="AL8" s="1957"/>
      <c r="AM8" s="1956"/>
      <c r="AN8" s="1956"/>
      <c r="AO8" s="2232"/>
      <c r="AP8" s="2232"/>
      <c r="AQ8" s="2231"/>
    </row>
    <row r="9" spans="1:43" ht="60">
      <c r="A9" s="47" t="s">
        <v>41</v>
      </c>
      <c r="B9" s="47" t="s">
        <v>4237</v>
      </c>
      <c r="C9" s="349"/>
      <c r="D9" s="47"/>
      <c r="E9" s="47"/>
      <c r="F9" s="47"/>
      <c r="G9" s="1849">
        <f t="shared" ref="G9:G72" si="0">AH9/AH$115*100</f>
        <v>13.889500061117221</v>
      </c>
      <c r="H9" s="1849"/>
      <c r="I9" s="1849"/>
      <c r="J9" s="1850"/>
      <c r="K9" s="1850"/>
      <c r="L9" s="1850"/>
      <c r="M9" s="1851"/>
      <c r="N9" s="1851"/>
      <c r="O9" s="1851"/>
      <c r="P9" s="1850"/>
      <c r="Q9" s="1850"/>
      <c r="R9" s="1850"/>
      <c r="S9" s="1851"/>
      <c r="T9" s="1851"/>
      <c r="U9" s="1851"/>
      <c r="V9" s="1850"/>
      <c r="W9" s="1850"/>
      <c r="X9" s="1850"/>
      <c r="Y9" s="1851">
        <f>SUM(Y10,Y37,Y41)</f>
        <v>44675</v>
      </c>
      <c r="Z9" s="1851">
        <f t="shared" ref="Z9" si="1">SUM(Z10,Z37,Z41)</f>
        <v>4810</v>
      </c>
      <c r="AA9" s="1851"/>
      <c r="AB9" s="1850"/>
      <c r="AC9" s="1850"/>
      <c r="AD9" s="1850"/>
      <c r="AE9" s="1851"/>
      <c r="AF9" s="1851"/>
      <c r="AG9" s="1851">
        <f t="shared" ref="AG9:AI9" si="2">SUM(AG10,AG37,AG41)</f>
        <v>7330</v>
      </c>
      <c r="AH9" s="1851">
        <f t="shared" si="2"/>
        <v>56815</v>
      </c>
      <c r="AI9" s="1851">
        <f t="shared" si="2"/>
        <v>56815</v>
      </c>
      <c r="AJ9" s="1852"/>
      <c r="AK9" s="1852"/>
      <c r="AL9" s="1643"/>
      <c r="AM9" s="1852"/>
      <c r="AN9" s="1852"/>
      <c r="AO9" s="1853"/>
      <c r="AP9" s="47" t="s">
        <v>4238</v>
      </c>
      <c r="AQ9" s="1854"/>
    </row>
    <row r="10" spans="1:43" ht="45">
      <c r="A10" s="355" t="s">
        <v>44</v>
      </c>
      <c r="B10" s="355" t="s">
        <v>45</v>
      </c>
      <c r="C10" s="356"/>
      <c r="D10" s="355"/>
      <c r="E10" s="355"/>
      <c r="F10" s="355"/>
      <c r="G10" s="1855">
        <f t="shared" si="0"/>
        <v>11.892189218921892</v>
      </c>
      <c r="H10" s="1855"/>
      <c r="I10" s="1855"/>
      <c r="J10" s="1856"/>
      <c r="K10" s="1856"/>
      <c r="L10" s="1856"/>
      <c r="M10" s="1857"/>
      <c r="N10" s="1857"/>
      <c r="O10" s="1857"/>
      <c r="P10" s="1856"/>
      <c r="Q10" s="1856"/>
      <c r="R10" s="1856"/>
      <c r="S10" s="1857"/>
      <c r="T10" s="1857"/>
      <c r="U10" s="1857"/>
      <c r="V10" s="1856"/>
      <c r="W10" s="1856"/>
      <c r="X10" s="1856"/>
      <c r="Y10" s="1857">
        <f t="shared" ref="Y10" si="3">SUM(Y11,Y16,Y19,Y23,Y26,Y29,Y34)</f>
        <v>36505</v>
      </c>
      <c r="Z10" s="1857">
        <f>SUM(Z11,Z16,Z19,Z23,Z26,Z29,Z34)</f>
        <v>4810</v>
      </c>
      <c r="AA10" s="1857"/>
      <c r="AB10" s="1856"/>
      <c r="AC10" s="1856"/>
      <c r="AD10" s="1856"/>
      <c r="AE10" s="1857"/>
      <c r="AF10" s="1857"/>
      <c r="AG10" s="1857">
        <f t="shared" ref="AG10:AI10" si="4">SUM(AG11,AG16,AG19,AG23,AG26,AG29,AG34)</f>
        <v>7330</v>
      </c>
      <c r="AH10" s="1857">
        <f t="shared" si="4"/>
        <v>48645</v>
      </c>
      <c r="AI10" s="1857">
        <f t="shared" si="4"/>
        <v>48645</v>
      </c>
      <c r="AJ10" s="1858"/>
      <c r="AK10" s="1858"/>
      <c r="AL10" s="1651"/>
      <c r="AM10" s="1858"/>
      <c r="AN10" s="1858"/>
      <c r="AO10" s="1859"/>
      <c r="AP10" s="355" t="s">
        <v>4239</v>
      </c>
      <c r="AQ10" s="1860"/>
    </row>
    <row r="11" spans="1:43" ht="45">
      <c r="A11" s="363" t="s">
        <v>1736</v>
      </c>
      <c r="B11" s="363" t="s">
        <v>1737</v>
      </c>
      <c r="C11" s="364"/>
      <c r="D11" s="363"/>
      <c r="E11" s="363"/>
      <c r="F11" s="363"/>
      <c r="G11" s="1861">
        <f t="shared" si="0"/>
        <v>2.3517907346290183</v>
      </c>
      <c r="H11" s="1861">
        <f>G11</f>
        <v>2.3517907346290183</v>
      </c>
      <c r="I11" s="1861"/>
      <c r="J11" s="1862"/>
      <c r="K11" s="1862"/>
      <c r="L11" s="1862"/>
      <c r="M11" s="1863"/>
      <c r="N11" s="1863"/>
      <c r="O11" s="1863"/>
      <c r="P11" s="1862"/>
      <c r="Q11" s="1862"/>
      <c r="R11" s="1862"/>
      <c r="S11" s="1863"/>
      <c r="T11" s="1863"/>
      <c r="U11" s="1863"/>
      <c r="V11" s="1862"/>
      <c r="W11" s="1862"/>
      <c r="X11" s="1862"/>
      <c r="Y11" s="1863"/>
      <c r="Z11" s="1863">
        <f>SUM(Z12,Z14)</f>
        <v>4810</v>
      </c>
      <c r="AA11" s="1863"/>
      <c r="AB11" s="1862"/>
      <c r="AC11" s="1862"/>
      <c r="AD11" s="1862"/>
      <c r="AE11" s="1863"/>
      <c r="AF11" s="1863"/>
      <c r="AG11" s="1863">
        <f>SUM(AG12,AG14)</f>
        <v>4810</v>
      </c>
      <c r="AH11" s="1863">
        <f t="shared" ref="AH11:AI11" si="5">SUM(AH12,AH14)</f>
        <v>9620</v>
      </c>
      <c r="AI11" s="1863">
        <f t="shared" si="5"/>
        <v>9620</v>
      </c>
      <c r="AJ11" s="1864"/>
      <c r="AK11" s="1864"/>
      <c r="AL11" s="1865"/>
      <c r="AM11" s="1864"/>
      <c r="AN11" s="1864"/>
      <c r="AO11" s="1866"/>
      <c r="AP11" s="363" t="s">
        <v>4240</v>
      </c>
      <c r="AQ11" s="1867"/>
    </row>
    <row r="12" spans="1:43" ht="90">
      <c r="A12" s="371" t="s">
        <v>4241</v>
      </c>
      <c r="B12" s="371" t="s">
        <v>4242</v>
      </c>
      <c r="C12" s="372"/>
      <c r="D12" s="997" t="s">
        <v>52</v>
      </c>
      <c r="E12" s="997" t="s">
        <v>4243</v>
      </c>
      <c r="F12" s="997" t="s">
        <v>4244</v>
      </c>
      <c r="G12" s="1868">
        <f t="shared" si="0"/>
        <v>1.1758953673145092</v>
      </c>
      <c r="H12" s="1868"/>
      <c r="I12" s="1868"/>
      <c r="J12" s="1869"/>
      <c r="K12" s="1869"/>
      <c r="L12" s="1869"/>
      <c r="M12" s="1870"/>
      <c r="N12" s="1870"/>
      <c r="O12" s="1870"/>
      <c r="P12" s="1869"/>
      <c r="Q12" s="1869"/>
      <c r="R12" s="1869"/>
      <c r="S12" s="1870"/>
      <c r="T12" s="1870"/>
      <c r="U12" s="1870"/>
      <c r="V12" s="1869"/>
      <c r="W12" s="1869"/>
      <c r="X12" s="1869"/>
      <c r="Y12" s="1870"/>
      <c r="Z12" s="1870">
        <f>SUM(Z13)</f>
        <v>4810</v>
      </c>
      <c r="AA12" s="1870"/>
      <c r="AB12" s="1869"/>
      <c r="AC12" s="1869"/>
      <c r="AD12" s="1869"/>
      <c r="AE12" s="1870"/>
      <c r="AF12" s="1870"/>
      <c r="AG12" s="1870"/>
      <c r="AH12" s="1870">
        <f>SUM(AH13)</f>
        <v>4810</v>
      </c>
      <c r="AI12" s="533">
        <f>SUM(AI13)</f>
        <v>4810</v>
      </c>
      <c r="AJ12" s="1871"/>
      <c r="AK12" s="1871"/>
      <c r="AL12" s="533"/>
      <c r="AM12" s="1871"/>
      <c r="AN12" s="1871"/>
      <c r="AO12" s="1872"/>
      <c r="AP12" s="371" t="s">
        <v>4240</v>
      </c>
      <c r="AQ12" s="1873"/>
    </row>
    <row r="13" spans="1:43" ht="90">
      <c r="A13" s="379" t="s">
        <v>4245</v>
      </c>
      <c r="B13" s="1287" t="s">
        <v>4246</v>
      </c>
      <c r="C13" s="1281">
        <v>1</v>
      </c>
      <c r="D13" s="1287" t="s">
        <v>52</v>
      </c>
      <c r="E13" s="1287" t="s">
        <v>4247</v>
      </c>
      <c r="F13" s="1287" t="s">
        <v>4244</v>
      </c>
      <c r="G13" s="1874">
        <f t="shared" si="0"/>
        <v>1.1758953673145092</v>
      </c>
      <c r="H13" s="1874"/>
      <c r="I13" s="1874">
        <v>100</v>
      </c>
      <c r="J13" s="1875"/>
      <c r="K13" s="1875"/>
      <c r="L13" s="1875"/>
      <c r="M13" s="1876"/>
      <c r="N13" s="1876"/>
      <c r="O13" s="1876"/>
      <c r="P13" s="1875"/>
      <c r="Q13" s="1875"/>
      <c r="R13" s="1875"/>
      <c r="S13" s="1876"/>
      <c r="T13" s="1876"/>
      <c r="U13" s="1876"/>
      <c r="V13" s="1875"/>
      <c r="W13" s="1875">
        <v>1</v>
      </c>
      <c r="X13" s="1875"/>
      <c r="Y13" s="1876"/>
      <c r="Z13" s="1666">
        <v>4810</v>
      </c>
      <c r="AA13" s="1876"/>
      <c r="AB13" s="1875"/>
      <c r="AC13" s="1875"/>
      <c r="AD13" s="1875"/>
      <c r="AE13" s="1876"/>
      <c r="AF13" s="1876"/>
      <c r="AG13" s="1876"/>
      <c r="AH13" s="1876">
        <f>SUM(M13,N13,O13,S13,T13,U13,Y13,Z13,AA13,AE13,AF13,AG13)</f>
        <v>4810</v>
      </c>
      <c r="AI13" s="1666">
        <v>4810</v>
      </c>
      <c r="AJ13" s="1666"/>
      <c r="AK13" s="1877"/>
      <c r="AL13" s="1666"/>
      <c r="AM13" s="1877"/>
      <c r="AN13" s="1877"/>
      <c r="AO13" s="1878" t="s">
        <v>1703</v>
      </c>
      <c r="AP13" s="22" t="s">
        <v>4240</v>
      </c>
      <c r="AQ13" s="1879"/>
    </row>
    <row r="14" spans="1:43" ht="75">
      <c r="A14" s="371" t="s">
        <v>4248</v>
      </c>
      <c r="B14" s="371" t="s">
        <v>4249</v>
      </c>
      <c r="C14" s="372"/>
      <c r="D14" s="371" t="s">
        <v>52</v>
      </c>
      <c r="E14" s="1880" t="s">
        <v>4250</v>
      </c>
      <c r="F14" s="1880" t="s">
        <v>4251</v>
      </c>
      <c r="G14" s="1868">
        <f t="shared" si="0"/>
        <v>1.1758953673145092</v>
      </c>
      <c r="H14" s="1868"/>
      <c r="I14" s="1868"/>
      <c r="J14" s="1869"/>
      <c r="K14" s="1869"/>
      <c r="L14" s="1869"/>
      <c r="M14" s="1870"/>
      <c r="N14" s="1870"/>
      <c r="O14" s="1870"/>
      <c r="P14" s="1869"/>
      <c r="Q14" s="1869"/>
      <c r="R14" s="1869"/>
      <c r="S14" s="1870"/>
      <c r="T14" s="1870"/>
      <c r="U14" s="1870"/>
      <c r="V14" s="1869"/>
      <c r="W14" s="1869"/>
      <c r="X14" s="1869"/>
      <c r="Y14" s="1870"/>
      <c r="Z14" s="1870"/>
      <c r="AA14" s="1870"/>
      <c r="AB14" s="1869"/>
      <c r="AC14" s="1869"/>
      <c r="AD14" s="1869"/>
      <c r="AE14" s="1870"/>
      <c r="AF14" s="1870"/>
      <c r="AG14" s="1870">
        <f>SUM(AG15)</f>
        <v>4810</v>
      </c>
      <c r="AH14" s="1870">
        <f>SUM(AH15)</f>
        <v>4810</v>
      </c>
      <c r="AI14" s="533">
        <f>SUM(AI15)</f>
        <v>4810</v>
      </c>
      <c r="AJ14" s="1871"/>
      <c r="AK14" s="1871"/>
      <c r="AL14" s="533"/>
      <c r="AM14" s="1871"/>
      <c r="AN14" s="1871"/>
      <c r="AO14" s="1872"/>
      <c r="AP14" s="18" t="s">
        <v>4240</v>
      </c>
      <c r="AQ14" s="1873"/>
    </row>
    <row r="15" spans="1:43" ht="60">
      <c r="A15" s="379" t="s">
        <v>4252</v>
      </c>
      <c r="B15" s="1881" t="s">
        <v>4253</v>
      </c>
      <c r="C15" s="1281">
        <v>1</v>
      </c>
      <c r="D15" s="379" t="s">
        <v>52</v>
      </c>
      <c r="E15" s="1881" t="s">
        <v>4250</v>
      </c>
      <c r="F15" s="1881" t="s">
        <v>4251</v>
      </c>
      <c r="G15" s="1874">
        <f t="shared" si="0"/>
        <v>1.1758953673145092</v>
      </c>
      <c r="H15" s="1874"/>
      <c r="I15" s="1874">
        <v>100</v>
      </c>
      <c r="J15" s="1875"/>
      <c r="K15" s="1875"/>
      <c r="L15" s="1875"/>
      <c r="M15" s="1876"/>
      <c r="N15" s="1876"/>
      <c r="O15" s="1876"/>
      <c r="P15" s="1875"/>
      <c r="Q15" s="1875"/>
      <c r="R15" s="1875"/>
      <c r="S15" s="1876"/>
      <c r="T15" s="1876"/>
      <c r="U15" s="1876"/>
      <c r="V15" s="1875"/>
      <c r="W15" s="1875"/>
      <c r="X15" s="1875"/>
      <c r="Y15" s="1876"/>
      <c r="Z15" s="1876"/>
      <c r="AA15" s="1876"/>
      <c r="AB15" s="1875"/>
      <c r="AC15" s="1875"/>
      <c r="AD15" s="1875">
        <v>1</v>
      </c>
      <c r="AE15" s="1876"/>
      <c r="AF15" s="1876"/>
      <c r="AG15" s="1666">
        <v>4810</v>
      </c>
      <c r="AH15" s="1876">
        <f>SUM(M15,N15,O15,S15,T15,U15,Y15,Z15,AA15,AE15,AF15,AG15)</f>
        <v>4810</v>
      </c>
      <c r="AI15" s="1666">
        <v>4810</v>
      </c>
      <c r="AJ15" s="1666"/>
      <c r="AK15" s="1877"/>
      <c r="AL15" s="1666"/>
      <c r="AM15" s="1877"/>
      <c r="AN15" s="1877"/>
      <c r="AO15" s="1878" t="s">
        <v>1703</v>
      </c>
      <c r="AP15" s="22" t="s">
        <v>4240</v>
      </c>
      <c r="AQ15" s="1879"/>
    </row>
    <row r="16" spans="1:43" ht="45">
      <c r="A16" s="363" t="s">
        <v>4254</v>
      </c>
      <c r="B16" s="363" t="s">
        <v>4255</v>
      </c>
      <c r="C16" s="364"/>
      <c r="D16" s="363"/>
      <c r="E16" s="363"/>
      <c r="F16" s="363"/>
      <c r="G16" s="1861">
        <f t="shared" si="0"/>
        <v>1.4692580369148027</v>
      </c>
      <c r="H16" s="1861">
        <f>G16</f>
        <v>1.4692580369148027</v>
      </c>
      <c r="I16" s="1861"/>
      <c r="J16" s="1862"/>
      <c r="K16" s="1862"/>
      <c r="L16" s="1862"/>
      <c r="M16" s="1863"/>
      <c r="N16" s="1863"/>
      <c r="O16" s="1863"/>
      <c r="P16" s="1862"/>
      <c r="Q16" s="1862"/>
      <c r="R16" s="1862"/>
      <c r="S16" s="1863"/>
      <c r="T16" s="1863"/>
      <c r="U16" s="1863"/>
      <c r="V16" s="1862"/>
      <c r="W16" s="1862"/>
      <c r="X16" s="1862"/>
      <c r="Y16" s="1863">
        <f>SUM(Y17)</f>
        <v>6010</v>
      </c>
      <c r="Z16" s="1863"/>
      <c r="AA16" s="1863"/>
      <c r="AB16" s="1862"/>
      <c r="AC16" s="1862"/>
      <c r="AD16" s="1862"/>
      <c r="AE16" s="1863"/>
      <c r="AF16" s="1863"/>
      <c r="AG16" s="1863"/>
      <c r="AH16" s="1863">
        <f t="shared" ref="AH16:AI17" si="6">SUM(AH17)</f>
        <v>6010</v>
      </c>
      <c r="AI16" s="1863">
        <f t="shared" si="6"/>
        <v>6010</v>
      </c>
      <c r="AJ16" s="1864"/>
      <c r="AK16" s="1864"/>
      <c r="AL16" s="1865"/>
      <c r="AM16" s="1864"/>
      <c r="AN16" s="1864"/>
      <c r="AO16" s="1866"/>
      <c r="AP16" s="14" t="s">
        <v>4240</v>
      </c>
      <c r="AQ16" s="1867"/>
    </row>
    <row r="17" spans="1:43" ht="75">
      <c r="A17" s="371" t="s">
        <v>4256</v>
      </c>
      <c r="B17" s="371" t="s">
        <v>4257</v>
      </c>
      <c r="C17" s="372"/>
      <c r="D17" s="371" t="s">
        <v>231</v>
      </c>
      <c r="E17" s="371" t="s">
        <v>991</v>
      </c>
      <c r="F17" s="371" t="s">
        <v>4258</v>
      </c>
      <c r="G17" s="1868">
        <f t="shared" si="0"/>
        <v>1.4692580369148027</v>
      </c>
      <c r="H17" s="1868"/>
      <c r="I17" s="1868"/>
      <c r="J17" s="1869"/>
      <c r="K17" s="1869"/>
      <c r="L17" s="1869"/>
      <c r="M17" s="1870"/>
      <c r="N17" s="1870"/>
      <c r="O17" s="1870"/>
      <c r="P17" s="1869"/>
      <c r="Q17" s="1869"/>
      <c r="R17" s="1869"/>
      <c r="S17" s="1870"/>
      <c r="T17" s="1870"/>
      <c r="U17" s="1870"/>
      <c r="V17" s="1869"/>
      <c r="W17" s="1869"/>
      <c r="X17" s="1869"/>
      <c r="Y17" s="1870">
        <f>SUM(Y18)</f>
        <v>6010</v>
      </c>
      <c r="Z17" s="1870"/>
      <c r="AA17" s="1870"/>
      <c r="AB17" s="1869"/>
      <c r="AC17" s="1869"/>
      <c r="AD17" s="1869"/>
      <c r="AE17" s="1870"/>
      <c r="AF17" s="1870"/>
      <c r="AG17" s="1870"/>
      <c r="AH17" s="1870">
        <f t="shared" si="6"/>
        <v>6010</v>
      </c>
      <c r="AI17" s="1870">
        <f t="shared" si="6"/>
        <v>6010</v>
      </c>
      <c r="AJ17" s="1871"/>
      <c r="AK17" s="1871"/>
      <c r="AL17" s="533"/>
      <c r="AM17" s="1871"/>
      <c r="AN17" s="1871"/>
      <c r="AO17" s="1872"/>
      <c r="AP17" s="18" t="s">
        <v>4240</v>
      </c>
      <c r="AQ17" s="1873"/>
    </row>
    <row r="18" spans="1:43" ht="75">
      <c r="A18" s="379" t="s">
        <v>4259</v>
      </c>
      <c r="B18" s="379" t="s">
        <v>4260</v>
      </c>
      <c r="C18" s="1281">
        <v>2</v>
      </c>
      <c r="D18" s="379" t="s">
        <v>231</v>
      </c>
      <c r="E18" s="379" t="s">
        <v>991</v>
      </c>
      <c r="F18" s="379" t="s">
        <v>992</v>
      </c>
      <c r="G18" s="1874">
        <f t="shared" si="0"/>
        <v>1.4692580369148027</v>
      </c>
      <c r="H18" s="1874"/>
      <c r="I18" s="1874">
        <v>100</v>
      </c>
      <c r="J18" s="1875"/>
      <c r="K18" s="1875"/>
      <c r="L18" s="1875"/>
      <c r="M18" s="1876"/>
      <c r="N18" s="1876"/>
      <c r="O18" s="1876"/>
      <c r="P18" s="1875"/>
      <c r="Q18" s="1875"/>
      <c r="R18" s="1875"/>
      <c r="S18" s="1876"/>
      <c r="T18" s="1876"/>
      <c r="U18" s="1876"/>
      <c r="V18" s="1875">
        <v>2</v>
      </c>
      <c r="W18" s="1875"/>
      <c r="X18" s="1875"/>
      <c r="Y18" s="1666">
        <v>6010</v>
      </c>
      <c r="Z18" s="1876"/>
      <c r="AA18" s="1876"/>
      <c r="AB18" s="1875"/>
      <c r="AC18" s="1875"/>
      <c r="AD18" s="1875"/>
      <c r="AE18" s="1876"/>
      <c r="AF18" s="1876"/>
      <c r="AG18" s="1876"/>
      <c r="AH18" s="1876">
        <f>SUM(M18,N18,O18,S18,T18,U18,Y18,Z18,AA18,AE18,AF18,AG18)</f>
        <v>6010</v>
      </c>
      <c r="AI18" s="1666">
        <v>6010</v>
      </c>
      <c r="AJ18" s="1666"/>
      <c r="AK18" s="1877"/>
      <c r="AL18" s="1666"/>
      <c r="AM18" s="1877"/>
      <c r="AN18" s="1877"/>
      <c r="AO18" s="1878" t="s">
        <v>1703</v>
      </c>
      <c r="AP18" s="22" t="s">
        <v>4240</v>
      </c>
      <c r="AQ18" s="1879"/>
    </row>
    <row r="19" spans="1:43" ht="45">
      <c r="A19" s="363" t="s">
        <v>4261</v>
      </c>
      <c r="B19" s="363" t="s">
        <v>503</v>
      </c>
      <c r="C19" s="364"/>
      <c r="D19" s="363"/>
      <c r="E19" s="363"/>
      <c r="F19" s="363"/>
      <c r="G19" s="1861">
        <f t="shared" si="0"/>
        <v>2.6072607260726075</v>
      </c>
      <c r="H19" s="1861">
        <f>G19</f>
        <v>2.6072607260726075</v>
      </c>
      <c r="I19" s="1861"/>
      <c r="J19" s="1862"/>
      <c r="K19" s="1862"/>
      <c r="L19" s="1862"/>
      <c r="M19" s="1863"/>
      <c r="N19" s="1863"/>
      <c r="O19" s="1863"/>
      <c r="P19" s="1862"/>
      <c r="Q19" s="1862"/>
      <c r="R19" s="1862"/>
      <c r="S19" s="1863"/>
      <c r="T19" s="1863"/>
      <c r="U19" s="1863"/>
      <c r="V19" s="1862"/>
      <c r="W19" s="1862"/>
      <c r="X19" s="1862"/>
      <c r="Y19" s="1863">
        <f>SUM(Y20)</f>
        <v>8145</v>
      </c>
      <c r="Z19" s="1863"/>
      <c r="AA19" s="1863"/>
      <c r="AB19" s="1862"/>
      <c r="AC19" s="1862"/>
      <c r="AD19" s="1862"/>
      <c r="AE19" s="1863"/>
      <c r="AF19" s="1863"/>
      <c r="AG19" s="1863">
        <f t="shared" ref="AG19:AI19" si="7">SUM(AG20)</f>
        <v>2520</v>
      </c>
      <c r="AH19" s="1863">
        <f t="shared" si="7"/>
        <v>10665</v>
      </c>
      <c r="AI19" s="1863">
        <f t="shared" si="7"/>
        <v>10665</v>
      </c>
      <c r="AJ19" s="1864"/>
      <c r="AK19" s="1864"/>
      <c r="AL19" s="1865"/>
      <c r="AM19" s="1864"/>
      <c r="AN19" s="1864"/>
      <c r="AO19" s="1866"/>
      <c r="AP19" s="363" t="s">
        <v>4262</v>
      </c>
      <c r="AQ19" s="1867"/>
    </row>
    <row r="20" spans="1:43" ht="75">
      <c r="A20" s="371" t="s">
        <v>4263</v>
      </c>
      <c r="B20" s="371" t="s">
        <v>4264</v>
      </c>
      <c r="C20" s="372"/>
      <c r="D20" s="371" t="s">
        <v>52</v>
      </c>
      <c r="E20" s="371" t="s">
        <v>4265</v>
      </c>
      <c r="F20" s="371"/>
      <c r="G20" s="1868">
        <f t="shared" si="0"/>
        <v>2.6072607260726075</v>
      </c>
      <c r="H20" s="1868"/>
      <c r="I20" s="1868"/>
      <c r="J20" s="1869"/>
      <c r="K20" s="1869"/>
      <c r="L20" s="1869"/>
      <c r="M20" s="1870"/>
      <c r="N20" s="1870"/>
      <c r="O20" s="1870"/>
      <c r="P20" s="1869"/>
      <c r="Q20" s="1869"/>
      <c r="R20" s="1869"/>
      <c r="S20" s="1870"/>
      <c r="T20" s="1870"/>
      <c r="U20" s="1870"/>
      <c r="V20" s="1869"/>
      <c r="W20" s="1869"/>
      <c r="X20" s="1869"/>
      <c r="Y20" s="1870">
        <f>SUM(Y21:Y22)</f>
        <v>8145</v>
      </c>
      <c r="Z20" s="1870"/>
      <c r="AA20" s="1870"/>
      <c r="AB20" s="1869"/>
      <c r="AC20" s="1869"/>
      <c r="AD20" s="1869"/>
      <c r="AE20" s="1870"/>
      <c r="AF20" s="1870"/>
      <c r="AG20" s="1870">
        <f>SUM(AG21:AG22)</f>
        <v>2520</v>
      </c>
      <c r="AH20" s="1870">
        <f>SUM(AH21:AH22)</f>
        <v>10665</v>
      </c>
      <c r="AI20" s="1870">
        <f>SUM(AI21:AI22)</f>
        <v>10665</v>
      </c>
      <c r="AJ20" s="1871"/>
      <c r="AK20" s="1871"/>
      <c r="AL20" s="533"/>
      <c r="AM20" s="1871"/>
      <c r="AN20" s="1871"/>
      <c r="AO20" s="1872"/>
      <c r="AP20" s="18" t="s">
        <v>4262</v>
      </c>
      <c r="AQ20" s="1873"/>
    </row>
    <row r="21" spans="1:43" ht="75">
      <c r="A21" s="379" t="s">
        <v>4266</v>
      </c>
      <c r="B21" s="379" t="s">
        <v>4267</v>
      </c>
      <c r="C21" s="1281">
        <v>1</v>
      </c>
      <c r="D21" s="379" t="s">
        <v>159</v>
      </c>
      <c r="E21" s="379" t="s">
        <v>4268</v>
      </c>
      <c r="F21" s="379" t="s">
        <v>2192</v>
      </c>
      <c r="G21" s="1874">
        <f t="shared" si="0"/>
        <v>1.9911991199119912</v>
      </c>
      <c r="H21" s="1874"/>
      <c r="I21" s="1874">
        <v>76.39</v>
      </c>
      <c r="J21" s="1875"/>
      <c r="K21" s="1875"/>
      <c r="L21" s="1875"/>
      <c r="M21" s="1876"/>
      <c r="N21" s="1876"/>
      <c r="O21" s="1876"/>
      <c r="P21" s="1875"/>
      <c r="Q21" s="1875"/>
      <c r="R21" s="1875"/>
      <c r="S21" s="1876"/>
      <c r="T21" s="1876"/>
      <c r="U21" s="1876"/>
      <c r="V21" s="1875">
        <v>1</v>
      </c>
      <c r="W21" s="1875"/>
      <c r="X21" s="1875"/>
      <c r="Y21" s="1666">
        <v>8145</v>
      </c>
      <c r="Z21" s="1876"/>
      <c r="AA21" s="1876"/>
      <c r="AB21" s="1875"/>
      <c r="AC21" s="1875"/>
      <c r="AD21" s="1875"/>
      <c r="AE21" s="1876"/>
      <c r="AF21" s="1876"/>
      <c r="AG21" s="1876"/>
      <c r="AH21" s="1876">
        <f t="shared" ref="AH21:AH22" si="8">SUM(M21,N21,O21,S21,T21,U21,Y21,Z21,AA21,AE21,AF21,AG21)</f>
        <v>8145</v>
      </c>
      <c r="AI21" s="1666">
        <v>8145</v>
      </c>
      <c r="AJ21" s="1666"/>
      <c r="AK21" s="1877"/>
      <c r="AL21" s="1666"/>
      <c r="AM21" s="1877"/>
      <c r="AN21" s="1877"/>
      <c r="AO21" s="1878" t="s">
        <v>1703</v>
      </c>
      <c r="AP21" s="22" t="s">
        <v>4269</v>
      </c>
      <c r="AQ21" s="1879"/>
    </row>
    <row r="22" spans="1:43" ht="75">
      <c r="A22" s="379" t="s">
        <v>4270</v>
      </c>
      <c r="B22" s="379" t="s">
        <v>4271</v>
      </c>
      <c r="C22" s="1281">
        <v>1</v>
      </c>
      <c r="D22" s="379" t="s">
        <v>52</v>
      </c>
      <c r="E22" s="379" t="s">
        <v>4265</v>
      </c>
      <c r="F22" s="379" t="s">
        <v>4041</v>
      </c>
      <c r="G22" s="1874">
        <f t="shared" si="0"/>
        <v>0.61606160616061612</v>
      </c>
      <c r="H22" s="1874"/>
      <c r="I22" s="1874">
        <v>23.61</v>
      </c>
      <c r="J22" s="1875"/>
      <c r="K22" s="1875"/>
      <c r="L22" s="1875"/>
      <c r="M22" s="1876"/>
      <c r="N22" s="1876"/>
      <c r="O22" s="1876"/>
      <c r="P22" s="1875"/>
      <c r="Q22" s="1875"/>
      <c r="R22" s="1875"/>
      <c r="S22" s="1876"/>
      <c r="T22" s="1876"/>
      <c r="U22" s="1876"/>
      <c r="V22" s="1875"/>
      <c r="W22" s="1875"/>
      <c r="X22" s="1875"/>
      <c r="Y22" s="1876"/>
      <c r="Z22" s="1876"/>
      <c r="AA22" s="1876"/>
      <c r="AB22" s="1875"/>
      <c r="AC22" s="1875"/>
      <c r="AD22" s="1875">
        <v>1</v>
      </c>
      <c r="AE22" s="1876"/>
      <c r="AF22" s="1876"/>
      <c r="AG22" s="1666">
        <v>2520</v>
      </c>
      <c r="AH22" s="1876">
        <f t="shared" si="8"/>
        <v>2520</v>
      </c>
      <c r="AI22" s="1666">
        <v>2520</v>
      </c>
      <c r="AJ22" s="1666"/>
      <c r="AK22" s="1877"/>
      <c r="AL22" s="1666"/>
      <c r="AM22" s="1877"/>
      <c r="AN22" s="1877"/>
      <c r="AO22" s="1878" t="s">
        <v>1703</v>
      </c>
      <c r="AP22" s="22" t="s">
        <v>4272</v>
      </c>
      <c r="AQ22" s="1879"/>
    </row>
    <row r="23" spans="1:43" ht="45">
      <c r="A23" s="363" t="s">
        <v>1783</v>
      </c>
      <c r="B23" s="363" t="s">
        <v>1784</v>
      </c>
      <c r="C23" s="364"/>
      <c r="D23" s="363"/>
      <c r="E23" s="363"/>
      <c r="F23" s="363"/>
      <c r="G23" s="1861">
        <f t="shared" si="0"/>
        <v>1.4692580369148027</v>
      </c>
      <c r="H23" s="1861">
        <f>G23</f>
        <v>1.4692580369148027</v>
      </c>
      <c r="I23" s="1861"/>
      <c r="J23" s="1862"/>
      <c r="K23" s="1862"/>
      <c r="L23" s="1862"/>
      <c r="M23" s="1863"/>
      <c r="N23" s="1863"/>
      <c r="O23" s="1863"/>
      <c r="P23" s="1862"/>
      <c r="Q23" s="1862"/>
      <c r="R23" s="1862"/>
      <c r="S23" s="1863"/>
      <c r="T23" s="1863"/>
      <c r="U23" s="1863"/>
      <c r="V23" s="1862"/>
      <c r="W23" s="1862"/>
      <c r="X23" s="1862"/>
      <c r="Y23" s="1863">
        <f>SUM(Y24)</f>
        <v>6010</v>
      </c>
      <c r="Z23" s="1863"/>
      <c r="AA23" s="1863"/>
      <c r="AB23" s="1862"/>
      <c r="AC23" s="1862"/>
      <c r="AD23" s="1862"/>
      <c r="AE23" s="1863"/>
      <c r="AF23" s="1863"/>
      <c r="AG23" s="1863"/>
      <c r="AH23" s="1863">
        <f t="shared" ref="AH23:AI24" si="9">SUM(AH24)</f>
        <v>6010</v>
      </c>
      <c r="AI23" s="1863">
        <f t="shared" si="9"/>
        <v>6010</v>
      </c>
      <c r="AJ23" s="1864"/>
      <c r="AK23" s="1864"/>
      <c r="AL23" s="1865"/>
      <c r="AM23" s="1864"/>
      <c r="AN23" s="1864"/>
      <c r="AO23" s="1866"/>
      <c r="AP23" s="363" t="s">
        <v>4240</v>
      </c>
      <c r="AQ23" s="1867"/>
    </row>
    <row r="24" spans="1:43" ht="90">
      <c r="A24" s="371" t="s">
        <v>4273</v>
      </c>
      <c r="B24" s="371" t="s">
        <v>4274</v>
      </c>
      <c r="C24" s="372"/>
      <c r="D24" s="371" t="s">
        <v>231</v>
      </c>
      <c r="E24" s="371" t="s">
        <v>991</v>
      </c>
      <c r="F24" s="371" t="s">
        <v>992</v>
      </c>
      <c r="G24" s="1868">
        <f t="shared" si="0"/>
        <v>1.4692580369148027</v>
      </c>
      <c r="H24" s="1868"/>
      <c r="I24" s="1868"/>
      <c r="J24" s="1869"/>
      <c r="K24" s="1869"/>
      <c r="L24" s="1869"/>
      <c r="M24" s="1870"/>
      <c r="N24" s="1870"/>
      <c r="O24" s="1870"/>
      <c r="P24" s="1869"/>
      <c r="Q24" s="1869"/>
      <c r="R24" s="1869"/>
      <c r="S24" s="1870"/>
      <c r="T24" s="1870"/>
      <c r="U24" s="1870"/>
      <c r="V24" s="1869"/>
      <c r="W24" s="1869"/>
      <c r="X24" s="1869"/>
      <c r="Y24" s="1870">
        <f>SUM(Y25)</f>
        <v>6010</v>
      </c>
      <c r="Z24" s="1870"/>
      <c r="AA24" s="1870"/>
      <c r="AB24" s="1869"/>
      <c r="AC24" s="1869"/>
      <c r="AD24" s="1869"/>
      <c r="AE24" s="1870"/>
      <c r="AF24" s="1870"/>
      <c r="AG24" s="1870"/>
      <c r="AH24" s="1870">
        <f t="shared" si="9"/>
        <v>6010</v>
      </c>
      <c r="AI24" s="1870">
        <f t="shared" si="9"/>
        <v>6010</v>
      </c>
      <c r="AJ24" s="1871"/>
      <c r="AK24" s="1871"/>
      <c r="AL24" s="533"/>
      <c r="AM24" s="1871"/>
      <c r="AN24" s="1871"/>
      <c r="AO24" s="1872"/>
      <c r="AP24" s="18" t="s">
        <v>4240</v>
      </c>
      <c r="AQ24" s="1873"/>
    </row>
    <row r="25" spans="1:43" ht="75">
      <c r="A25" s="379" t="s">
        <v>4275</v>
      </c>
      <c r="B25" s="379" t="s">
        <v>4276</v>
      </c>
      <c r="C25" s="1281">
        <v>2</v>
      </c>
      <c r="D25" s="379" t="s">
        <v>231</v>
      </c>
      <c r="E25" s="379" t="s">
        <v>991</v>
      </c>
      <c r="F25" s="379" t="s">
        <v>992</v>
      </c>
      <c r="G25" s="1874">
        <f t="shared" si="0"/>
        <v>1.4692580369148027</v>
      </c>
      <c r="H25" s="1874"/>
      <c r="I25" s="1874">
        <v>100</v>
      </c>
      <c r="J25" s="1875"/>
      <c r="K25" s="1875"/>
      <c r="L25" s="1875"/>
      <c r="M25" s="1876"/>
      <c r="N25" s="1876"/>
      <c r="O25" s="1876"/>
      <c r="P25" s="1875"/>
      <c r="Q25" s="1875"/>
      <c r="R25" s="1875"/>
      <c r="S25" s="1876"/>
      <c r="T25" s="1876"/>
      <c r="U25" s="1876"/>
      <c r="V25" s="1875">
        <v>2</v>
      </c>
      <c r="W25" s="1875"/>
      <c r="X25" s="1875"/>
      <c r="Y25" s="1666">
        <v>6010</v>
      </c>
      <c r="Z25" s="1876"/>
      <c r="AA25" s="1876"/>
      <c r="AB25" s="1875"/>
      <c r="AC25" s="1875"/>
      <c r="AD25" s="1875"/>
      <c r="AE25" s="1876"/>
      <c r="AF25" s="1876"/>
      <c r="AG25" s="1876"/>
      <c r="AH25" s="1876">
        <f>SUM(M25,N25,O25,S25,T25,U25,Y25,Z25,AA25,AE25,AF25,AG25)</f>
        <v>6010</v>
      </c>
      <c r="AI25" s="1666">
        <v>6010</v>
      </c>
      <c r="AJ25" s="1666"/>
      <c r="AK25" s="1877"/>
      <c r="AL25" s="1666"/>
      <c r="AM25" s="1877"/>
      <c r="AN25" s="1877"/>
      <c r="AO25" s="1878" t="s">
        <v>1703</v>
      </c>
      <c r="AP25" s="379" t="s">
        <v>4240</v>
      </c>
      <c r="AQ25" s="1879"/>
    </row>
    <row r="26" spans="1:43" ht="45">
      <c r="A26" s="363" t="s">
        <v>2538</v>
      </c>
      <c r="B26" s="363" t="s">
        <v>2539</v>
      </c>
      <c r="C26" s="364"/>
      <c r="D26" s="363"/>
      <c r="E26" s="363"/>
      <c r="F26" s="363"/>
      <c r="G26" s="1861">
        <f t="shared" si="0"/>
        <v>0.99865542109766525</v>
      </c>
      <c r="H26" s="1861">
        <f>G26</f>
        <v>0.99865542109766525</v>
      </c>
      <c r="I26" s="1861"/>
      <c r="J26" s="1862"/>
      <c r="K26" s="1862"/>
      <c r="L26" s="1862"/>
      <c r="M26" s="1863"/>
      <c r="N26" s="1863"/>
      <c r="O26" s="1863"/>
      <c r="P26" s="1862"/>
      <c r="Q26" s="1862"/>
      <c r="R26" s="1862"/>
      <c r="S26" s="1863"/>
      <c r="T26" s="1863"/>
      <c r="U26" s="1863"/>
      <c r="V26" s="1862"/>
      <c r="W26" s="1862"/>
      <c r="X26" s="1862"/>
      <c r="Y26" s="1863">
        <f>SUM(Y27)</f>
        <v>4085</v>
      </c>
      <c r="Z26" s="1863"/>
      <c r="AA26" s="1863"/>
      <c r="AB26" s="1862"/>
      <c r="AC26" s="1862"/>
      <c r="AD26" s="1862"/>
      <c r="AE26" s="1863"/>
      <c r="AF26" s="1863"/>
      <c r="AG26" s="1863"/>
      <c r="AH26" s="1863">
        <f t="shared" ref="AH26:AI27" si="10">SUM(AH27)</f>
        <v>4085</v>
      </c>
      <c r="AI26" s="1863">
        <f t="shared" si="10"/>
        <v>4085</v>
      </c>
      <c r="AJ26" s="1864"/>
      <c r="AK26" s="1864"/>
      <c r="AL26" s="1865"/>
      <c r="AM26" s="1864"/>
      <c r="AN26" s="1864"/>
      <c r="AO26" s="1866"/>
      <c r="AP26" s="363" t="s">
        <v>4240</v>
      </c>
      <c r="AQ26" s="1867"/>
    </row>
    <row r="27" spans="1:43" ht="90">
      <c r="A27" s="371" t="s">
        <v>4277</v>
      </c>
      <c r="B27" s="371" t="s">
        <v>4278</v>
      </c>
      <c r="C27" s="372"/>
      <c r="D27" s="371" t="s">
        <v>231</v>
      </c>
      <c r="E27" s="371" t="s">
        <v>991</v>
      </c>
      <c r="F27" s="371" t="s">
        <v>992</v>
      </c>
      <c r="G27" s="1868">
        <f t="shared" si="0"/>
        <v>0.99865542109766525</v>
      </c>
      <c r="H27" s="1868"/>
      <c r="I27" s="1868"/>
      <c r="J27" s="1869"/>
      <c r="K27" s="1869"/>
      <c r="L27" s="1869"/>
      <c r="M27" s="1870"/>
      <c r="N27" s="1870"/>
      <c r="O27" s="1870"/>
      <c r="P27" s="1869"/>
      <c r="Q27" s="1869"/>
      <c r="R27" s="1869"/>
      <c r="S27" s="1870"/>
      <c r="T27" s="1870"/>
      <c r="U27" s="1870"/>
      <c r="V27" s="1869"/>
      <c r="W27" s="1869"/>
      <c r="X27" s="1869"/>
      <c r="Y27" s="1870">
        <f>SUM(Y28)</f>
        <v>4085</v>
      </c>
      <c r="Z27" s="1870"/>
      <c r="AA27" s="1870"/>
      <c r="AB27" s="1869"/>
      <c r="AC27" s="1869"/>
      <c r="AD27" s="1869"/>
      <c r="AE27" s="1870"/>
      <c r="AF27" s="1870"/>
      <c r="AG27" s="1870"/>
      <c r="AH27" s="1870">
        <f t="shared" si="10"/>
        <v>4085</v>
      </c>
      <c r="AI27" s="1870">
        <f t="shared" si="10"/>
        <v>4085</v>
      </c>
      <c r="AJ27" s="1871"/>
      <c r="AK27" s="1871"/>
      <c r="AL27" s="533"/>
      <c r="AM27" s="1871"/>
      <c r="AN27" s="1871"/>
      <c r="AO27" s="1872"/>
      <c r="AP27" s="18" t="s">
        <v>4240</v>
      </c>
      <c r="AQ27" s="1873"/>
    </row>
    <row r="28" spans="1:43" ht="75">
      <c r="A28" s="379" t="s">
        <v>4279</v>
      </c>
      <c r="B28" s="379" t="s">
        <v>4280</v>
      </c>
      <c r="C28" s="1281">
        <v>1</v>
      </c>
      <c r="D28" s="379" t="s">
        <v>231</v>
      </c>
      <c r="E28" s="379" t="s">
        <v>991</v>
      </c>
      <c r="F28" s="379" t="s">
        <v>992</v>
      </c>
      <c r="G28" s="1874">
        <f t="shared" si="0"/>
        <v>0.99865542109766525</v>
      </c>
      <c r="H28" s="1874"/>
      <c r="I28" s="1874">
        <v>100</v>
      </c>
      <c r="J28" s="1875"/>
      <c r="K28" s="1875"/>
      <c r="L28" s="1875"/>
      <c r="M28" s="1876"/>
      <c r="N28" s="1876"/>
      <c r="O28" s="1876"/>
      <c r="P28" s="1875"/>
      <c r="Q28" s="1875"/>
      <c r="R28" s="1875"/>
      <c r="S28" s="1876"/>
      <c r="T28" s="1876"/>
      <c r="U28" s="1876"/>
      <c r="V28" s="1875">
        <v>1</v>
      </c>
      <c r="W28" s="1875"/>
      <c r="X28" s="1875"/>
      <c r="Y28" s="1666">
        <v>4085</v>
      </c>
      <c r="Z28" s="1876"/>
      <c r="AA28" s="1876"/>
      <c r="AB28" s="1875"/>
      <c r="AC28" s="1875"/>
      <c r="AD28" s="1875"/>
      <c r="AE28" s="1876"/>
      <c r="AF28" s="1876"/>
      <c r="AG28" s="1876"/>
      <c r="AH28" s="1876">
        <f>SUM(M28,N28,O28,S28,T28,U28,Y28,Z28,AA28,AE28,AF28,AG28)</f>
        <v>4085</v>
      </c>
      <c r="AI28" s="1666">
        <v>4085</v>
      </c>
      <c r="AJ28" s="1666"/>
      <c r="AK28" s="1877"/>
      <c r="AL28" s="1666"/>
      <c r="AM28" s="1877"/>
      <c r="AN28" s="1877"/>
      <c r="AO28" s="1878" t="s">
        <v>1703</v>
      </c>
      <c r="AP28" s="22" t="s">
        <v>4240</v>
      </c>
      <c r="AQ28" s="1879"/>
    </row>
    <row r="29" spans="1:43" ht="45">
      <c r="A29" s="363" t="s">
        <v>2656</v>
      </c>
      <c r="B29" s="363" t="s">
        <v>2657</v>
      </c>
      <c r="C29" s="364"/>
      <c r="D29" s="363"/>
      <c r="E29" s="363"/>
      <c r="F29" s="363"/>
      <c r="G29" s="1861">
        <f t="shared" si="0"/>
        <v>1.9973108421953305</v>
      </c>
      <c r="H29" s="1861">
        <f>G29</f>
        <v>1.9973108421953305</v>
      </c>
      <c r="I29" s="1861"/>
      <c r="J29" s="1862"/>
      <c r="K29" s="1862"/>
      <c r="L29" s="1862"/>
      <c r="M29" s="1863"/>
      <c r="N29" s="1863"/>
      <c r="O29" s="1863"/>
      <c r="P29" s="1862"/>
      <c r="Q29" s="1862"/>
      <c r="R29" s="1862"/>
      <c r="S29" s="1863"/>
      <c r="T29" s="1863"/>
      <c r="U29" s="1863"/>
      <c r="V29" s="1862"/>
      <c r="W29" s="1862"/>
      <c r="X29" s="1862"/>
      <c r="Y29" s="1863">
        <f>SUM(Y30,Y32)</f>
        <v>8170</v>
      </c>
      <c r="Z29" s="1863"/>
      <c r="AA29" s="1863"/>
      <c r="AB29" s="1862"/>
      <c r="AC29" s="1862"/>
      <c r="AD29" s="1862"/>
      <c r="AE29" s="1863"/>
      <c r="AF29" s="1863"/>
      <c r="AG29" s="1863"/>
      <c r="AH29" s="1863">
        <f>SUM(AH30,AH32)</f>
        <v>8170</v>
      </c>
      <c r="AI29" s="1863">
        <f>SUM(AI30,AI32)</f>
        <v>8170</v>
      </c>
      <c r="AJ29" s="1864"/>
      <c r="AK29" s="1864"/>
      <c r="AL29" s="1865"/>
      <c r="AM29" s="1864"/>
      <c r="AN29" s="1864"/>
      <c r="AO29" s="1866"/>
      <c r="AP29" s="363" t="s">
        <v>4240</v>
      </c>
      <c r="AQ29" s="1867"/>
    </row>
    <row r="30" spans="1:43" ht="75">
      <c r="A30" s="371" t="s">
        <v>4281</v>
      </c>
      <c r="B30" s="371" t="s">
        <v>4282</v>
      </c>
      <c r="C30" s="372"/>
      <c r="D30" s="371" t="s">
        <v>231</v>
      </c>
      <c r="E30" s="371" t="s">
        <v>991</v>
      </c>
      <c r="F30" s="371" t="s">
        <v>992</v>
      </c>
      <c r="G30" s="1868">
        <f t="shared" si="0"/>
        <v>0.99865542109766525</v>
      </c>
      <c r="H30" s="1868"/>
      <c r="I30" s="1868"/>
      <c r="J30" s="1869"/>
      <c r="K30" s="1869"/>
      <c r="L30" s="1869"/>
      <c r="M30" s="1870"/>
      <c r="N30" s="1870"/>
      <c r="O30" s="1870"/>
      <c r="P30" s="1869"/>
      <c r="Q30" s="1869"/>
      <c r="R30" s="1869"/>
      <c r="S30" s="1870"/>
      <c r="T30" s="1870"/>
      <c r="U30" s="1870"/>
      <c r="V30" s="1869"/>
      <c r="W30" s="1869"/>
      <c r="X30" s="1869"/>
      <c r="Y30" s="1870">
        <f>SUM(Y31)</f>
        <v>4085</v>
      </c>
      <c r="Z30" s="1870"/>
      <c r="AA30" s="1870"/>
      <c r="AB30" s="1869"/>
      <c r="AC30" s="1869"/>
      <c r="AD30" s="1869"/>
      <c r="AE30" s="1870"/>
      <c r="AF30" s="1870"/>
      <c r="AG30" s="1870"/>
      <c r="AH30" s="1870">
        <f t="shared" ref="AH30:AI30" si="11">SUM(AH31)</f>
        <v>4085</v>
      </c>
      <c r="AI30" s="1870">
        <f t="shared" si="11"/>
        <v>4085</v>
      </c>
      <c r="AJ30" s="1871"/>
      <c r="AK30" s="1871"/>
      <c r="AL30" s="533"/>
      <c r="AM30" s="1871"/>
      <c r="AN30" s="1871"/>
      <c r="AO30" s="1872"/>
      <c r="AP30" s="18" t="s">
        <v>4240</v>
      </c>
      <c r="AQ30" s="1873"/>
    </row>
    <row r="31" spans="1:43" ht="75">
      <c r="A31" s="379" t="s">
        <v>4283</v>
      </c>
      <c r="B31" s="379" t="s">
        <v>4284</v>
      </c>
      <c r="C31" s="1281">
        <v>1</v>
      </c>
      <c r="D31" s="379" t="s">
        <v>231</v>
      </c>
      <c r="E31" s="379" t="s">
        <v>991</v>
      </c>
      <c r="F31" s="379" t="s">
        <v>992</v>
      </c>
      <c r="G31" s="1874">
        <f t="shared" si="0"/>
        <v>0.99865542109766525</v>
      </c>
      <c r="H31" s="1874"/>
      <c r="I31" s="1874">
        <v>100</v>
      </c>
      <c r="J31" s="1875"/>
      <c r="K31" s="1875"/>
      <c r="L31" s="1875"/>
      <c r="M31" s="1876"/>
      <c r="N31" s="1876"/>
      <c r="O31" s="1876"/>
      <c r="P31" s="1875"/>
      <c r="Q31" s="1875"/>
      <c r="R31" s="1875"/>
      <c r="S31" s="1876"/>
      <c r="T31" s="1876"/>
      <c r="U31" s="1876"/>
      <c r="V31" s="1875">
        <v>1</v>
      </c>
      <c r="W31" s="1875"/>
      <c r="X31" s="1875"/>
      <c r="Y31" s="1666">
        <v>4085</v>
      </c>
      <c r="Z31" s="1876"/>
      <c r="AA31" s="1876"/>
      <c r="AB31" s="1875"/>
      <c r="AC31" s="1875"/>
      <c r="AD31" s="1875"/>
      <c r="AE31" s="1876"/>
      <c r="AF31" s="1876"/>
      <c r="AG31" s="1876"/>
      <c r="AH31" s="1876">
        <f>SUM(M31,N31,O31,S31,T31,U31,Y31,Z31,AA31,AE31,AF31,AG31)</f>
        <v>4085</v>
      </c>
      <c r="AI31" s="1666">
        <v>4085</v>
      </c>
      <c r="AJ31" s="1666"/>
      <c r="AK31" s="1877"/>
      <c r="AL31" s="1666"/>
      <c r="AM31" s="1877"/>
      <c r="AN31" s="1877"/>
      <c r="AO31" s="1878" t="s">
        <v>1703</v>
      </c>
      <c r="AP31" s="22" t="s">
        <v>4240</v>
      </c>
      <c r="AQ31" s="1879"/>
    </row>
    <row r="32" spans="1:43" ht="75">
      <c r="A32" s="371" t="s">
        <v>4285</v>
      </c>
      <c r="B32" s="371" t="s">
        <v>4286</v>
      </c>
      <c r="C32" s="372"/>
      <c r="D32" s="371" t="s">
        <v>231</v>
      </c>
      <c r="E32" s="371" t="s">
        <v>991</v>
      </c>
      <c r="F32" s="371" t="s">
        <v>992</v>
      </c>
      <c r="G32" s="1868">
        <f t="shared" si="0"/>
        <v>0.99865542109766525</v>
      </c>
      <c r="H32" s="1868"/>
      <c r="I32" s="1868"/>
      <c r="J32" s="1869"/>
      <c r="K32" s="1869"/>
      <c r="L32" s="1869"/>
      <c r="M32" s="1870"/>
      <c r="N32" s="1870"/>
      <c r="O32" s="1870"/>
      <c r="P32" s="1869"/>
      <c r="Q32" s="1869"/>
      <c r="R32" s="1869"/>
      <c r="S32" s="1870"/>
      <c r="T32" s="1870"/>
      <c r="U32" s="1870"/>
      <c r="V32" s="1869"/>
      <c r="W32" s="1869"/>
      <c r="X32" s="1869"/>
      <c r="Y32" s="1870">
        <f>SUM(Y33)</f>
        <v>4085</v>
      </c>
      <c r="Z32" s="1870"/>
      <c r="AA32" s="1870"/>
      <c r="AB32" s="1869"/>
      <c r="AC32" s="1869"/>
      <c r="AD32" s="1869"/>
      <c r="AE32" s="1870"/>
      <c r="AF32" s="1870"/>
      <c r="AG32" s="1870"/>
      <c r="AH32" s="1870">
        <f>SUM(AH33)</f>
        <v>4085</v>
      </c>
      <c r="AI32" s="533">
        <f>SUM(AI33)</f>
        <v>4085</v>
      </c>
      <c r="AJ32" s="1871"/>
      <c r="AK32" s="1871"/>
      <c r="AL32" s="533"/>
      <c r="AM32" s="1871"/>
      <c r="AN32" s="1871"/>
      <c r="AO32" s="1872"/>
      <c r="AP32" s="18" t="s">
        <v>4240</v>
      </c>
      <c r="AQ32" s="1873"/>
    </row>
    <row r="33" spans="1:43" ht="75">
      <c r="A33" s="379" t="s">
        <v>4287</v>
      </c>
      <c r="B33" s="379" t="s">
        <v>4288</v>
      </c>
      <c r="C33" s="1281">
        <v>1</v>
      </c>
      <c r="D33" s="379" t="s">
        <v>231</v>
      </c>
      <c r="E33" s="379" t="s">
        <v>991</v>
      </c>
      <c r="F33" s="379" t="s">
        <v>992</v>
      </c>
      <c r="G33" s="1874">
        <f t="shared" si="0"/>
        <v>0.99865542109766525</v>
      </c>
      <c r="H33" s="1874"/>
      <c r="I33" s="1874">
        <v>100</v>
      </c>
      <c r="J33" s="1875"/>
      <c r="K33" s="1875"/>
      <c r="L33" s="1875"/>
      <c r="M33" s="1876"/>
      <c r="N33" s="1876"/>
      <c r="O33" s="1876"/>
      <c r="P33" s="1875"/>
      <c r="Q33" s="1875"/>
      <c r="R33" s="1875"/>
      <c r="S33" s="1876"/>
      <c r="T33" s="1876"/>
      <c r="U33" s="1876"/>
      <c r="V33" s="1875">
        <v>1</v>
      </c>
      <c r="W33" s="1875"/>
      <c r="X33" s="1875"/>
      <c r="Y33" s="1666">
        <v>4085</v>
      </c>
      <c r="Z33" s="1876"/>
      <c r="AA33" s="1876"/>
      <c r="AB33" s="1875"/>
      <c r="AC33" s="1875"/>
      <c r="AD33" s="1875"/>
      <c r="AE33" s="1876"/>
      <c r="AF33" s="1876"/>
      <c r="AG33" s="1876"/>
      <c r="AH33" s="1876">
        <f>SUM(M33,N33,O33,S33,T33,U33,Y33,Z33,AA33,AE33,AF33,AG33)</f>
        <v>4085</v>
      </c>
      <c r="AI33" s="1666">
        <v>4085</v>
      </c>
      <c r="AJ33" s="1666"/>
      <c r="AK33" s="1877"/>
      <c r="AL33" s="1666"/>
      <c r="AM33" s="1877"/>
      <c r="AN33" s="1877"/>
      <c r="AO33" s="1878" t="s">
        <v>1703</v>
      </c>
      <c r="AP33" s="22" t="s">
        <v>4240</v>
      </c>
      <c r="AQ33" s="1879"/>
    </row>
    <row r="34" spans="1:43" ht="45">
      <c r="A34" s="363" t="s">
        <v>227</v>
      </c>
      <c r="B34" s="363" t="s">
        <v>228</v>
      </c>
      <c r="C34" s="364"/>
      <c r="D34" s="363"/>
      <c r="E34" s="363"/>
      <c r="F34" s="363"/>
      <c r="G34" s="1861">
        <f t="shared" si="0"/>
        <v>0.99865542109766525</v>
      </c>
      <c r="H34" s="1861">
        <f>G34</f>
        <v>0.99865542109766525</v>
      </c>
      <c r="I34" s="1861"/>
      <c r="J34" s="1862"/>
      <c r="K34" s="1862"/>
      <c r="L34" s="1862"/>
      <c r="M34" s="1863"/>
      <c r="N34" s="1863"/>
      <c r="O34" s="1863"/>
      <c r="P34" s="1862"/>
      <c r="Q34" s="1862"/>
      <c r="R34" s="1862"/>
      <c r="S34" s="1863"/>
      <c r="T34" s="1863"/>
      <c r="U34" s="1863"/>
      <c r="V34" s="1862"/>
      <c r="W34" s="1862"/>
      <c r="X34" s="1862"/>
      <c r="Y34" s="1863">
        <f>SUM(Y35)</f>
        <v>4085</v>
      </c>
      <c r="Z34" s="1863"/>
      <c r="AA34" s="1863"/>
      <c r="AB34" s="1862"/>
      <c r="AC34" s="1862"/>
      <c r="AD34" s="1862"/>
      <c r="AE34" s="1863"/>
      <c r="AF34" s="1863"/>
      <c r="AG34" s="1863"/>
      <c r="AH34" s="1863">
        <f t="shared" ref="AH34:AI35" si="12">SUM(AH35)</f>
        <v>4085</v>
      </c>
      <c r="AI34" s="1863">
        <f t="shared" si="12"/>
        <v>4085</v>
      </c>
      <c r="AJ34" s="1864"/>
      <c r="AK34" s="1864"/>
      <c r="AL34" s="1865"/>
      <c r="AM34" s="1864"/>
      <c r="AN34" s="1864"/>
      <c r="AO34" s="1866"/>
      <c r="AP34" s="363" t="s">
        <v>4240</v>
      </c>
      <c r="AQ34" s="1867"/>
    </row>
    <row r="35" spans="1:43" ht="90">
      <c r="A35" s="371" t="s">
        <v>4289</v>
      </c>
      <c r="B35" s="371" t="s">
        <v>4290</v>
      </c>
      <c r="C35" s="372"/>
      <c r="D35" s="371" t="s">
        <v>231</v>
      </c>
      <c r="E35" s="371" t="s">
        <v>991</v>
      </c>
      <c r="F35" s="371" t="s">
        <v>992</v>
      </c>
      <c r="G35" s="1868">
        <f t="shared" si="0"/>
        <v>0.99865542109766525</v>
      </c>
      <c r="H35" s="1868"/>
      <c r="I35" s="1868"/>
      <c r="J35" s="1869"/>
      <c r="K35" s="1869"/>
      <c r="L35" s="1869"/>
      <c r="M35" s="1870"/>
      <c r="N35" s="1870"/>
      <c r="O35" s="1870"/>
      <c r="P35" s="1869"/>
      <c r="Q35" s="1869"/>
      <c r="R35" s="1869"/>
      <c r="S35" s="1870"/>
      <c r="T35" s="1870"/>
      <c r="U35" s="1870"/>
      <c r="V35" s="1869"/>
      <c r="W35" s="1869"/>
      <c r="X35" s="1869"/>
      <c r="Y35" s="1870">
        <f>SUM(Y36)</f>
        <v>4085</v>
      </c>
      <c r="Z35" s="1870"/>
      <c r="AA35" s="1870"/>
      <c r="AB35" s="1869"/>
      <c r="AC35" s="1869"/>
      <c r="AD35" s="1869"/>
      <c r="AE35" s="1870"/>
      <c r="AF35" s="1870"/>
      <c r="AG35" s="1870"/>
      <c r="AH35" s="1870">
        <f t="shared" si="12"/>
        <v>4085</v>
      </c>
      <c r="AI35" s="1870">
        <f t="shared" si="12"/>
        <v>4085</v>
      </c>
      <c r="AJ35" s="1871"/>
      <c r="AK35" s="1871"/>
      <c r="AL35" s="533"/>
      <c r="AM35" s="1871"/>
      <c r="AN35" s="1871"/>
      <c r="AO35" s="1872"/>
      <c r="AP35" s="18" t="s">
        <v>4240</v>
      </c>
      <c r="AQ35" s="1873"/>
    </row>
    <row r="36" spans="1:43" ht="75">
      <c r="A36" s="379" t="s">
        <v>4291</v>
      </c>
      <c r="B36" s="379" t="s">
        <v>4292</v>
      </c>
      <c r="C36" s="1281">
        <v>1</v>
      </c>
      <c r="D36" s="379" t="s">
        <v>231</v>
      </c>
      <c r="E36" s="379" t="s">
        <v>991</v>
      </c>
      <c r="F36" s="379" t="s">
        <v>992</v>
      </c>
      <c r="G36" s="1874">
        <f t="shared" si="0"/>
        <v>0.99865542109766525</v>
      </c>
      <c r="H36" s="1874"/>
      <c r="I36" s="1874">
        <v>100</v>
      </c>
      <c r="J36" s="1875"/>
      <c r="K36" s="1875"/>
      <c r="L36" s="1875"/>
      <c r="M36" s="1876"/>
      <c r="N36" s="1876"/>
      <c r="O36" s="1876"/>
      <c r="P36" s="1875"/>
      <c r="Q36" s="1875"/>
      <c r="R36" s="1875"/>
      <c r="S36" s="1876"/>
      <c r="T36" s="1876"/>
      <c r="U36" s="1876"/>
      <c r="V36" s="1875">
        <v>1</v>
      </c>
      <c r="W36" s="1875"/>
      <c r="X36" s="1875"/>
      <c r="Y36" s="1666">
        <v>4085</v>
      </c>
      <c r="Z36" s="1876"/>
      <c r="AA36" s="1876"/>
      <c r="AB36" s="1875"/>
      <c r="AC36" s="1875"/>
      <c r="AD36" s="1875"/>
      <c r="AE36" s="1876"/>
      <c r="AF36" s="1876"/>
      <c r="AG36" s="1876"/>
      <c r="AH36" s="1876">
        <f>SUM(M36,N36,O36,S36,T36,U36,Y36,Z36,AA36,AE36,AF36,AG36)</f>
        <v>4085</v>
      </c>
      <c r="AI36" s="1666">
        <v>4085</v>
      </c>
      <c r="AJ36" s="1666"/>
      <c r="AK36" s="1877"/>
      <c r="AL36" s="1666"/>
      <c r="AM36" s="1877"/>
      <c r="AN36" s="1877"/>
      <c r="AO36" s="1878" t="s">
        <v>1703</v>
      </c>
      <c r="AP36" s="22" t="s">
        <v>4240</v>
      </c>
      <c r="AQ36" s="1879"/>
    </row>
    <row r="37" spans="1:43" ht="30">
      <c r="A37" s="355" t="s">
        <v>917</v>
      </c>
      <c r="B37" s="355" t="s">
        <v>918</v>
      </c>
      <c r="C37" s="356"/>
      <c r="D37" s="355"/>
      <c r="E37" s="355"/>
      <c r="F37" s="355"/>
      <c r="G37" s="1855">
        <f t="shared" si="0"/>
        <v>0.99865542109766525</v>
      </c>
      <c r="H37" s="1855"/>
      <c r="I37" s="1855"/>
      <c r="J37" s="1856"/>
      <c r="K37" s="1856"/>
      <c r="L37" s="1856"/>
      <c r="M37" s="1857"/>
      <c r="N37" s="1857"/>
      <c r="O37" s="1857"/>
      <c r="P37" s="1856"/>
      <c r="Q37" s="1856"/>
      <c r="R37" s="1856"/>
      <c r="S37" s="1857"/>
      <c r="T37" s="1857"/>
      <c r="U37" s="1857"/>
      <c r="V37" s="1856"/>
      <c r="W37" s="1856"/>
      <c r="X37" s="1856"/>
      <c r="Y37" s="1857">
        <f>SUM(Y38)</f>
        <v>4085</v>
      </c>
      <c r="Z37" s="1857"/>
      <c r="AA37" s="1857"/>
      <c r="AB37" s="1856"/>
      <c r="AC37" s="1856"/>
      <c r="AD37" s="1856"/>
      <c r="AE37" s="1857"/>
      <c r="AF37" s="1857"/>
      <c r="AG37" s="1857"/>
      <c r="AH37" s="1857">
        <f t="shared" ref="AH37:AI39" si="13">SUM(AH38)</f>
        <v>4085</v>
      </c>
      <c r="AI37" s="1857">
        <f t="shared" si="13"/>
        <v>4085</v>
      </c>
      <c r="AJ37" s="1858"/>
      <c r="AK37" s="1858"/>
      <c r="AL37" s="1651"/>
      <c r="AM37" s="1858"/>
      <c r="AN37" s="1858"/>
      <c r="AO37" s="1859"/>
      <c r="AP37" s="355" t="s">
        <v>4240</v>
      </c>
      <c r="AQ37" s="1860"/>
    </row>
    <row r="38" spans="1:43" ht="45">
      <c r="A38" s="363" t="s">
        <v>987</v>
      </c>
      <c r="B38" s="363" t="s">
        <v>988</v>
      </c>
      <c r="C38" s="364"/>
      <c r="D38" s="363"/>
      <c r="E38" s="363"/>
      <c r="F38" s="363"/>
      <c r="G38" s="1861">
        <f t="shared" si="0"/>
        <v>0.99865542109766525</v>
      </c>
      <c r="H38" s="1861">
        <f>G38</f>
        <v>0.99865542109766525</v>
      </c>
      <c r="I38" s="1861"/>
      <c r="J38" s="1862"/>
      <c r="K38" s="1862"/>
      <c r="L38" s="1862"/>
      <c r="M38" s="1863"/>
      <c r="N38" s="1863"/>
      <c r="O38" s="1863"/>
      <c r="P38" s="1862"/>
      <c r="Q38" s="1862"/>
      <c r="R38" s="1862"/>
      <c r="S38" s="1863"/>
      <c r="T38" s="1863"/>
      <c r="U38" s="1863"/>
      <c r="V38" s="1862"/>
      <c r="W38" s="1862"/>
      <c r="X38" s="1862"/>
      <c r="Y38" s="1863">
        <f>SUM(Y39)</f>
        <v>4085</v>
      </c>
      <c r="Z38" s="1863"/>
      <c r="AA38" s="1863"/>
      <c r="AB38" s="1862"/>
      <c r="AC38" s="1862"/>
      <c r="AD38" s="1862"/>
      <c r="AE38" s="1863"/>
      <c r="AF38" s="1863"/>
      <c r="AG38" s="1863"/>
      <c r="AH38" s="1863">
        <f t="shared" si="13"/>
        <v>4085</v>
      </c>
      <c r="AI38" s="1863">
        <f t="shared" si="13"/>
        <v>4085</v>
      </c>
      <c r="AJ38" s="1864"/>
      <c r="AK38" s="1864"/>
      <c r="AL38" s="1865"/>
      <c r="AM38" s="1864"/>
      <c r="AN38" s="1864"/>
      <c r="AO38" s="1866"/>
      <c r="AP38" s="14" t="s">
        <v>4240</v>
      </c>
      <c r="AQ38" s="1867"/>
    </row>
    <row r="39" spans="1:43" ht="60">
      <c r="A39" s="371" t="s">
        <v>989</v>
      </c>
      <c r="B39" s="371" t="s">
        <v>990</v>
      </c>
      <c r="C39" s="372"/>
      <c r="D39" s="371" t="s">
        <v>231</v>
      </c>
      <c r="E39" s="371" t="s">
        <v>991</v>
      </c>
      <c r="F39" s="371" t="s">
        <v>992</v>
      </c>
      <c r="G39" s="1868">
        <f t="shared" si="0"/>
        <v>0.99865542109766525</v>
      </c>
      <c r="H39" s="1868"/>
      <c r="I39" s="1868"/>
      <c r="J39" s="1869"/>
      <c r="K39" s="1869"/>
      <c r="L39" s="1869"/>
      <c r="M39" s="1870"/>
      <c r="N39" s="1870"/>
      <c r="O39" s="1870"/>
      <c r="P39" s="1869"/>
      <c r="Q39" s="1869"/>
      <c r="R39" s="1869"/>
      <c r="S39" s="1870"/>
      <c r="T39" s="1870"/>
      <c r="U39" s="1870"/>
      <c r="V39" s="1869"/>
      <c r="W39" s="1869"/>
      <c r="X39" s="1869"/>
      <c r="Y39" s="1870">
        <f>SUM(Y40)</f>
        <v>4085</v>
      </c>
      <c r="Z39" s="1870"/>
      <c r="AA39" s="1870"/>
      <c r="AB39" s="1869"/>
      <c r="AC39" s="1869"/>
      <c r="AD39" s="1869"/>
      <c r="AE39" s="1870"/>
      <c r="AF39" s="1870"/>
      <c r="AG39" s="1870"/>
      <c r="AH39" s="1870">
        <f t="shared" si="13"/>
        <v>4085</v>
      </c>
      <c r="AI39" s="1870">
        <f t="shared" si="13"/>
        <v>4085</v>
      </c>
      <c r="AJ39" s="1871"/>
      <c r="AK39" s="1871"/>
      <c r="AL39" s="533"/>
      <c r="AM39" s="1871"/>
      <c r="AN39" s="1871"/>
      <c r="AO39" s="1872"/>
      <c r="AP39" s="18" t="s">
        <v>4240</v>
      </c>
      <c r="AQ39" s="1873"/>
    </row>
    <row r="40" spans="1:43" ht="75">
      <c r="A40" s="379" t="s">
        <v>4293</v>
      </c>
      <c r="B40" s="379" t="s">
        <v>4294</v>
      </c>
      <c r="C40" s="1281">
        <v>1</v>
      </c>
      <c r="D40" s="379" t="s">
        <v>231</v>
      </c>
      <c r="E40" s="379" t="s">
        <v>991</v>
      </c>
      <c r="F40" s="379" t="s">
        <v>992</v>
      </c>
      <c r="G40" s="1874">
        <f t="shared" si="0"/>
        <v>0.99865542109766525</v>
      </c>
      <c r="H40" s="1874"/>
      <c r="I40" s="1874">
        <v>100</v>
      </c>
      <c r="J40" s="1875"/>
      <c r="K40" s="1875"/>
      <c r="L40" s="1875"/>
      <c r="M40" s="1876"/>
      <c r="N40" s="1876"/>
      <c r="O40" s="1876"/>
      <c r="P40" s="1875"/>
      <c r="Q40" s="1875"/>
      <c r="R40" s="1875"/>
      <c r="S40" s="1876"/>
      <c r="T40" s="1876"/>
      <c r="U40" s="1876"/>
      <c r="V40" s="1875">
        <v>1</v>
      </c>
      <c r="W40" s="1875"/>
      <c r="X40" s="1875"/>
      <c r="Y40" s="1666">
        <v>4085</v>
      </c>
      <c r="Z40" s="1876"/>
      <c r="AA40" s="1876"/>
      <c r="AB40" s="1875"/>
      <c r="AC40" s="1875"/>
      <c r="AD40" s="1875"/>
      <c r="AE40" s="1876"/>
      <c r="AF40" s="1876"/>
      <c r="AG40" s="1876"/>
      <c r="AH40" s="1876">
        <f>SUM(M40,N40,O40,S40,T40,U40,Y40,Z40,AA40,AE40,AF40,AG40)</f>
        <v>4085</v>
      </c>
      <c r="AI40" s="1666">
        <v>4085</v>
      </c>
      <c r="AJ40" s="1666"/>
      <c r="AK40" s="1877"/>
      <c r="AL40" s="1666"/>
      <c r="AM40" s="1877"/>
      <c r="AN40" s="1877"/>
      <c r="AO40" s="1878" t="s">
        <v>1703</v>
      </c>
      <c r="AP40" s="22" t="s">
        <v>4240</v>
      </c>
      <c r="AQ40" s="1879"/>
    </row>
    <row r="41" spans="1:43" ht="30">
      <c r="A41" s="355" t="s">
        <v>1874</v>
      </c>
      <c r="B41" s="355" t="s">
        <v>1875</v>
      </c>
      <c r="C41" s="356"/>
      <c r="D41" s="355"/>
      <c r="E41" s="355"/>
      <c r="F41" s="355"/>
      <c r="G41" s="1855">
        <f t="shared" si="0"/>
        <v>0.99865542109766525</v>
      </c>
      <c r="H41" s="1855"/>
      <c r="I41" s="1855"/>
      <c r="J41" s="1856"/>
      <c r="K41" s="1856"/>
      <c r="L41" s="1856"/>
      <c r="M41" s="1857"/>
      <c r="N41" s="1857"/>
      <c r="O41" s="1857"/>
      <c r="P41" s="1856"/>
      <c r="Q41" s="1856"/>
      <c r="R41" s="1856"/>
      <c r="S41" s="1857"/>
      <c r="T41" s="1857"/>
      <c r="U41" s="1857"/>
      <c r="V41" s="1856"/>
      <c r="W41" s="1856"/>
      <c r="X41" s="1856"/>
      <c r="Y41" s="1857">
        <f>SUM(Y42)</f>
        <v>4085</v>
      </c>
      <c r="Z41" s="1857"/>
      <c r="AA41" s="1857"/>
      <c r="AB41" s="1856"/>
      <c r="AC41" s="1856"/>
      <c r="AD41" s="1856"/>
      <c r="AE41" s="1857"/>
      <c r="AF41" s="1857"/>
      <c r="AG41" s="1857"/>
      <c r="AH41" s="1857">
        <f t="shared" ref="AH41:AI43" si="14">SUM(AH42)</f>
        <v>4085</v>
      </c>
      <c r="AI41" s="1857">
        <f t="shared" si="14"/>
        <v>4085</v>
      </c>
      <c r="AJ41" s="1858"/>
      <c r="AK41" s="1858"/>
      <c r="AL41" s="1651"/>
      <c r="AM41" s="1858"/>
      <c r="AN41" s="1858"/>
      <c r="AO41" s="1859"/>
      <c r="AP41" s="355" t="s">
        <v>4240</v>
      </c>
      <c r="AQ41" s="1860"/>
    </row>
    <row r="42" spans="1:43" ht="45">
      <c r="A42" s="363" t="s">
        <v>4295</v>
      </c>
      <c r="B42" s="363" t="s">
        <v>4296</v>
      </c>
      <c r="C42" s="364"/>
      <c r="D42" s="363"/>
      <c r="E42" s="363"/>
      <c r="F42" s="363"/>
      <c r="G42" s="1861">
        <f t="shared" si="0"/>
        <v>0.99865542109766525</v>
      </c>
      <c r="H42" s="1861">
        <f>G42</f>
        <v>0.99865542109766525</v>
      </c>
      <c r="I42" s="1861"/>
      <c r="J42" s="1862"/>
      <c r="K42" s="1862"/>
      <c r="L42" s="1862"/>
      <c r="M42" s="1863"/>
      <c r="N42" s="1863"/>
      <c r="O42" s="1863"/>
      <c r="P42" s="1862"/>
      <c r="Q42" s="1862"/>
      <c r="R42" s="1862"/>
      <c r="S42" s="1863"/>
      <c r="T42" s="1863"/>
      <c r="U42" s="1863"/>
      <c r="V42" s="1862"/>
      <c r="W42" s="1862"/>
      <c r="X42" s="1862"/>
      <c r="Y42" s="1863">
        <f>SUM(Y43)</f>
        <v>4085</v>
      </c>
      <c r="Z42" s="1863"/>
      <c r="AA42" s="1863"/>
      <c r="AB42" s="1862"/>
      <c r="AC42" s="1862"/>
      <c r="AD42" s="1862"/>
      <c r="AE42" s="1863"/>
      <c r="AF42" s="1863"/>
      <c r="AG42" s="1863"/>
      <c r="AH42" s="1863">
        <f t="shared" si="14"/>
        <v>4085</v>
      </c>
      <c r="AI42" s="1863">
        <f t="shared" si="14"/>
        <v>4085</v>
      </c>
      <c r="AJ42" s="1864"/>
      <c r="AK42" s="1864"/>
      <c r="AL42" s="1865"/>
      <c r="AM42" s="1864"/>
      <c r="AN42" s="1864"/>
      <c r="AO42" s="1866"/>
      <c r="AP42" s="363" t="s">
        <v>4240</v>
      </c>
      <c r="AQ42" s="1867"/>
    </row>
    <row r="43" spans="1:43" ht="75">
      <c r="A43" s="371" t="s">
        <v>4297</v>
      </c>
      <c r="B43" s="371" t="s">
        <v>4298</v>
      </c>
      <c r="C43" s="372"/>
      <c r="D43" s="371" t="s">
        <v>231</v>
      </c>
      <c r="E43" s="371" t="s">
        <v>991</v>
      </c>
      <c r="F43" s="371" t="s">
        <v>992</v>
      </c>
      <c r="G43" s="1868">
        <f t="shared" si="0"/>
        <v>0.99865542109766525</v>
      </c>
      <c r="H43" s="1868"/>
      <c r="I43" s="1868"/>
      <c r="J43" s="1869"/>
      <c r="K43" s="1869"/>
      <c r="L43" s="1869"/>
      <c r="M43" s="1870"/>
      <c r="N43" s="1870"/>
      <c r="O43" s="1870"/>
      <c r="P43" s="1869"/>
      <c r="Q43" s="1869"/>
      <c r="R43" s="1869"/>
      <c r="S43" s="1870"/>
      <c r="T43" s="1870"/>
      <c r="U43" s="1870"/>
      <c r="V43" s="1869"/>
      <c r="W43" s="1869"/>
      <c r="X43" s="1869"/>
      <c r="Y43" s="1870">
        <f>SUM(Y44)</f>
        <v>4085</v>
      </c>
      <c r="Z43" s="1870"/>
      <c r="AA43" s="1870"/>
      <c r="AB43" s="1869"/>
      <c r="AC43" s="1869"/>
      <c r="AD43" s="1869"/>
      <c r="AE43" s="1870"/>
      <c r="AF43" s="1870"/>
      <c r="AG43" s="1870"/>
      <c r="AH43" s="1870">
        <f t="shared" si="14"/>
        <v>4085</v>
      </c>
      <c r="AI43" s="1870">
        <f t="shared" si="14"/>
        <v>4085</v>
      </c>
      <c r="AJ43" s="1871"/>
      <c r="AK43" s="1871"/>
      <c r="AL43" s="533"/>
      <c r="AM43" s="1871"/>
      <c r="AN43" s="1871"/>
      <c r="AO43" s="1872"/>
      <c r="AP43" s="371" t="s">
        <v>4240</v>
      </c>
      <c r="AQ43" s="1873"/>
    </row>
    <row r="44" spans="1:43" ht="75">
      <c r="A44" s="379" t="s">
        <v>4299</v>
      </c>
      <c r="B44" s="379" t="s">
        <v>4300</v>
      </c>
      <c r="C44" s="1281">
        <v>1</v>
      </c>
      <c r="D44" s="379" t="s">
        <v>231</v>
      </c>
      <c r="E44" s="379" t="s">
        <v>991</v>
      </c>
      <c r="F44" s="379" t="s">
        <v>992</v>
      </c>
      <c r="G44" s="1874">
        <f t="shared" si="0"/>
        <v>0.99865542109766525</v>
      </c>
      <c r="H44" s="1874"/>
      <c r="I44" s="1874">
        <v>100</v>
      </c>
      <c r="J44" s="1875"/>
      <c r="K44" s="1875"/>
      <c r="L44" s="1875"/>
      <c r="M44" s="1876"/>
      <c r="N44" s="1876"/>
      <c r="O44" s="1876"/>
      <c r="P44" s="1875"/>
      <c r="Q44" s="1875"/>
      <c r="R44" s="1875"/>
      <c r="S44" s="1876"/>
      <c r="T44" s="1876"/>
      <c r="U44" s="1876"/>
      <c r="V44" s="1875">
        <v>1</v>
      </c>
      <c r="W44" s="1875"/>
      <c r="X44" s="1875"/>
      <c r="Y44" s="1666">
        <v>4085</v>
      </c>
      <c r="Z44" s="1876"/>
      <c r="AA44" s="1876"/>
      <c r="AB44" s="1875"/>
      <c r="AC44" s="1875"/>
      <c r="AD44" s="1875"/>
      <c r="AE44" s="1876"/>
      <c r="AF44" s="1876"/>
      <c r="AG44" s="1876"/>
      <c r="AH44" s="1666">
        <v>4085</v>
      </c>
      <c r="AI44" s="1666">
        <v>4085</v>
      </c>
      <c r="AJ44" s="1666"/>
      <c r="AK44" s="1877"/>
      <c r="AL44" s="1666"/>
      <c r="AM44" s="1877"/>
      <c r="AN44" s="1877"/>
      <c r="AO44" s="1878" t="s">
        <v>1703</v>
      </c>
      <c r="AP44" s="379" t="s">
        <v>4240</v>
      </c>
      <c r="AQ44" s="1879"/>
    </row>
    <row r="45" spans="1:43" ht="30">
      <c r="A45" s="47" t="s">
        <v>4301</v>
      </c>
      <c r="B45" s="47" t="s">
        <v>3463</v>
      </c>
      <c r="C45" s="349"/>
      <c r="D45" s="47"/>
      <c r="E45" s="47"/>
      <c r="F45" s="47"/>
      <c r="G45" s="1849">
        <f t="shared" si="0"/>
        <v>0.70529275149737192</v>
      </c>
      <c r="H45" s="1849"/>
      <c r="I45" s="1849"/>
      <c r="J45" s="1850"/>
      <c r="K45" s="1850"/>
      <c r="L45" s="1850"/>
      <c r="M45" s="1851"/>
      <c r="N45" s="1851"/>
      <c r="O45" s="1851"/>
      <c r="P45" s="1850"/>
      <c r="Q45" s="1850"/>
      <c r="R45" s="1850"/>
      <c r="S45" s="1851"/>
      <c r="T45" s="1851"/>
      <c r="U45" s="1851"/>
      <c r="V45" s="1850"/>
      <c r="W45" s="1850"/>
      <c r="X45" s="1850"/>
      <c r="Y45" s="1851"/>
      <c r="Z45" s="1851"/>
      <c r="AA45" s="1851"/>
      <c r="AB45" s="1850"/>
      <c r="AC45" s="1850"/>
      <c r="AD45" s="1850"/>
      <c r="AE45" s="1851"/>
      <c r="AF45" s="1851"/>
      <c r="AG45" s="1851">
        <f>SUM(AG47)</f>
        <v>2885</v>
      </c>
      <c r="AH45" s="1851">
        <f t="shared" ref="AH45:AI45" si="15">SUM(AH47)</f>
        <v>2885</v>
      </c>
      <c r="AI45" s="1851">
        <f t="shared" si="15"/>
        <v>2885</v>
      </c>
      <c r="AJ45" s="1852"/>
      <c r="AK45" s="1852"/>
      <c r="AL45" s="1643"/>
      <c r="AM45" s="1852"/>
      <c r="AN45" s="1852"/>
      <c r="AO45" s="1853"/>
      <c r="AP45" s="47" t="s">
        <v>4240</v>
      </c>
      <c r="AQ45" s="1854"/>
    </row>
    <row r="46" spans="1:43" ht="45">
      <c r="A46" s="355" t="s">
        <v>4302</v>
      </c>
      <c r="B46" s="10" t="s">
        <v>4303</v>
      </c>
      <c r="C46" s="356"/>
      <c r="D46" s="355"/>
      <c r="E46" s="1882"/>
      <c r="F46" s="1882"/>
      <c r="G46" s="1855">
        <f t="shared" si="0"/>
        <v>0.70529275149737192</v>
      </c>
      <c r="H46" s="1855"/>
      <c r="I46" s="1855"/>
      <c r="J46" s="1856"/>
      <c r="K46" s="1856"/>
      <c r="L46" s="1856"/>
      <c r="M46" s="1857"/>
      <c r="N46" s="1857"/>
      <c r="O46" s="1857"/>
      <c r="P46" s="1856"/>
      <c r="Q46" s="1856"/>
      <c r="R46" s="1856"/>
      <c r="S46" s="1857"/>
      <c r="T46" s="1857"/>
      <c r="U46" s="1857"/>
      <c r="V46" s="1856"/>
      <c r="W46" s="1856"/>
      <c r="X46" s="1856"/>
      <c r="Y46" s="1857"/>
      <c r="Z46" s="1857"/>
      <c r="AA46" s="1857"/>
      <c r="AB46" s="1856"/>
      <c r="AC46" s="1856"/>
      <c r="AD46" s="1856"/>
      <c r="AE46" s="1857"/>
      <c r="AF46" s="1857"/>
      <c r="AG46" s="1857">
        <f>SUM(AG47)</f>
        <v>2885</v>
      </c>
      <c r="AH46" s="1857">
        <f t="shared" ref="AH46:AI48" si="16">SUM(AH47)</f>
        <v>2885</v>
      </c>
      <c r="AI46" s="1857">
        <f t="shared" si="16"/>
        <v>2885</v>
      </c>
      <c r="AJ46" s="1858"/>
      <c r="AK46" s="1858"/>
      <c r="AL46" s="1651"/>
      <c r="AM46" s="1858"/>
      <c r="AN46" s="1858"/>
      <c r="AO46" s="1859"/>
      <c r="AP46" s="10" t="s">
        <v>4240</v>
      </c>
      <c r="AQ46" s="1860"/>
    </row>
    <row r="47" spans="1:43" ht="30">
      <c r="A47" s="363" t="s">
        <v>4304</v>
      </c>
      <c r="B47" s="363" t="s">
        <v>3467</v>
      </c>
      <c r="C47" s="364"/>
      <c r="D47" s="363"/>
      <c r="E47" s="1883"/>
      <c r="F47" s="1883"/>
      <c r="G47" s="1861">
        <f t="shared" si="0"/>
        <v>0.70529275149737192</v>
      </c>
      <c r="H47" s="1861">
        <f>G47</f>
        <v>0.70529275149737192</v>
      </c>
      <c r="I47" s="1861"/>
      <c r="J47" s="1862"/>
      <c r="K47" s="1862"/>
      <c r="L47" s="1862"/>
      <c r="M47" s="1863"/>
      <c r="N47" s="1863"/>
      <c r="O47" s="1863"/>
      <c r="P47" s="1862"/>
      <c r="Q47" s="1862"/>
      <c r="R47" s="1862"/>
      <c r="S47" s="1863"/>
      <c r="T47" s="1863"/>
      <c r="U47" s="1863"/>
      <c r="V47" s="1862"/>
      <c r="W47" s="1862"/>
      <c r="X47" s="1862"/>
      <c r="Y47" s="1863"/>
      <c r="Z47" s="1863"/>
      <c r="AA47" s="1863"/>
      <c r="AB47" s="1862"/>
      <c r="AC47" s="1862"/>
      <c r="AD47" s="1862"/>
      <c r="AE47" s="1863"/>
      <c r="AF47" s="1863"/>
      <c r="AG47" s="1863">
        <f>SUM(AG48)</f>
        <v>2885</v>
      </c>
      <c r="AH47" s="1863">
        <f t="shared" si="16"/>
        <v>2885</v>
      </c>
      <c r="AI47" s="1863">
        <f t="shared" si="16"/>
        <v>2885</v>
      </c>
      <c r="AJ47" s="1864"/>
      <c r="AK47" s="1864"/>
      <c r="AL47" s="1865"/>
      <c r="AM47" s="1864"/>
      <c r="AN47" s="1864"/>
      <c r="AO47" s="1866"/>
      <c r="AP47" s="14" t="s">
        <v>4240</v>
      </c>
      <c r="AQ47" s="1867"/>
    </row>
    <row r="48" spans="1:43" ht="45">
      <c r="A48" s="371" t="s">
        <v>4305</v>
      </c>
      <c r="B48" s="371" t="s">
        <v>4306</v>
      </c>
      <c r="C48" s="372"/>
      <c r="D48" s="371" t="s">
        <v>4307</v>
      </c>
      <c r="E48" s="371" t="s">
        <v>4308</v>
      </c>
      <c r="F48" s="371" t="s">
        <v>4309</v>
      </c>
      <c r="G48" s="1868">
        <f t="shared" si="0"/>
        <v>0.70529275149737192</v>
      </c>
      <c r="H48" s="1868"/>
      <c r="I48" s="1868"/>
      <c r="J48" s="1869"/>
      <c r="K48" s="1869"/>
      <c r="L48" s="1869"/>
      <c r="M48" s="1870"/>
      <c r="N48" s="1870"/>
      <c r="O48" s="1870"/>
      <c r="P48" s="1869"/>
      <c r="Q48" s="1869"/>
      <c r="R48" s="1869"/>
      <c r="S48" s="1870"/>
      <c r="T48" s="1870"/>
      <c r="U48" s="1870"/>
      <c r="V48" s="1869"/>
      <c r="W48" s="1869"/>
      <c r="X48" s="1869"/>
      <c r="Y48" s="1870"/>
      <c r="Z48" s="1870"/>
      <c r="AA48" s="1870"/>
      <c r="AB48" s="1869"/>
      <c r="AC48" s="1869"/>
      <c r="AD48" s="1869"/>
      <c r="AE48" s="1870"/>
      <c r="AF48" s="1870"/>
      <c r="AG48" s="1870">
        <f>SUM(AG49)</f>
        <v>2885</v>
      </c>
      <c r="AH48" s="1870">
        <f t="shared" si="16"/>
        <v>2885</v>
      </c>
      <c r="AI48" s="1870">
        <f t="shared" si="16"/>
        <v>2885</v>
      </c>
      <c r="AJ48" s="1871"/>
      <c r="AK48" s="1871"/>
      <c r="AL48" s="533"/>
      <c r="AM48" s="1871"/>
      <c r="AN48" s="1871"/>
      <c r="AO48" s="1872"/>
      <c r="AP48" s="1884" t="s">
        <v>4240</v>
      </c>
      <c r="AQ48" s="1873"/>
    </row>
    <row r="49" spans="1:43" ht="135">
      <c r="A49" s="379" t="s">
        <v>4310</v>
      </c>
      <c r="B49" s="22" t="s">
        <v>4311</v>
      </c>
      <c r="C49" s="1281">
        <v>1</v>
      </c>
      <c r="D49" s="379" t="s">
        <v>52</v>
      </c>
      <c r="E49" s="379" t="s">
        <v>4312</v>
      </c>
      <c r="F49" s="379" t="s">
        <v>4313</v>
      </c>
      <c r="G49" s="1874">
        <f t="shared" si="0"/>
        <v>0.70529275149737192</v>
      </c>
      <c r="H49" s="1874"/>
      <c r="I49" s="1874">
        <v>100</v>
      </c>
      <c r="J49" s="1875"/>
      <c r="K49" s="1875"/>
      <c r="L49" s="1875"/>
      <c r="M49" s="1876"/>
      <c r="N49" s="1876"/>
      <c r="O49" s="1876"/>
      <c r="P49" s="1875"/>
      <c r="Q49" s="1875"/>
      <c r="R49" s="1875"/>
      <c r="S49" s="1876"/>
      <c r="T49" s="1876"/>
      <c r="U49" s="1876"/>
      <c r="V49" s="1875"/>
      <c r="W49" s="1875"/>
      <c r="X49" s="1875"/>
      <c r="Y49" s="1876"/>
      <c r="Z49" s="1876"/>
      <c r="AA49" s="1876"/>
      <c r="AB49" s="1875"/>
      <c r="AC49" s="1875"/>
      <c r="AD49" s="1875">
        <v>1</v>
      </c>
      <c r="AE49" s="1876"/>
      <c r="AF49" s="1876"/>
      <c r="AG49" s="1666">
        <v>2885</v>
      </c>
      <c r="AH49" s="1876">
        <f>SUM(M49,N49,O49,S49,T49,U49,Y49,Z49,AA49,AE49,AF49,AG49)</f>
        <v>2885</v>
      </c>
      <c r="AI49" s="1666">
        <v>2885</v>
      </c>
      <c r="AJ49" s="1666"/>
      <c r="AK49" s="1877"/>
      <c r="AL49" s="1666"/>
      <c r="AM49" s="1877"/>
      <c r="AN49" s="1877"/>
      <c r="AO49" s="1878" t="s">
        <v>1703</v>
      </c>
      <c r="AP49" s="22" t="s">
        <v>4240</v>
      </c>
      <c r="AQ49" s="1879"/>
    </row>
    <row r="50" spans="1:43" ht="60">
      <c r="A50" s="47" t="s">
        <v>349</v>
      </c>
      <c r="B50" s="47" t="s">
        <v>350</v>
      </c>
      <c r="C50" s="349"/>
      <c r="D50" s="47"/>
      <c r="E50" s="47"/>
      <c r="F50" s="47"/>
      <c r="G50" s="1849">
        <f t="shared" si="0"/>
        <v>57.730106343967734</v>
      </c>
      <c r="H50" s="1849"/>
      <c r="I50" s="1849"/>
      <c r="J50" s="1850"/>
      <c r="K50" s="1850"/>
      <c r="L50" s="1850"/>
      <c r="M50" s="1851"/>
      <c r="N50" s="1851"/>
      <c r="O50" s="1851"/>
      <c r="P50" s="1850"/>
      <c r="Q50" s="1850"/>
      <c r="R50" s="1850"/>
      <c r="S50" s="1851"/>
      <c r="T50" s="1851"/>
      <c r="U50" s="1851"/>
      <c r="V50" s="1850"/>
      <c r="W50" s="1850"/>
      <c r="X50" s="1850"/>
      <c r="Y50" s="1851">
        <f>SUM(Y51,Y67,Y72,Y80,Y84)</f>
        <v>4875</v>
      </c>
      <c r="Z50" s="1851">
        <f t="shared" ref="Z50:AA50" si="17">SUM(Z51,Z67,Z72,Z80,Z84)</f>
        <v>38895</v>
      </c>
      <c r="AA50" s="1851">
        <f t="shared" si="17"/>
        <v>36300</v>
      </c>
      <c r="AB50" s="1850"/>
      <c r="AC50" s="1850"/>
      <c r="AD50" s="1850"/>
      <c r="AE50" s="1851">
        <f t="shared" ref="AE50:AI50" si="18">SUM(AE51,AE67,AE72,AE80,AE84)</f>
        <v>39640</v>
      </c>
      <c r="AF50" s="1851">
        <f t="shared" si="18"/>
        <v>7280</v>
      </c>
      <c r="AG50" s="1851">
        <f t="shared" si="18"/>
        <v>108195</v>
      </c>
      <c r="AH50" s="1851">
        <f t="shared" si="18"/>
        <v>236145</v>
      </c>
      <c r="AI50" s="1851">
        <f t="shared" si="18"/>
        <v>236145</v>
      </c>
      <c r="AJ50" s="1852"/>
      <c r="AK50" s="1852"/>
      <c r="AL50" s="1643"/>
      <c r="AM50" s="1852"/>
      <c r="AN50" s="1852"/>
      <c r="AO50" s="1853"/>
      <c r="AP50" s="6" t="s">
        <v>4314</v>
      </c>
      <c r="AQ50" s="1854"/>
    </row>
    <row r="51" spans="1:43" ht="30">
      <c r="A51" s="355" t="s">
        <v>1558</v>
      </c>
      <c r="B51" s="355" t="s">
        <v>776</v>
      </c>
      <c r="C51" s="356"/>
      <c r="D51" s="355"/>
      <c r="E51" s="355"/>
      <c r="F51" s="355"/>
      <c r="G51" s="1855">
        <f t="shared" si="0"/>
        <v>34.930937538198265</v>
      </c>
      <c r="H51" s="1855"/>
      <c r="I51" s="1855"/>
      <c r="J51" s="1856"/>
      <c r="K51" s="1856"/>
      <c r="L51" s="1856"/>
      <c r="M51" s="1857"/>
      <c r="N51" s="1857"/>
      <c r="O51" s="1857"/>
      <c r="P51" s="1856"/>
      <c r="Q51" s="1856"/>
      <c r="R51" s="1856"/>
      <c r="S51" s="1857"/>
      <c r="T51" s="1857"/>
      <c r="U51" s="1857"/>
      <c r="V51" s="1856"/>
      <c r="W51" s="1856"/>
      <c r="X51" s="1856"/>
      <c r="Y51" s="1857">
        <f>SUM(Y52)</f>
        <v>2160</v>
      </c>
      <c r="Z51" s="1857">
        <f>SUM(Z52)</f>
        <v>34740</v>
      </c>
      <c r="AA51" s="1857">
        <f>SUM(AA52)</f>
        <v>8415</v>
      </c>
      <c r="AB51" s="1856"/>
      <c r="AC51" s="1856"/>
      <c r="AD51" s="1856"/>
      <c r="AE51" s="1857">
        <f>SUM(AE52)</f>
        <v>36925</v>
      </c>
      <c r="AF51" s="1857">
        <f>SUM(AF52)</f>
        <v>2160</v>
      </c>
      <c r="AG51" s="1857">
        <f t="shared" ref="AG51:AI51" si="19">SUM(AG52)</f>
        <v>58485</v>
      </c>
      <c r="AH51" s="1857">
        <f t="shared" si="19"/>
        <v>142885</v>
      </c>
      <c r="AI51" s="1857">
        <f t="shared" si="19"/>
        <v>142885</v>
      </c>
      <c r="AJ51" s="1858"/>
      <c r="AK51" s="1858"/>
      <c r="AL51" s="1651"/>
      <c r="AM51" s="1858"/>
      <c r="AN51" s="1858"/>
      <c r="AO51" s="1859"/>
      <c r="AP51" s="355" t="s">
        <v>4315</v>
      </c>
      <c r="AQ51" s="1860"/>
    </row>
    <row r="52" spans="1:43" ht="30">
      <c r="A52" s="363" t="s">
        <v>1560</v>
      </c>
      <c r="B52" s="363" t="s">
        <v>1561</v>
      </c>
      <c r="C52" s="364"/>
      <c r="D52" s="363"/>
      <c r="E52" s="363"/>
      <c r="F52" s="363"/>
      <c r="G52" s="1861">
        <f t="shared" si="0"/>
        <v>34.930937538198265</v>
      </c>
      <c r="H52" s="1861">
        <f>G52</f>
        <v>34.930937538198265</v>
      </c>
      <c r="I52" s="1861"/>
      <c r="J52" s="1862"/>
      <c r="K52" s="1862"/>
      <c r="L52" s="1862"/>
      <c r="M52" s="1863"/>
      <c r="N52" s="1863"/>
      <c r="O52" s="1863"/>
      <c r="P52" s="1862"/>
      <c r="Q52" s="1862"/>
      <c r="R52" s="1862"/>
      <c r="S52" s="1863"/>
      <c r="T52" s="1863"/>
      <c r="U52" s="1863"/>
      <c r="V52" s="1862"/>
      <c r="W52" s="1862"/>
      <c r="X52" s="1862"/>
      <c r="Y52" s="1863">
        <f t="shared" ref="Y52" si="20">SUM(Y53,Y61)</f>
        <v>2160</v>
      </c>
      <c r="Z52" s="1863">
        <f>SUM(Z53,Z61)</f>
        <v>34740</v>
      </c>
      <c r="AA52" s="1863">
        <f>SUM(AA53,AA61)</f>
        <v>8415</v>
      </c>
      <c r="AB52" s="1862"/>
      <c r="AC52" s="1862"/>
      <c r="AD52" s="1862"/>
      <c r="AE52" s="1863">
        <f>SUM(AE53,AE61)</f>
        <v>36925</v>
      </c>
      <c r="AF52" s="1863">
        <f t="shared" ref="AF52:AI52" si="21">SUM(AF53,AF61)</f>
        <v>2160</v>
      </c>
      <c r="AG52" s="1863">
        <f t="shared" si="21"/>
        <v>58485</v>
      </c>
      <c r="AH52" s="1863">
        <f t="shared" si="21"/>
        <v>142885</v>
      </c>
      <c r="AI52" s="1863">
        <f t="shared" si="21"/>
        <v>142885</v>
      </c>
      <c r="AJ52" s="1864"/>
      <c r="AK52" s="1864"/>
      <c r="AL52" s="1865"/>
      <c r="AM52" s="1864"/>
      <c r="AN52" s="1864"/>
      <c r="AO52" s="1866"/>
      <c r="AP52" s="363" t="s">
        <v>4315</v>
      </c>
      <c r="AQ52" s="1867"/>
    </row>
    <row r="53" spans="1:43" ht="60">
      <c r="A53" s="371" t="s">
        <v>3713</v>
      </c>
      <c r="B53" s="371" t="s">
        <v>780</v>
      </c>
      <c r="C53" s="372"/>
      <c r="D53" s="371" t="s">
        <v>55</v>
      </c>
      <c r="E53" s="371" t="s">
        <v>3714</v>
      </c>
      <c r="F53" s="371"/>
      <c r="G53" s="1868">
        <f t="shared" si="0"/>
        <v>27.87434298985454</v>
      </c>
      <c r="H53" s="1868"/>
      <c r="I53" s="1868"/>
      <c r="J53" s="1869"/>
      <c r="K53" s="1869"/>
      <c r="L53" s="1869"/>
      <c r="M53" s="1870"/>
      <c r="N53" s="1870"/>
      <c r="O53" s="1870"/>
      <c r="P53" s="1869"/>
      <c r="Q53" s="1869"/>
      <c r="R53" s="1869"/>
      <c r="S53" s="1870"/>
      <c r="T53" s="1870"/>
      <c r="U53" s="1870"/>
      <c r="V53" s="1869"/>
      <c r="W53" s="1869"/>
      <c r="X53" s="1869"/>
      <c r="Y53" s="1870"/>
      <c r="Z53" s="1870">
        <f t="shared" ref="Z53:AA53" si="22">SUM(Z54:Z60)</f>
        <v>32580</v>
      </c>
      <c r="AA53" s="1870">
        <f t="shared" si="22"/>
        <v>4075</v>
      </c>
      <c r="AB53" s="1869"/>
      <c r="AC53" s="1869"/>
      <c r="AD53" s="1869"/>
      <c r="AE53" s="1870">
        <f>SUM(AE54:AE60)</f>
        <v>32580</v>
      </c>
      <c r="AF53" s="1870"/>
      <c r="AG53" s="1870">
        <f>SUM(AG54:AG60)</f>
        <v>44785</v>
      </c>
      <c r="AH53" s="1870">
        <f t="shared" ref="AH53:AI53" si="23">SUM(AH54:AH60)</f>
        <v>114020</v>
      </c>
      <c r="AI53" s="1870">
        <f t="shared" si="23"/>
        <v>114020</v>
      </c>
      <c r="AJ53" s="1871"/>
      <c r="AK53" s="1871"/>
      <c r="AL53" s="533"/>
      <c r="AM53" s="1871"/>
      <c r="AN53" s="1871"/>
      <c r="AO53" s="1872"/>
      <c r="AP53" s="371" t="s">
        <v>4269</v>
      </c>
      <c r="AQ53" s="1873"/>
    </row>
    <row r="54" spans="1:43" ht="45">
      <c r="A54" s="379" t="s">
        <v>4316</v>
      </c>
      <c r="B54" s="379" t="s">
        <v>4317</v>
      </c>
      <c r="C54" s="1281">
        <v>21</v>
      </c>
      <c r="D54" s="379" t="s">
        <v>55</v>
      </c>
      <c r="E54" s="379" t="s">
        <v>4318</v>
      </c>
      <c r="F54" s="379" t="s">
        <v>4319</v>
      </c>
      <c r="G54" s="1874">
        <f t="shared" si="0"/>
        <v>5.9687079819093016</v>
      </c>
      <c r="H54" s="1874"/>
      <c r="I54" s="1874">
        <f>AH54/AH$53*100</f>
        <v>21.412910015786704</v>
      </c>
      <c r="J54" s="1875"/>
      <c r="K54" s="1875"/>
      <c r="L54" s="1875"/>
      <c r="M54" s="1876"/>
      <c r="N54" s="1876"/>
      <c r="O54" s="1876"/>
      <c r="P54" s="1875"/>
      <c r="Q54" s="1875"/>
      <c r="R54" s="1875"/>
      <c r="S54" s="1876"/>
      <c r="T54" s="1876"/>
      <c r="U54" s="1876"/>
      <c r="V54" s="1875"/>
      <c r="W54" s="1875"/>
      <c r="X54" s="1875"/>
      <c r="Y54" s="1876"/>
      <c r="Z54" s="1876"/>
      <c r="AA54" s="1876"/>
      <c r="AB54" s="1875"/>
      <c r="AC54" s="1875"/>
      <c r="AD54" s="1875">
        <v>21</v>
      </c>
      <c r="AE54" s="1876"/>
      <c r="AF54" s="1876"/>
      <c r="AG54" s="1666">
        <v>24415</v>
      </c>
      <c r="AH54" s="1876">
        <f t="shared" ref="AH54:AH60" si="24">SUM(M54,N54,O54,S54,T54,U54,Y54,Z54,AA54,AE54,AF54,AG54)</f>
        <v>24415</v>
      </c>
      <c r="AI54" s="1666">
        <v>24415</v>
      </c>
      <c r="AJ54" s="1666"/>
      <c r="AK54" s="1877"/>
      <c r="AL54" s="1666"/>
      <c r="AM54" s="1877"/>
      <c r="AN54" s="1877"/>
      <c r="AO54" s="1878" t="s">
        <v>1703</v>
      </c>
      <c r="AP54" s="22" t="s">
        <v>4269</v>
      </c>
      <c r="AQ54" s="1879"/>
    </row>
    <row r="55" spans="1:43" ht="45">
      <c r="A55" s="379" t="s">
        <v>4320</v>
      </c>
      <c r="B55" s="379" t="s">
        <v>4321</v>
      </c>
      <c r="C55" s="1281">
        <v>1</v>
      </c>
      <c r="D55" s="379" t="s">
        <v>55</v>
      </c>
      <c r="E55" s="379" t="s">
        <v>4322</v>
      </c>
      <c r="F55" s="379" t="s">
        <v>4323</v>
      </c>
      <c r="G55" s="1874">
        <f t="shared" si="0"/>
        <v>3.9823982398239823</v>
      </c>
      <c r="H55" s="1874"/>
      <c r="I55" s="1874">
        <f t="shared" ref="I55:I60" si="25">AH55/AH$53*100</f>
        <v>14.286967198737063</v>
      </c>
      <c r="J55" s="1875"/>
      <c r="K55" s="1875"/>
      <c r="L55" s="1875"/>
      <c r="M55" s="1876"/>
      <c r="N55" s="1876"/>
      <c r="O55" s="1876"/>
      <c r="P55" s="1875"/>
      <c r="Q55" s="1875"/>
      <c r="R55" s="1875"/>
      <c r="S55" s="1876"/>
      <c r="T55" s="1876"/>
      <c r="U55" s="1876"/>
      <c r="V55" s="1875"/>
      <c r="W55" s="1875"/>
      <c r="X55" s="1875"/>
      <c r="Y55" s="1876"/>
      <c r="Z55" s="1876"/>
      <c r="AA55" s="1876"/>
      <c r="AB55" s="1875"/>
      <c r="AC55" s="1875"/>
      <c r="AD55" s="1875">
        <v>1</v>
      </c>
      <c r="AE55" s="1876"/>
      <c r="AF55" s="1876"/>
      <c r="AG55" s="1666">
        <v>16290</v>
      </c>
      <c r="AH55" s="1876">
        <f t="shared" si="24"/>
        <v>16290</v>
      </c>
      <c r="AI55" s="1666">
        <v>16290</v>
      </c>
      <c r="AJ55" s="1666"/>
      <c r="AK55" s="1877"/>
      <c r="AL55" s="1666"/>
      <c r="AM55" s="1877"/>
      <c r="AN55" s="1877"/>
      <c r="AO55" s="1878" t="s">
        <v>1703</v>
      </c>
      <c r="AP55" s="22" t="s">
        <v>4269</v>
      </c>
      <c r="AQ55" s="1879"/>
    </row>
    <row r="56" spans="1:43" ht="45">
      <c r="A56" s="379" t="s">
        <v>4324</v>
      </c>
      <c r="B56" s="379" t="s">
        <v>4325</v>
      </c>
      <c r="C56" s="1281">
        <v>8</v>
      </c>
      <c r="D56" s="379" t="s">
        <v>55</v>
      </c>
      <c r="E56" s="379" t="s">
        <v>4326</v>
      </c>
      <c r="F56" s="379" t="s">
        <v>4327</v>
      </c>
      <c r="G56" s="1874">
        <f t="shared" si="0"/>
        <v>3.9823982398239823</v>
      </c>
      <c r="H56" s="1874"/>
      <c r="I56" s="1874">
        <f t="shared" si="25"/>
        <v>14.286967198737063</v>
      </c>
      <c r="J56" s="1875"/>
      <c r="K56" s="1875"/>
      <c r="L56" s="1875"/>
      <c r="M56" s="1876"/>
      <c r="N56" s="1876"/>
      <c r="O56" s="1876"/>
      <c r="P56" s="1875"/>
      <c r="Q56" s="1875"/>
      <c r="R56" s="1875"/>
      <c r="S56" s="1876"/>
      <c r="T56" s="1876"/>
      <c r="U56" s="1876"/>
      <c r="V56" s="1875"/>
      <c r="W56" s="1875">
        <v>8</v>
      </c>
      <c r="X56" s="1875"/>
      <c r="Y56" s="1876"/>
      <c r="Z56" s="1666">
        <v>16290</v>
      </c>
      <c r="AA56" s="1876"/>
      <c r="AB56" s="1875"/>
      <c r="AC56" s="1875"/>
      <c r="AD56" s="1875"/>
      <c r="AE56" s="1876"/>
      <c r="AF56" s="1876"/>
      <c r="AG56" s="1876"/>
      <c r="AH56" s="1876">
        <f t="shared" si="24"/>
        <v>16290</v>
      </c>
      <c r="AI56" s="1666">
        <v>16290</v>
      </c>
      <c r="AJ56" s="1666"/>
      <c r="AK56" s="1877"/>
      <c r="AL56" s="1666"/>
      <c r="AM56" s="1877"/>
      <c r="AN56" s="1877"/>
      <c r="AO56" s="1878" t="s">
        <v>1703</v>
      </c>
      <c r="AP56" s="22" t="s">
        <v>4269</v>
      </c>
      <c r="AQ56" s="1879"/>
    </row>
    <row r="57" spans="1:43" ht="90">
      <c r="A57" s="379" t="s">
        <v>4328</v>
      </c>
      <c r="B57" s="379" t="s">
        <v>4329</v>
      </c>
      <c r="C57" s="1281">
        <v>1</v>
      </c>
      <c r="D57" s="379" t="s">
        <v>57</v>
      </c>
      <c r="E57" s="379" t="s">
        <v>4330</v>
      </c>
      <c r="F57" s="379" t="s">
        <v>57</v>
      </c>
      <c r="G57" s="1874">
        <f t="shared" si="0"/>
        <v>3.9823982398239823</v>
      </c>
      <c r="H57" s="1874"/>
      <c r="I57" s="1874">
        <f t="shared" si="25"/>
        <v>14.286967198737063</v>
      </c>
      <c r="J57" s="1875"/>
      <c r="K57" s="1875"/>
      <c r="L57" s="1875"/>
      <c r="M57" s="1876"/>
      <c r="N57" s="1876"/>
      <c r="O57" s="1876"/>
      <c r="P57" s="1875"/>
      <c r="Q57" s="1875"/>
      <c r="R57" s="1875"/>
      <c r="S57" s="1876"/>
      <c r="T57" s="1876"/>
      <c r="U57" s="1876"/>
      <c r="V57" s="1875"/>
      <c r="W57" s="1875">
        <v>1</v>
      </c>
      <c r="X57" s="1875"/>
      <c r="Y57" s="1876"/>
      <c r="Z57" s="1666">
        <v>16290</v>
      </c>
      <c r="AA57" s="1876"/>
      <c r="AB57" s="1875"/>
      <c r="AC57" s="1875"/>
      <c r="AD57" s="1875"/>
      <c r="AE57" s="1876"/>
      <c r="AF57" s="1876"/>
      <c r="AG57" s="1876"/>
      <c r="AH57" s="1876">
        <f t="shared" si="24"/>
        <v>16290</v>
      </c>
      <c r="AI57" s="1666">
        <v>16290</v>
      </c>
      <c r="AJ57" s="1666"/>
      <c r="AK57" s="1877"/>
      <c r="AL57" s="1666"/>
      <c r="AM57" s="1877"/>
      <c r="AN57" s="1877"/>
      <c r="AO57" s="1878" t="s">
        <v>1703</v>
      </c>
      <c r="AP57" s="22" t="s">
        <v>4269</v>
      </c>
      <c r="AQ57" s="1879"/>
    </row>
    <row r="58" spans="1:43" ht="75">
      <c r="A58" s="379" t="s">
        <v>4331</v>
      </c>
      <c r="B58" s="379" t="s">
        <v>4332</v>
      </c>
      <c r="C58" s="1281">
        <v>2</v>
      </c>
      <c r="D58" s="379" t="s">
        <v>159</v>
      </c>
      <c r="E58" s="379" t="s">
        <v>4333</v>
      </c>
      <c r="F58" s="379" t="s">
        <v>4334</v>
      </c>
      <c r="G58" s="1874">
        <f t="shared" si="0"/>
        <v>1.993643808825327</v>
      </c>
      <c r="H58" s="1874"/>
      <c r="I58" s="1874">
        <f t="shared" si="25"/>
        <v>7.1522539905279778</v>
      </c>
      <c r="J58" s="1875"/>
      <c r="K58" s="1875"/>
      <c r="L58" s="1875"/>
      <c r="M58" s="1876"/>
      <c r="N58" s="1876"/>
      <c r="O58" s="1876"/>
      <c r="P58" s="1875"/>
      <c r="Q58" s="1875"/>
      <c r="R58" s="1875"/>
      <c r="S58" s="1876"/>
      <c r="T58" s="1876"/>
      <c r="U58" s="1876"/>
      <c r="V58" s="1875"/>
      <c r="W58" s="1875"/>
      <c r="X58" s="1875">
        <v>1</v>
      </c>
      <c r="Y58" s="1876"/>
      <c r="Z58" s="1876"/>
      <c r="AA58" s="1876">
        <v>4075</v>
      </c>
      <c r="AB58" s="1875"/>
      <c r="AC58" s="1875"/>
      <c r="AD58" s="1875">
        <v>1</v>
      </c>
      <c r="AE58" s="1876"/>
      <c r="AF58" s="1876"/>
      <c r="AG58" s="1876">
        <v>4080</v>
      </c>
      <c r="AH58" s="1876">
        <f t="shared" si="24"/>
        <v>8155</v>
      </c>
      <c r="AI58" s="1666">
        <v>8155</v>
      </c>
      <c r="AJ58" s="1666"/>
      <c r="AK58" s="1877"/>
      <c r="AL58" s="1666"/>
      <c r="AM58" s="1877"/>
      <c r="AN58" s="1877"/>
      <c r="AO58" s="1878" t="s">
        <v>1703</v>
      </c>
      <c r="AP58" s="22" t="s">
        <v>4269</v>
      </c>
      <c r="AQ58" s="1879"/>
    </row>
    <row r="59" spans="1:43" ht="45">
      <c r="A59" s="379" t="s">
        <v>4335</v>
      </c>
      <c r="B59" s="379" t="s">
        <v>4336</v>
      </c>
      <c r="C59" s="1281">
        <v>1</v>
      </c>
      <c r="D59" s="379" t="s">
        <v>1569</v>
      </c>
      <c r="E59" s="379" t="s">
        <v>4337</v>
      </c>
      <c r="F59" s="379" t="s">
        <v>4338</v>
      </c>
      <c r="G59" s="1874">
        <f t="shared" si="0"/>
        <v>3.9823982398239823</v>
      </c>
      <c r="H59" s="1874"/>
      <c r="I59" s="1874">
        <f t="shared" si="25"/>
        <v>14.286967198737063</v>
      </c>
      <c r="J59" s="1875"/>
      <c r="K59" s="1875"/>
      <c r="L59" s="1875"/>
      <c r="M59" s="1876"/>
      <c r="N59" s="1876"/>
      <c r="O59" s="1876"/>
      <c r="P59" s="1875"/>
      <c r="Q59" s="1875"/>
      <c r="R59" s="1875"/>
      <c r="S59" s="1876"/>
      <c r="T59" s="1876"/>
      <c r="U59" s="1876"/>
      <c r="V59" s="1875"/>
      <c r="W59" s="1875"/>
      <c r="X59" s="1875"/>
      <c r="Y59" s="1876"/>
      <c r="Z59" s="1876"/>
      <c r="AA59" s="1876"/>
      <c r="AB59" s="1875">
        <v>1</v>
      </c>
      <c r="AC59" s="1875"/>
      <c r="AD59" s="1875"/>
      <c r="AE59" s="1666">
        <v>16290</v>
      </c>
      <c r="AF59" s="1876"/>
      <c r="AG59" s="1876"/>
      <c r="AH59" s="1876">
        <f t="shared" si="24"/>
        <v>16290</v>
      </c>
      <c r="AI59" s="1666">
        <v>16290</v>
      </c>
      <c r="AJ59" s="1666"/>
      <c r="AK59" s="1877"/>
      <c r="AL59" s="1666"/>
      <c r="AM59" s="1877"/>
      <c r="AN59" s="1877"/>
      <c r="AO59" s="1878" t="s">
        <v>1703</v>
      </c>
      <c r="AP59" s="22" t="s">
        <v>4269</v>
      </c>
      <c r="AQ59" s="1879"/>
    </row>
    <row r="60" spans="1:43" ht="60">
      <c r="A60" s="379" t="s">
        <v>4339</v>
      </c>
      <c r="B60" s="379" t="s">
        <v>4340</v>
      </c>
      <c r="C60" s="1281">
        <v>1</v>
      </c>
      <c r="D60" s="379" t="s">
        <v>55</v>
      </c>
      <c r="E60" s="379" t="s">
        <v>4341</v>
      </c>
      <c r="F60" s="379" t="s">
        <v>4342</v>
      </c>
      <c r="G60" s="1874">
        <f t="shared" si="0"/>
        <v>3.9823982398239823</v>
      </c>
      <c r="H60" s="1874"/>
      <c r="I60" s="1874">
        <f t="shared" si="25"/>
        <v>14.286967198737063</v>
      </c>
      <c r="J60" s="1875"/>
      <c r="K60" s="1875"/>
      <c r="L60" s="1875"/>
      <c r="M60" s="1876"/>
      <c r="N60" s="1876"/>
      <c r="O60" s="1876"/>
      <c r="P60" s="1875"/>
      <c r="Q60" s="1875"/>
      <c r="R60" s="1875"/>
      <c r="S60" s="1876"/>
      <c r="T60" s="1876"/>
      <c r="U60" s="1876"/>
      <c r="V60" s="1875"/>
      <c r="W60" s="1875"/>
      <c r="X60" s="1875"/>
      <c r="Y60" s="1876"/>
      <c r="Z60" s="1876"/>
      <c r="AA60" s="1876"/>
      <c r="AB60" s="1875">
        <v>1</v>
      </c>
      <c r="AC60" s="1875"/>
      <c r="AD60" s="1875"/>
      <c r="AE60" s="1666">
        <v>16290</v>
      </c>
      <c r="AF60" s="1876"/>
      <c r="AG60" s="1876"/>
      <c r="AH60" s="1876">
        <f t="shared" si="24"/>
        <v>16290</v>
      </c>
      <c r="AI60" s="1666">
        <v>16290</v>
      </c>
      <c r="AJ60" s="1666"/>
      <c r="AK60" s="1877"/>
      <c r="AL60" s="1666"/>
      <c r="AM60" s="1877"/>
      <c r="AN60" s="1877"/>
      <c r="AO60" s="1878" t="s">
        <v>1703</v>
      </c>
      <c r="AP60" s="22" t="s">
        <v>4269</v>
      </c>
      <c r="AQ60" s="1879"/>
    </row>
    <row r="61" spans="1:43" ht="75">
      <c r="A61" s="371" t="s">
        <v>1562</v>
      </c>
      <c r="B61" s="371" t="s">
        <v>1563</v>
      </c>
      <c r="C61" s="372"/>
      <c r="D61" s="371" t="s">
        <v>1564</v>
      </c>
      <c r="E61" s="371" t="s">
        <v>1565</v>
      </c>
      <c r="F61" s="371" t="s">
        <v>1189</v>
      </c>
      <c r="G61" s="1868">
        <f t="shared" si="0"/>
        <v>7.0565945483437229</v>
      </c>
      <c r="H61" s="1868"/>
      <c r="I61" s="1868"/>
      <c r="J61" s="1869"/>
      <c r="K61" s="1869"/>
      <c r="L61" s="1869"/>
      <c r="M61" s="1870"/>
      <c r="N61" s="1870"/>
      <c r="O61" s="1870"/>
      <c r="P61" s="1869"/>
      <c r="Q61" s="1869"/>
      <c r="R61" s="1869"/>
      <c r="S61" s="1870"/>
      <c r="T61" s="1870"/>
      <c r="U61" s="1870"/>
      <c r="V61" s="1869"/>
      <c r="W61" s="1869"/>
      <c r="X61" s="1869"/>
      <c r="Y61" s="1870">
        <f>SUM(Y62:Y66)</f>
        <v>2160</v>
      </c>
      <c r="Z61" s="1870">
        <f t="shared" ref="Z61:AA61" si="26">SUM(Z62:Z66)</f>
        <v>2160</v>
      </c>
      <c r="AA61" s="1870">
        <f t="shared" si="26"/>
        <v>4340</v>
      </c>
      <c r="AB61" s="1869"/>
      <c r="AC61" s="1869"/>
      <c r="AD61" s="1869"/>
      <c r="AE61" s="1870">
        <f t="shared" ref="AE61:AI61" si="27">SUM(AE62:AE66)</f>
        <v>4345</v>
      </c>
      <c r="AF61" s="1870">
        <f t="shared" si="27"/>
        <v>2160</v>
      </c>
      <c r="AG61" s="1870">
        <f t="shared" si="27"/>
        <v>13700</v>
      </c>
      <c r="AH61" s="1870">
        <f t="shared" si="27"/>
        <v>28865</v>
      </c>
      <c r="AI61" s="1870">
        <f t="shared" si="27"/>
        <v>28865</v>
      </c>
      <c r="AJ61" s="1871"/>
      <c r="AK61" s="1871"/>
      <c r="AL61" s="533"/>
      <c r="AM61" s="1871"/>
      <c r="AN61" s="1871"/>
      <c r="AO61" s="1872"/>
      <c r="AP61" s="371" t="s">
        <v>4240</v>
      </c>
      <c r="AQ61" s="1873"/>
    </row>
    <row r="62" spans="1:43" ht="75">
      <c r="A62" s="379" t="s">
        <v>4343</v>
      </c>
      <c r="B62" s="22" t="s">
        <v>4344</v>
      </c>
      <c r="C62" s="1281">
        <v>1</v>
      </c>
      <c r="D62" s="379" t="s">
        <v>57</v>
      </c>
      <c r="E62" s="379" t="s">
        <v>4345</v>
      </c>
      <c r="F62" s="379" t="s">
        <v>4346</v>
      </c>
      <c r="G62" s="1874">
        <f t="shared" si="0"/>
        <v>1.1758953673145092</v>
      </c>
      <c r="H62" s="1874"/>
      <c r="I62" s="1874">
        <f>AH62/AH$61*100</f>
        <v>16.663779663952884</v>
      </c>
      <c r="J62" s="1875"/>
      <c r="K62" s="1875"/>
      <c r="L62" s="1875"/>
      <c r="M62" s="1876"/>
      <c r="N62" s="1876"/>
      <c r="O62" s="1876"/>
      <c r="P62" s="1875"/>
      <c r="Q62" s="1875"/>
      <c r="R62" s="1875"/>
      <c r="S62" s="1876"/>
      <c r="T62" s="1876"/>
      <c r="U62" s="1876"/>
      <c r="V62" s="1875"/>
      <c r="W62" s="1875"/>
      <c r="X62" s="1875"/>
      <c r="Y62" s="1876"/>
      <c r="Z62" s="1876"/>
      <c r="AA62" s="1876"/>
      <c r="AB62" s="1875"/>
      <c r="AC62" s="1875"/>
      <c r="AD62" s="1875">
        <v>1</v>
      </c>
      <c r="AE62" s="1876"/>
      <c r="AF62" s="1876"/>
      <c r="AG62" s="1666">
        <v>4810</v>
      </c>
      <c r="AH62" s="1876">
        <f t="shared" ref="AH62:AH66" si="28">SUM(M62,N62,O62,S62,T62,U62,Y62,Z62,AA62,AE62,AF62,AG62)</f>
        <v>4810</v>
      </c>
      <c r="AI62" s="1666">
        <v>4810</v>
      </c>
      <c r="AJ62" s="1666"/>
      <c r="AK62" s="1877"/>
      <c r="AL62" s="1666"/>
      <c r="AM62" s="1877"/>
      <c r="AN62" s="1877"/>
      <c r="AO62" s="1878" t="s">
        <v>1703</v>
      </c>
      <c r="AP62" s="22" t="s">
        <v>4240</v>
      </c>
      <c r="AQ62" s="1879"/>
    </row>
    <row r="63" spans="1:43" ht="90">
      <c r="A63" s="379" t="s">
        <v>4347</v>
      </c>
      <c r="B63" s="22" t="s">
        <v>4348</v>
      </c>
      <c r="C63" s="1281">
        <v>1</v>
      </c>
      <c r="D63" s="379" t="s">
        <v>4349</v>
      </c>
      <c r="E63" s="379" t="s">
        <v>4350</v>
      </c>
      <c r="F63" s="379" t="s">
        <v>4351</v>
      </c>
      <c r="G63" s="1874">
        <f t="shared" si="0"/>
        <v>0.70529275149737192</v>
      </c>
      <c r="H63" s="1874"/>
      <c r="I63" s="1874">
        <f t="shared" ref="I63:I66" si="29">AH63/AH$61*100</f>
        <v>9.9948033951151913</v>
      </c>
      <c r="J63" s="1875"/>
      <c r="K63" s="1875"/>
      <c r="L63" s="1875"/>
      <c r="M63" s="1876"/>
      <c r="N63" s="1876"/>
      <c r="O63" s="1876"/>
      <c r="P63" s="1875"/>
      <c r="Q63" s="1875"/>
      <c r="R63" s="1875"/>
      <c r="S63" s="1876"/>
      <c r="T63" s="1876"/>
      <c r="U63" s="1876"/>
      <c r="V63" s="1875"/>
      <c r="W63" s="1875"/>
      <c r="X63" s="1875"/>
      <c r="Y63" s="1876"/>
      <c r="Z63" s="1876"/>
      <c r="AA63" s="1876"/>
      <c r="AB63" s="1875"/>
      <c r="AC63" s="1875"/>
      <c r="AD63" s="1875">
        <v>1</v>
      </c>
      <c r="AE63" s="1876"/>
      <c r="AF63" s="1876"/>
      <c r="AG63" s="1666">
        <v>2885</v>
      </c>
      <c r="AH63" s="1876">
        <f t="shared" si="28"/>
        <v>2885</v>
      </c>
      <c r="AI63" s="1666">
        <v>2885</v>
      </c>
      <c r="AJ63" s="1666"/>
      <c r="AK63" s="1877"/>
      <c r="AL63" s="1666"/>
      <c r="AM63" s="1877"/>
      <c r="AN63" s="1877"/>
      <c r="AO63" s="1878" t="s">
        <v>1703</v>
      </c>
      <c r="AP63" s="22" t="s">
        <v>4240</v>
      </c>
      <c r="AQ63" s="1879"/>
    </row>
    <row r="64" spans="1:43" ht="60">
      <c r="A64" s="379" t="s">
        <v>4352</v>
      </c>
      <c r="B64" s="22" t="s">
        <v>4353</v>
      </c>
      <c r="C64" s="1281">
        <v>8</v>
      </c>
      <c r="D64" s="379" t="s">
        <v>52</v>
      </c>
      <c r="E64" s="379" t="s">
        <v>4354</v>
      </c>
      <c r="F64" s="379" t="s">
        <v>4355</v>
      </c>
      <c r="G64" s="1874">
        <f t="shared" si="0"/>
        <v>1.4142525363647476</v>
      </c>
      <c r="H64" s="1874"/>
      <c r="I64" s="1874">
        <f t="shared" si="29"/>
        <v>20.041572839078469</v>
      </c>
      <c r="J64" s="1875"/>
      <c r="K64" s="1875"/>
      <c r="L64" s="1875"/>
      <c r="M64" s="1876"/>
      <c r="N64" s="1876"/>
      <c r="O64" s="1876"/>
      <c r="P64" s="1875"/>
      <c r="Q64" s="1875"/>
      <c r="R64" s="1875"/>
      <c r="S64" s="1876"/>
      <c r="T64" s="1876"/>
      <c r="U64" s="1876"/>
      <c r="V64" s="1875">
        <v>1</v>
      </c>
      <c r="W64" s="1875">
        <v>1</v>
      </c>
      <c r="X64" s="1875">
        <v>2</v>
      </c>
      <c r="Y64" s="1876">
        <v>720</v>
      </c>
      <c r="Z64" s="1876">
        <v>720</v>
      </c>
      <c r="AA64" s="1876">
        <v>1450</v>
      </c>
      <c r="AB64" s="1875">
        <v>2</v>
      </c>
      <c r="AC64" s="1875">
        <v>1</v>
      </c>
      <c r="AD64" s="1875">
        <v>1</v>
      </c>
      <c r="AE64" s="1876">
        <v>1455</v>
      </c>
      <c r="AF64" s="1876">
        <v>720</v>
      </c>
      <c r="AG64" s="1876">
        <v>720</v>
      </c>
      <c r="AH64" s="1876">
        <f t="shared" si="28"/>
        <v>5785</v>
      </c>
      <c r="AI64" s="1666">
        <f>5770+15</f>
        <v>5785</v>
      </c>
      <c r="AJ64" s="1666"/>
      <c r="AK64" s="1877"/>
      <c r="AL64" s="1666"/>
      <c r="AM64" s="1877"/>
      <c r="AN64" s="1877"/>
      <c r="AO64" s="1878" t="s">
        <v>1703</v>
      </c>
      <c r="AP64" s="22" t="s">
        <v>4240</v>
      </c>
      <c r="AQ64" s="1879"/>
    </row>
    <row r="65" spans="1:43" ht="60">
      <c r="A65" s="379" t="s">
        <v>4356</v>
      </c>
      <c r="B65" s="22" t="s">
        <v>4357</v>
      </c>
      <c r="C65" s="1281">
        <v>8</v>
      </c>
      <c r="D65" s="379" t="s">
        <v>57</v>
      </c>
      <c r="E65" s="379" t="s">
        <v>4358</v>
      </c>
      <c r="F65" s="379" t="s">
        <v>4359</v>
      </c>
      <c r="G65" s="1874">
        <f t="shared" si="0"/>
        <v>2.8211710059894877</v>
      </c>
      <c r="H65" s="1874"/>
      <c r="I65" s="1874">
        <f t="shared" si="29"/>
        <v>39.979213580460765</v>
      </c>
      <c r="J65" s="1875"/>
      <c r="K65" s="1875"/>
      <c r="L65" s="1875"/>
      <c r="M65" s="1876"/>
      <c r="N65" s="1876"/>
      <c r="O65" s="1876"/>
      <c r="P65" s="1875"/>
      <c r="Q65" s="1875"/>
      <c r="R65" s="1875"/>
      <c r="S65" s="1876"/>
      <c r="T65" s="1876"/>
      <c r="U65" s="1876"/>
      <c r="V65" s="1875">
        <v>1</v>
      </c>
      <c r="W65" s="1875">
        <v>1</v>
      </c>
      <c r="X65" s="1875">
        <v>2</v>
      </c>
      <c r="Y65" s="1876">
        <v>1440</v>
      </c>
      <c r="Z65" s="1876">
        <v>1440</v>
      </c>
      <c r="AA65" s="1876">
        <v>2890</v>
      </c>
      <c r="AB65" s="1875">
        <v>2</v>
      </c>
      <c r="AC65" s="1875">
        <v>1</v>
      </c>
      <c r="AD65" s="1875">
        <v>1</v>
      </c>
      <c r="AE65" s="1876">
        <v>2890</v>
      </c>
      <c r="AF65" s="1876">
        <v>1440</v>
      </c>
      <c r="AG65" s="1876">
        <v>1440</v>
      </c>
      <c r="AH65" s="1876">
        <f t="shared" si="28"/>
        <v>11540</v>
      </c>
      <c r="AI65" s="1666">
        <v>11540</v>
      </c>
      <c r="AJ65" s="1666"/>
      <c r="AK65" s="1877"/>
      <c r="AL65" s="1666"/>
      <c r="AM65" s="1877"/>
      <c r="AN65" s="1877"/>
      <c r="AO65" s="1878" t="s">
        <v>1703</v>
      </c>
      <c r="AP65" s="22" t="s">
        <v>4240</v>
      </c>
      <c r="AQ65" s="1879"/>
    </row>
    <row r="66" spans="1:43" ht="90">
      <c r="A66" s="379" t="s">
        <v>4360</v>
      </c>
      <c r="B66" s="22" t="s">
        <v>4361</v>
      </c>
      <c r="C66" s="1281">
        <v>2</v>
      </c>
      <c r="D66" s="379" t="s">
        <v>4349</v>
      </c>
      <c r="E66" s="379" t="s">
        <v>4350</v>
      </c>
      <c r="F66" s="379" t="s">
        <v>4351</v>
      </c>
      <c r="G66" s="1874">
        <f t="shared" si="0"/>
        <v>0.9399828871776067</v>
      </c>
      <c r="H66" s="1874"/>
      <c r="I66" s="1874">
        <f t="shared" si="29"/>
        <v>13.32063052139269</v>
      </c>
      <c r="J66" s="1875"/>
      <c r="K66" s="1875"/>
      <c r="L66" s="1875"/>
      <c r="M66" s="1876"/>
      <c r="N66" s="1876"/>
      <c r="O66" s="1876"/>
      <c r="P66" s="1875"/>
      <c r="Q66" s="1875"/>
      <c r="R66" s="1875"/>
      <c r="S66" s="1876"/>
      <c r="T66" s="1876"/>
      <c r="U66" s="1876"/>
      <c r="V66" s="1875"/>
      <c r="W66" s="1875"/>
      <c r="X66" s="1875"/>
      <c r="Y66" s="1876"/>
      <c r="Z66" s="1876"/>
      <c r="AA66" s="1876"/>
      <c r="AB66" s="1875"/>
      <c r="AC66" s="1875"/>
      <c r="AD66" s="1875">
        <v>1</v>
      </c>
      <c r="AE66" s="1876"/>
      <c r="AF66" s="1876"/>
      <c r="AG66" s="1666">
        <v>3845</v>
      </c>
      <c r="AH66" s="1876">
        <f t="shared" si="28"/>
        <v>3845</v>
      </c>
      <c r="AI66" s="1666">
        <v>3845</v>
      </c>
      <c r="AJ66" s="1666"/>
      <c r="AK66" s="1877"/>
      <c r="AL66" s="1666"/>
      <c r="AM66" s="1877"/>
      <c r="AN66" s="1877"/>
      <c r="AO66" s="1878" t="s">
        <v>1703</v>
      </c>
      <c r="AP66" s="22" t="s">
        <v>4240</v>
      </c>
      <c r="AQ66" s="1879"/>
    </row>
    <row r="67" spans="1:43" ht="30">
      <c r="A67" s="355" t="s">
        <v>4204</v>
      </c>
      <c r="B67" s="355" t="s">
        <v>4205</v>
      </c>
      <c r="C67" s="356"/>
      <c r="D67" s="355"/>
      <c r="E67" s="355"/>
      <c r="F67" s="355"/>
      <c r="G67" s="1855">
        <f t="shared" si="0"/>
        <v>1.2309008678645643</v>
      </c>
      <c r="H67" s="1855"/>
      <c r="I67" s="1855"/>
      <c r="J67" s="1856"/>
      <c r="K67" s="1856"/>
      <c r="L67" s="1856"/>
      <c r="M67" s="1857"/>
      <c r="N67" s="1857"/>
      <c r="O67" s="1857"/>
      <c r="P67" s="1856"/>
      <c r="Q67" s="1856"/>
      <c r="R67" s="1856"/>
      <c r="S67" s="1857"/>
      <c r="T67" s="1857"/>
      <c r="U67" s="1857"/>
      <c r="V67" s="1856"/>
      <c r="W67" s="1856"/>
      <c r="X67" s="1856"/>
      <c r="Y67" s="1857"/>
      <c r="Z67" s="1857"/>
      <c r="AA67" s="1857">
        <f>SUM(AA68)</f>
        <v>1675</v>
      </c>
      <c r="AB67" s="1856"/>
      <c r="AC67" s="1856"/>
      <c r="AD67" s="1856"/>
      <c r="AE67" s="1857"/>
      <c r="AF67" s="1857"/>
      <c r="AG67" s="1857">
        <f t="shared" ref="AG67:AI68" si="30">SUM(AG68)</f>
        <v>3360</v>
      </c>
      <c r="AH67" s="1857">
        <f t="shared" si="30"/>
        <v>5035</v>
      </c>
      <c r="AI67" s="1857">
        <f t="shared" si="30"/>
        <v>5035</v>
      </c>
      <c r="AJ67" s="1858"/>
      <c r="AK67" s="1858"/>
      <c r="AL67" s="1651"/>
      <c r="AM67" s="1858"/>
      <c r="AN67" s="1858"/>
      <c r="AO67" s="1859"/>
      <c r="AP67" s="355" t="s">
        <v>4272</v>
      </c>
      <c r="AQ67" s="1860"/>
    </row>
    <row r="68" spans="1:43" ht="15">
      <c r="A68" s="363" t="s">
        <v>4206</v>
      </c>
      <c r="B68" s="363" t="s">
        <v>4207</v>
      </c>
      <c r="C68" s="364"/>
      <c r="D68" s="363"/>
      <c r="E68" s="363"/>
      <c r="F68" s="363"/>
      <c r="G68" s="1861">
        <f t="shared" si="0"/>
        <v>1.2309008678645643</v>
      </c>
      <c r="H68" s="1861">
        <f>G68</f>
        <v>1.2309008678645643</v>
      </c>
      <c r="I68" s="1861"/>
      <c r="J68" s="1862"/>
      <c r="K68" s="1862"/>
      <c r="L68" s="1862"/>
      <c r="M68" s="1863"/>
      <c r="N68" s="1863"/>
      <c r="O68" s="1863"/>
      <c r="P68" s="1862"/>
      <c r="Q68" s="1862"/>
      <c r="R68" s="1862"/>
      <c r="S68" s="1863"/>
      <c r="T68" s="1863"/>
      <c r="U68" s="1863"/>
      <c r="V68" s="1862"/>
      <c r="W68" s="1862"/>
      <c r="X68" s="1862"/>
      <c r="Y68" s="1863"/>
      <c r="Z68" s="1863"/>
      <c r="AA68" s="1863">
        <f>SUM(AA69)</f>
        <v>1675</v>
      </c>
      <c r="AB68" s="1862"/>
      <c r="AC68" s="1862"/>
      <c r="AD68" s="1862"/>
      <c r="AE68" s="1863"/>
      <c r="AF68" s="1863"/>
      <c r="AG68" s="1863">
        <f t="shared" si="30"/>
        <v>3360</v>
      </c>
      <c r="AH68" s="1863">
        <f t="shared" si="30"/>
        <v>5035</v>
      </c>
      <c r="AI68" s="1863">
        <f t="shared" si="30"/>
        <v>5035</v>
      </c>
      <c r="AJ68" s="1864"/>
      <c r="AK68" s="1864"/>
      <c r="AL68" s="1865"/>
      <c r="AM68" s="1864"/>
      <c r="AN68" s="1864"/>
      <c r="AO68" s="1866"/>
      <c r="AP68" s="363" t="s">
        <v>4272</v>
      </c>
      <c r="AQ68" s="1867"/>
    </row>
    <row r="69" spans="1:43" ht="120">
      <c r="A69" s="1884" t="s">
        <v>4362</v>
      </c>
      <c r="B69" s="1884" t="s">
        <v>4363</v>
      </c>
      <c r="C69" s="372"/>
      <c r="D69" s="371" t="s">
        <v>57</v>
      </c>
      <c r="E69" s="371" t="s">
        <v>4364</v>
      </c>
      <c r="F69" s="371"/>
      <c r="G69" s="1868">
        <f t="shared" si="0"/>
        <v>1.2309008678645643</v>
      </c>
      <c r="H69" s="1868"/>
      <c r="I69" s="1868"/>
      <c r="J69" s="1869"/>
      <c r="K69" s="1869"/>
      <c r="L69" s="1869"/>
      <c r="M69" s="1870"/>
      <c r="N69" s="1870"/>
      <c r="O69" s="1870"/>
      <c r="P69" s="1869"/>
      <c r="Q69" s="1869"/>
      <c r="R69" s="1869"/>
      <c r="S69" s="1870"/>
      <c r="T69" s="1870"/>
      <c r="U69" s="1870"/>
      <c r="V69" s="1869"/>
      <c r="W69" s="1869"/>
      <c r="X69" s="1869"/>
      <c r="Y69" s="1870"/>
      <c r="Z69" s="1870"/>
      <c r="AA69" s="1870">
        <f>SUM(AA70:AA71)</f>
        <v>1675</v>
      </c>
      <c r="AB69" s="1869"/>
      <c r="AC69" s="1869"/>
      <c r="AD69" s="1869"/>
      <c r="AE69" s="1870"/>
      <c r="AF69" s="1870"/>
      <c r="AG69" s="1870">
        <f t="shared" ref="AG69:AI69" si="31">SUM(AG70:AG71)</f>
        <v>3360</v>
      </c>
      <c r="AH69" s="1870">
        <f t="shared" si="31"/>
        <v>5035</v>
      </c>
      <c r="AI69" s="1870">
        <f t="shared" si="31"/>
        <v>5035</v>
      </c>
      <c r="AJ69" s="1871"/>
      <c r="AK69" s="1871"/>
      <c r="AL69" s="533"/>
      <c r="AM69" s="1871"/>
      <c r="AN69" s="1871"/>
      <c r="AO69" s="1872"/>
      <c r="AP69" s="371" t="s">
        <v>4272</v>
      </c>
      <c r="AQ69" s="1873"/>
    </row>
    <row r="70" spans="1:43" ht="75">
      <c r="A70" s="379" t="s">
        <v>4365</v>
      </c>
      <c r="B70" s="379" t="s">
        <v>4366</v>
      </c>
      <c r="C70" s="1281">
        <v>2</v>
      </c>
      <c r="D70" s="379" t="s">
        <v>52</v>
      </c>
      <c r="E70" s="379" t="s">
        <v>4367</v>
      </c>
      <c r="F70" s="379" t="s">
        <v>4368</v>
      </c>
      <c r="G70" s="1874">
        <f t="shared" si="0"/>
        <v>0.6148392617039482</v>
      </c>
      <c r="H70" s="1874"/>
      <c r="I70" s="1874">
        <v>50</v>
      </c>
      <c r="J70" s="1875"/>
      <c r="K70" s="1875"/>
      <c r="L70" s="1875"/>
      <c r="M70" s="1876"/>
      <c r="N70" s="1876"/>
      <c r="O70" s="1876"/>
      <c r="P70" s="1875"/>
      <c r="Q70" s="1875"/>
      <c r="R70" s="1875"/>
      <c r="S70" s="1876"/>
      <c r="T70" s="1876"/>
      <c r="U70" s="1876"/>
      <c r="V70" s="1875"/>
      <c r="W70" s="1875"/>
      <c r="X70" s="1875">
        <v>1</v>
      </c>
      <c r="Y70" s="1876"/>
      <c r="Z70" s="1876"/>
      <c r="AA70" s="1876">
        <v>1675</v>
      </c>
      <c r="AB70" s="1875"/>
      <c r="AC70" s="1875"/>
      <c r="AD70" s="1875">
        <v>1</v>
      </c>
      <c r="AE70" s="1876"/>
      <c r="AF70" s="1876"/>
      <c r="AG70" s="1876">
        <v>840</v>
      </c>
      <c r="AH70" s="1876">
        <f t="shared" ref="AH70:AH71" si="32">SUM(M70,N70,O70,S70,T70,U70,Y70,Z70,AA70,AE70,AF70,AG70)</f>
        <v>2515</v>
      </c>
      <c r="AI70" s="1666">
        <v>2515</v>
      </c>
      <c r="AJ70" s="1666"/>
      <c r="AK70" s="1877"/>
      <c r="AL70" s="1666"/>
      <c r="AM70" s="1877"/>
      <c r="AN70" s="1877"/>
      <c r="AO70" s="1878" t="s">
        <v>1703</v>
      </c>
      <c r="AP70" s="22" t="s">
        <v>4272</v>
      </c>
      <c r="AQ70" s="1879"/>
    </row>
    <row r="71" spans="1:43" ht="90">
      <c r="A71" s="379" t="s">
        <v>4369</v>
      </c>
      <c r="B71" s="379" t="s">
        <v>4370</v>
      </c>
      <c r="C71" s="1281">
        <v>1</v>
      </c>
      <c r="D71" s="379" t="s">
        <v>57</v>
      </c>
      <c r="E71" s="379" t="s">
        <v>4371</v>
      </c>
      <c r="F71" s="379" t="s">
        <v>2262</v>
      </c>
      <c r="G71" s="1874">
        <f t="shared" si="0"/>
        <v>0.61606160616061612</v>
      </c>
      <c r="H71" s="1874"/>
      <c r="I71" s="1874">
        <v>50</v>
      </c>
      <c r="J71" s="1875"/>
      <c r="K71" s="1875"/>
      <c r="L71" s="1875"/>
      <c r="M71" s="1876"/>
      <c r="N71" s="1876"/>
      <c r="O71" s="1876"/>
      <c r="P71" s="1875"/>
      <c r="Q71" s="1875"/>
      <c r="R71" s="1875"/>
      <c r="S71" s="1876"/>
      <c r="T71" s="1876"/>
      <c r="U71" s="1876"/>
      <c r="V71" s="1875"/>
      <c r="W71" s="1875"/>
      <c r="X71" s="1875"/>
      <c r="Y71" s="1876"/>
      <c r="Z71" s="1876"/>
      <c r="AA71" s="1876"/>
      <c r="AB71" s="1875"/>
      <c r="AC71" s="1875"/>
      <c r="AD71" s="1875">
        <v>1</v>
      </c>
      <c r="AE71" s="1876"/>
      <c r="AF71" s="1876"/>
      <c r="AG71" s="1666">
        <v>2520</v>
      </c>
      <c r="AH71" s="1876">
        <f t="shared" si="32"/>
        <v>2520</v>
      </c>
      <c r="AI71" s="1666">
        <v>2520</v>
      </c>
      <c r="AJ71" s="1666"/>
      <c r="AK71" s="1877"/>
      <c r="AL71" s="1666"/>
      <c r="AM71" s="1877"/>
      <c r="AN71" s="1877"/>
      <c r="AO71" s="1878" t="s">
        <v>1703</v>
      </c>
      <c r="AP71" s="22" t="s">
        <v>4272</v>
      </c>
      <c r="AQ71" s="1879"/>
    </row>
    <row r="72" spans="1:43" ht="15">
      <c r="A72" s="355" t="s">
        <v>2905</v>
      </c>
      <c r="B72" s="355" t="s">
        <v>798</v>
      </c>
      <c r="C72" s="356"/>
      <c r="D72" s="355"/>
      <c r="E72" s="355"/>
      <c r="F72" s="355"/>
      <c r="G72" s="1855">
        <f t="shared" si="0"/>
        <v>2.1158782544921158</v>
      </c>
      <c r="H72" s="1855"/>
      <c r="I72" s="1855"/>
      <c r="J72" s="1856"/>
      <c r="K72" s="1856"/>
      <c r="L72" s="1856"/>
      <c r="M72" s="1857"/>
      <c r="N72" s="1857"/>
      <c r="O72" s="1857"/>
      <c r="P72" s="1856"/>
      <c r="Q72" s="1856"/>
      <c r="R72" s="1856"/>
      <c r="S72" s="1857"/>
      <c r="T72" s="1857"/>
      <c r="U72" s="1857"/>
      <c r="V72" s="1856"/>
      <c r="W72" s="1856"/>
      <c r="X72" s="1856"/>
      <c r="Y72" s="1857"/>
      <c r="Z72" s="1857">
        <f>SUM(Z73)</f>
        <v>1440</v>
      </c>
      <c r="AA72" s="1857">
        <f>SUM(AA73)</f>
        <v>2885</v>
      </c>
      <c r="AB72" s="1856"/>
      <c r="AC72" s="1856"/>
      <c r="AD72" s="1856"/>
      <c r="AE72" s="1857"/>
      <c r="AF72" s="1857">
        <f t="shared" ref="AF72:AI72" si="33">SUM(AF73)</f>
        <v>2405</v>
      </c>
      <c r="AG72" s="1857">
        <f t="shared" si="33"/>
        <v>965</v>
      </c>
      <c r="AH72" s="1857">
        <f t="shared" si="33"/>
        <v>8655</v>
      </c>
      <c r="AI72" s="1857">
        <f t="shared" si="33"/>
        <v>8655</v>
      </c>
      <c r="AJ72" s="1858"/>
      <c r="AK72" s="1858"/>
      <c r="AL72" s="1651"/>
      <c r="AM72" s="1858"/>
      <c r="AN72" s="1858"/>
      <c r="AO72" s="1859"/>
      <c r="AP72" s="355" t="s">
        <v>4240</v>
      </c>
      <c r="AQ72" s="1860"/>
    </row>
    <row r="73" spans="1:43" ht="15">
      <c r="A73" s="363" t="s">
        <v>2906</v>
      </c>
      <c r="B73" s="363" t="s">
        <v>800</v>
      </c>
      <c r="C73" s="364"/>
      <c r="D73" s="363"/>
      <c r="E73" s="363"/>
      <c r="F73" s="363"/>
      <c r="G73" s="1861">
        <f t="shared" ref="G73:G114" si="34">AH73/AH$115*100</f>
        <v>2.1158782544921158</v>
      </c>
      <c r="H73" s="1861">
        <f>G73</f>
        <v>2.1158782544921158</v>
      </c>
      <c r="I73" s="1861"/>
      <c r="J73" s="1862"/>
      <c r="K73" s="1862"/>
      <c r="L73" s="1862"/>
      <c r="M73" s="1863"/>
      <c r="N73" s="1863"/>
      <c r="O73" s="1863"/>
      <c r="P73" s="1862"/>
      <c r="Q73" s="1862"/>
      <c r="R73" s="1862"/>
      <c r="S73" s="1863"/>
      <c r="T73" s="1863"/>
      <c r="U73" s="1863"/>
      <c r="V73" s="1862"/>
      <c r="W73" s="1862"/>
      <c r="X73" s="1862"/>
      <c r="Y73" s="1863"/>
      <c r="Z73" s="1863">
        <f t="shared" ref="Z73:AA73" si="35">SUM(Z74,Z76,Z78)</f>
        <v>1440</v>
      </c>
      <c r="AA73" s="1863">
        <f t="shared" si="35"/>
        <v>2885</v>
      </c>
      <c r="AB73" s="1862"/>
      <c r="AC73" s="1862"/>
      <c r="AD73" s="1862"/>
      <c r="AE73" s="1863"/>
      <c r="AF73" s="1863">
        <f>SUM(AF74,AF76,AF78)</f>
        <v>2405</v>
      </c>
      <c r="AG73" s="1863">
        <f t="shared" ref="AG73:AI73" si="36">SUM(AG74,AG76,AG78)</f>
        <v>965</v>
      </c>
      <c r="AH73" s="1863">
        <f t="shared" si="36"/>
        <v>8655</v>
      </c>
      <c r="AI73" s="1863">
        <f t="shared" si="36"/>
        <v>8655</v>
      </c>
      <c r="AJ73" s="1864"/>
      <c r="AK73" s="1864"/>
      <c r="AL73" s="1865"/>
      <c r="AM73" s="1864"/>
      <c r="AN73" s="1864"/>
      <c r="AO73" s="1866"/>
      <c r="AP73" s="363" t="s">
        <v>4240</v>
      </c>
      <c r="AQ73" s="1867"/>
    </row>
    <row r="74" spans="1:43" ht="75">
      <c r="A74" s="371" t="s">
        <v>4372</v>
      </c>
      <c r="B74" s="371" t="s">
        <v>4373</v>
      </c>
      <c r="C74" s="372"/>
      <c r="D74" s="371" t="s">
        <v>4374</v>
      </c>
      <c r="E74" s="371" t="s">
        <v>4375</v>
      </c>
      <c r="F74" s="371"/>
      <c r="G74" s="1868">
        <f t="shared" si="34"/>
        <v>0.70529275149737192</v>
      </c>
      <c r="H74" s="1868"/>
      <c r="I74" s="1868"/>
      <c r="J74" s="1869"/>
      <c r="K74" s="1869"/>
      <c r="L74" s="1869"/>
      <c r="M74" s="1870"/>
      <c r="N74" s="1870"/>
      <c r="O74" s="1870"/>
      <c r="P74" s="1869"/>
      <c r="Q74" s="1869"/>
      <c r="R74" s="1869"/>
      <c r="S74" s="1870"/>
      <c r="T74" s="1870"/>
      <c r="U74" s="1870"/>
      <c r="V74" s="1869"/>
      <c r="W74" s="1869"/>
      <c r="X74" s="1869"/>
      <c r="Y74" s="1870">
        <f>SUM(Y75)</f>
        <v>960</v>
      </c>
      <c r="Z74" s="1870"/>
      <c r="AA74" s="1870"/>
      <c r="AB74" s="1869"/>
      <c r="AC74" s="1869"/>
      <c r="AD74" s="1869"/>
      <c r="AE74" s="1870"/>
      <c r="AF74" s="1870">
        <f t="shared" ref="AF74:AI74" si="37">SUM(AF75)</f>
        <v>960</v>
      </c>
      <c r="AG74" s="1870">
        <f t="shared" si="37"/>
        <v>965</v>
      </c>
      <c r="AH74" s="1870">
        <f t="shared" si="37"/>
        <v>2885</v>
      </c>
      <c r="AI74" s="1870">
        <f t="shared" si="37"/>
        <v>2885</v>
      </c>
      <c r="AJ74" s="1871"/>
      <c r="AK74" s="1871"/>
      <c r="AL74" s="533"/>
      <c r="AM74" s="1871"/>
      <c r="AN74" s="1871"/>
      <c r="AO74" s="1872"/>
      <c r="AP74" s="371" t="s">
        <v>4240</v>
      </c>
      <c r="AQ74" s="1873"/>
    </row>
    <row r="75" spans="1:43" ht="90">
      <c r="A75" s="379" t="s">
        <v>4376</v>
      </c>
      <c r="B75" s="22" t="s">
        <v>4377</v>
      </c>
      <c r="C75" s="1281">
        <v>3</v>
      </c>
      <c r="D75" s="379" t="s">
        <v>944</v>
      </c>
      <c r="E75" s="379" t="s">
        <v>4378</v>
      </c>
      <c r="F75" s="379" t="s">
        <v>4379</v>
      </c>
      <c r="G75" s="1874">
        <f t="shared" si="34"/>
        <v>0.70529275149737192</v>
      </c>
      <c r="H75" s="1874"/>
      <c r="I75" s="1874">
        <v>100</v>
      </c>
      <c r="J75" s="1875"/>
      <c r="K75" s="1875"/>
      <c r="L75" s="1875"/>
      <c r="M75" s="1876"/>
      <c r="N75" s="1876"/>
      <c r="O75" s="1876"/>
      <c r="P75" s="1875"/>
      <c r="Q75" s="1875"/>
      <c r="R75" s="1875"/>
      <c r="S75" s="1876"/>
      <c r="T75" s="1876"/>
      <c r="U75" s="1876"/>
      <c r="V75" s="1875"/>
      <c r="W75" s="1875"/>
      <c r="X75" s="1875">
        <v>1</v>
      </c>
      <c r="Y75" s="1876">
        <v>960</v>
      </c>
      <c r="Z75" s="1876"/>
      <c r="AA75" s="1876"/>
      <c r="AB75" s="1875"/>
      <c r="AC75" s="1875">
        <v>1</v>
      </c>
      <c r="AD75" s="1875">
        <v>1</v>
      </c>
      <c r="AE75" s="1876"/>
      <c r="AF75" s="1876">
        <v>960</v>
      </c>
      <c r="AG75" s="1876">
        <v>965</v>
      </c>
      <c r="AH75" s="1876">
        <f>SUM(M75,N75,O75,S75,T75,U75,Y75,Z75,AA75,AE75,AF75,AG75)</f>
        <v>2885</v>
      </c>
      <c r="AI75" s="1666">
        <v>2885</v>
      </c>
      <c r="AJ75" s="1666"/>
      <c r="AK75" s="1877"/>
      <c r="AL75" s="1666"/>
      <c r="AM75" s="1877"/>
      <c r="AN75" s="1877"/>
      <c r="AO75" s="1878" t="s">
        <v>1703</v>
      </c>
      <c r="AP75" s="22" t="s">
        <v>4240</v>
      </c>
      <c r="AQ75" s="1879"/>
    </row>
    <row r="76" spans="1:43" ht="60">
      <c r="A76" s="371" t="s">
        <v>4380</v>
      </c>
      <c r="B76" s="371" t="s">
        <v>4381</v>
      </c>
      <c r="C76" s="372"/>
      <c r="D76" s="371" t="s">
        <v>52</v>
      </c>
      <c r="E76" s="371" t="s">
        <v>4382</v>
      </c>
      <c r="F76" s="371"/>
      <c r="G76" s="1868">
        <f t="shared" si="34"/>
        <v>0.70529275149737192</v>
      </c>
      <c r="H76" s="1868"/>
      <c r="I76" s="1868"/>
      <c r="J76" s="1869"/>
      <c r="K76" s="1869"/>
      <c r="L76" s="1869"/>
      <c r="M76" s="1870"/>
      <c r="N76" s="1870"/>
      <c r="O76" s="1870"/>
      <c r="P76" s="1869"/>
      <c r="Q76" s="1869"/>
      <c r="R76" s="1869"/>
      <c r="S76" s="1870"/>
      <c r="T76" s="1870"/>
      <c r="U76" s="1870"/>
      <c r="V76" s="1869"/>
      <c r="W76" s="1869"/>
      <c r="X76" s="1869"/>
      <c r="Y76" s="1870"/>
      <c r="Z76" s="1870"/>
      <c r="AA76" s="1870">
        <f>SUM(AA77)</f>
        <v>2885</v>
      </c>
      <c r="AB76" s="1869"/>
      <c r="AC76" s="1869"/>
      <c r="AD76" s="1869"/>
      <c r="AE76" s="1870"/>
      <c r="AF76" s="1870"/>
      <c r="AG76" s="1870"/>
      <c r="AH76" s="1870">
        <f t="shared" ref="AH76:AI76" si="38">SUM(AH77)</f>
        <v>2885</v>
      </c>
      <c r="AI76" s="1870">
        <f t="shared" si="38"/>
        <v>2885</v>
      </c>
      <c r="AJ76" s="1871"/>
      <c r="AK76" s="1871"/>
      <c r="AL76" s="533"/>
      <c r="AM76" s="1871"/>
      <c r="AN76" s="1871"/>
      <c r="AO76" s="1872"/>
      <c r="AP76" s="18" t="s">
        <v>4240</v>
      </c>
      <c r="AQ76" s="1873"/>
    </row>
    <row r="77" spans="1:43" ht="60">
      <c r="A77" s="379" t="s">
        <v>4383</v>
      </c>
      <c r="B77" s="22" t="s">
        <v>4384</v>
      </c>
      <c r="C77" s="1281">
        <v>1</v>
      </c>
      <c r="D77" s="379" t="s">
        <v>52</v>
      </c>
      <c r="E77" s="379" t="s">
        <v>4382</v>
      </c>
      <c r="F77" s="379" t="s">
        <v>4385</v>
      </c>
      <c r="G77" s="1874">
        <f t="shared" si="34"/>
        <v>0.70529275149737192</v>
      </c>
      <c r="H77" s="1874"/>
      <c r="I77" s="1874">
        <v>100</v>
      </c>
      <c r="J77" s="1875"/>
      <c r="K77" s="1875"/>
      <c r="L77" s="1875"/>
      <c r="M77" s="1876"/>
      <c r="N77" s="1876"/>
      <c r="O77" s="1876"/>
      <c r="P77" s="1875"/>
      <c r="Q77" s="1875"/>
      <c r="R77" s="1875"/>
      <c r="S77" s="1876"/>
      <c r="T77" s="1876"/>
      <c r="U77" s="1876"/>
      <c r="V77" s="1875"/>
      <c r="W77" s="1875"/>
      <c r="X77" s="1875">
        <v>1</v>
      </c>
      <c r="Y77" s="1876"/>
      <c r="Z77" s="1876"/>
      <c r="AA77" s="1666">
        <v>2885</v>
      </c>
      <c r="AB77" s="1875"/>
      <c r="AC77" s="1875"/>
      <c r="AD77" s="1875"/>
      <c r="AE77" s="1876"/>
      <c r="AF77" s="1876"/>
      <c r="AG77" s="1876"/>
      <c r="AH77" s="1876">
        <f>SUM(M77,N77,O77,S77,T77,U77,Y77,Z77,AA77,AE77,AF77,AG77)</f>
        <v>2885</v>
      </c>
      <c r="AI77" s="1666">
        <v>2885</v>
      </c>
      <c r="AJ77" s="1666"/>
      <c r="AK77" s="1877"/>
      <c r="AL77" s="1666"/>
      <c r="AM77" s="1877"/>
      <c r="AN77" s="1877"/>
      <c r="AO77" s="1878" t="s">
        <v>1703</v>
      </c>
      <c r="AP77" s="22" t="s">
        <v>4240</v>
      </c>
      <c r="AQ77" s="1879"/>
    </row>
    <row r="78" spans="1:43" ht="90">
      <c r="A78" s="371" t="s">
        <v>4386</v>
      </c>
      <c r="B78" s="371" t="s">
        <v>4387</v>
      </c>
      <c r="C78" s="372"/>
      <c r="D78" s="371" t="s">
        <v>52</v>
      </c>
      <c r="E78" s="371" t="s">
        <v>4388</v>
      </c>
      <c r="F78" s="371"/>
      <c r="G78" s="1868">
        <f t="shared" si="34"/>
        <v>0.70529275149737192</v>
      </c>
      <c r="H78" s="1868"/>
      <c r="I78" s="1868"/>
      <c r="J78" s="1869"/>
      <c r="K78" s="1869"/>
      <c r="L78" s="1869"/>
      <c r="M78" s="1870"/>
      <c r="N78" s="1870"/>
      <c r="O78" s="1870"/>
      <c r="P78" s="1869"/>
      <c r="Q78" s="1869"/>
      <c r="R78" s="1869"/>
      <c r="S78" s="1870"/>
      <c r="T78" s="1870"/>
      <c r="U78" s="1870"/>
      <c r="V78" s="1869"/>
      <c r="W78" s="1869"/>
      <c r="X78" s="1869"/>
      <c r="Y78" s="1870"/>
      <c r="Z78" s="1870">
        <f>SUM(Z79)</f>
        <v>1440</v>
      </c>
      <c r="AA78" s="1870"/>
      <c r="AB78" s="1869"/>
      <c r="AC78" s="1869"/>
      <c r="AD78" s="1869"/>
      <c r="AE78" s="1870"/>
      <c r="AF78" s="1870">
        <f>SUM(AF79)</f>
        <v>1445</v>
      </c>
      <c r="AG78" s="1870"/>
      <c r="AH78" s="1870">
        <f t="shared" ref="AH78:AI78" si="39">SUM(AH79)</f>
        <v>2885</v>
      </c>
      <c r="AI78" s="1870">
        <f t="shared" si="39"/>
        <v>2885</v>
      </c>
      <c r="AJ78" s="1871"/>
      <c r="AK78" s="1871"/>
      <c r="AL78" s="533"/>
      <c r="AM78" s="1871"/>
      <c r="AN78" s="1871"/>
      <c r="AO78" s="1872"/>
      <c r="AP78" s="18" t="s">
        <v>4240</v>
      </c>
      <c r="AQ78" s="1873"/>
    </row>
    <row r="79" spans="1:43" ht="90">
      <c r="A79" s="379" t="s">
        <v>4389</v>
      </c>
      <c r="B79" s="22" t="s">
        <v>4390</v>
      </c>
      <c r="C79" s="1281">
        <v>2</v>
      </c>
      <c r="D79" s="379" t="s">
        <v>52</v>
      </c>
      <c r="E79" s="379" t="s">
        <v>4388</v>
      </c>
      <c r="F79" s="379" t="s">
        <v>4391</v>
      </c>
      <c r="G79" s="1874">
        <f t="shared" si="34"/>
        <v>0.70529275149737192</v>
      </c>
      <c r="H79" s="1874"/>
      <c r="I79" s="1874">
        <v>100</v>
      </c>
      <c r="J79" s="1875"/>
      <c r="K79" s="1875"/>
      <c r="L79" s="1875"/>
      <c r="M79" s="1876"/>
      <c r="N79" s="1876"/>
      <c r="O79" s="1876"/>
      <c r="P79" s="1875"/>
      <c r="Q79" s="1875"/>
      <c r="R79" s="1875"/>
      <c r="S79" s="1876"/>
      <c r="T79" s="1876"/>
      <c r="U79" s="1876"/>
      <c r="V79" s="1875"/>
      <c r="W79" s="1875">
        <v>1</v>
      </c>
      <c r="X79" s="1875"/>
      <c r="Y79" s="1876"/>
      <c r="Z79" s="1876">
        <v>1440</v>
      </c>
      <c r="AA79" s="1876"/>
      <c r="AB79" s="1875"/>
      <c r="AC79" s="1875">
        <v>1</v>
      </c>
      <c r="AD79" s="1875"/>
      <c r="AE79" s="1876"/>
      <c r="AF79" s="1876">
        <v>1445</v>
      </c>
      <c r="AG79" s="1876"/>
      <c r="AH79" s="1876">
        <f>SUM(M79,N79,O79,S79,T79,U79,Y79,Z79,AA79,AE79,AF79,AG79)</f>
        <v>2885</v>
      </c>
      <c r="AI79" s="1666">
        <v>2885</v>
      </c>
      <c r="AJ79" s="1666"/>
      <c r="AK79" s="1877"/>
      <c r="AL79" s="1666"/>
      <c r="AM79" s="1877"/>
      <c r="AN79" s="1877"/>
      <c r="AO79" s="1878" t="s">
        <v>1703</v>
      </c>
      <c r="AP79" s="22" t="s">
        <v>4240</v>
      </c>
      <c r="AQ79" s="1879"/>
    </row>
    <row r="80" spans="1:43" ht="30">
      <c r="A80" s="355" t="s">
        <v>4392</v>
      </c>
      <c r="B80" s="355" t="s">
        <v>4393</v>
      </c>
      <c r="C80" s="356"/>
      <c r="D80" s="355"/>
      <c r="E80" s="355"/>
      <c r="F80" s="355"/>
      <c r="G80" s="1855">
        <f t="shared" si="34"/>
        <v>0.4706026158171373</v>
      </c>
      <c r="H80" s="1855"/>
      <c r="I80" s="1855"/>
      <c r="J80" s="1856"/>
      <c r="K80" s="1856"/>
      <c r="L80" s="1856"/>
      <c r="M80" s="1857"/>
      <c r="N80" s="1857"/>
      <c r="O80" s="1857"/>
      <c r="P80" s="1856"/>
      <c r="Q80" s="1856"/>
      <c r="R80" s="1856"/>
      <c r="S80" s="1857"/>
      <c r="T80" s="1857"/>
      <c r="U80" s="1857"/>
      <c r="V80" s="1856"/>
      <c r="W80" s="1856"/>
      <c r="X80" s="1856"/>
      <c r="Y80" s="1857"/>
      <c r="Z80" s="1857"/>
      <c r="AA80" s="1857"/>
      <c r="AB80" s="1856"/>
      <c r="AC80" s="1856"/>
      <c r="AD80" s="1856"/>
      <c r="AE80" s="1857"/>
      <c r="AF80" s="1857"/>
      <c r="AG80" s="1857">
        <f>SUM(AG81)</f>
        <v>1925</v>
      </c>
      <c r="AH80" s="1857">
        <f t="shared" ref="AH80:AI82" si="40">SUM(AH81)</f>
        <v>1925</v>
      </c>
      <c r="AI80" s="1857">
        <f t="shared" si="40"/>
        <v>1925</v>
      </c>
      <c r="AJ80" s="1858"/>
      <c r="AK80" s="1858"/>
      <c r="AL80" s="1651"/>
      <c r="AM80" s="1858"/>
      <c r="AN80" s="1858"/>
      <c r="AO80" s="1859"/>
      <c r="AP80" s="10" t="s">
        <v>4240</v>
      </c>
      <c r="AQ80" s="1860"/>
    </row>
    <row r="81" spans="1:43" ht="15">
      <c r="A81" s="363" t="s">
        <v>4394</v>
      </c>
      <c r="B81" s="363" t="s">
        <v>4395</v>
      </c>
      <c r="C81" s="364"/>
      <c r="D81" s="363"/>
      <c r="E81" s="363"/>
      <c r="F81" s="363"/>
      <c r="G81" s="1861">
        <f t="shared" si="34"/>
        <v>0.4706026158171373</v>
      </c>
      <c r="H81" s="1861">
        <f>G81</f>
        <v>0.4706026158171373</v>
      </c>
      <c r="I81" s="1861"/>
      <c r="J81" s="1862"/>
      <c r="K81" s="1862"/>
      <c r="L81" s="1862"/>
      <c r="M81" s="1863"/>
      <c r="N81" s="1863"/>
      <c r="O81" s="1863"/>
      <c r="P81" s="1862"/>
      <c r="Q81" s="1862"/>
      <c r="R81" s="1862"/>
      <c r="S81" s="1863"/>
      <c r="T81" s="1863"/>
      <c r="U81" s="1863"/>
      <c r="V81" s="1862"/>
      <c r="W81" s="1862"/>
      <c r="X81" s="1862"/>
      <c r="Y81" s="1863"/>
      <c r="Z81" s="1863"/>
      <c r="AA81" s="1863"/>
      <c r="AB81" s="1862"/>
      <c r="AC81" s="1862"/>
      <c r="AD81" s="1862"/>
      <c r="AE81" s="1863"/>
      <c r="AF81" s="1863"/>
      <c r="AG81" s="1863">
        <f>SUM(AG82)</f>
        <v>1925</v>
      </c>
      <c r="AH81" s="1863">
        <f t="shared" si="40"/>
        <v>1925</v>
      </c>
      <c r="AI81" s="1863">
        <f t="shared" si="40"/>
        <v>1925</v>
      </c>
      <c r="AJ81" s="1864"/>
      <c r="AK81" s="1864"/>
      <c r="AL81" s="1865"/>
      <c r="AM81" s="1864"/>
      <c r="AN81" s="1864"/>
      <c r="AO81" s="1866"/>
      <c r="AP81" s="14" t="s">
        <v>4240</v>
      </c>
      <c r="AQ81" s="1867"/>
    </row>
    <row r="82" spans="1:43" ht="45">
      <c r="A82" s="371" t="s">
        <v>4396</v>
      </c>
      <c r="B82" s="371" t="s">
        <v>4397</v>
      </c>
      <c r="C82" s="372"/>
      <c r="D82" s="371" t="s">
        <v>52</v>
      </c>
      <c r="E82" s="371" t="s">
        <v>3687</v>
      </c>
      <c r="F82" s="371" t="s">
        <v>4398</v>
      </c>
      <c r="G82" s="1868">
        <f t="shared" si="34"/>
        <v>0.4706026158171373</v>
      </c>
      <c r="H82" s="1868"/>
      <c r="I82" s="1868"/>
      <c r="J82" s="1869"/>
      <c r="K82" s="1869"/>
      <c r="L82" s="1869"/>
      <c r="M82" s="1870"/>
      <c r="N82" s="1870"/>
      <c r="O82" s="1870"/>
      <c r="P82" s="1869"/>
      <c r="Q82" s="1869"/>
      <c r="R82" s="1869"/>
      <c r="S82" s="1870"/>
      <c r="T82" s="1870"/>
      <c r="U82" s="1870"/>
      <c r="V82" s="1869"/>
      <c r="W82" s="1869"/>
      <c r="X82" s="1869"/>
      <c r="Y82" s="1870"/>
      <c r="Z82" s="1870"/>
      <c r="AA82" s="1870"/>
      <c r="AB82" s="1869"/>
      <c r="AC82" s="1869"/>
      <c r="AD82" s="1869"/>
      <c r="AE82" s="1870"/>
      <c r="AF82" s="1870"/>
      <c r="AG82" s="1870">
        <f>SUM(AG83)</f>
        <v>1925</v>
      </c>
      <c r="AH82" s="1870">
        <f t="shared" si="40"/>
        <v>1925</v>
      </c>
      <c r="AI82" s="1870">
        <f t="shared" si="40"/>
        <v>1925</v>
      </c>
      <c r="AJ82" s="1871"/>
      <c r="AK82" s="1871"/>
      <c r="AL82" s="533"/>
      <c r="AM82" s="1871"/>
      <c r="AN82" s="1871"/>
      <c r="AO82" s="1872"/>
      <c r="AP82" s="18" t="s">
        <v>4240</v>
      </c>
      <c r="AQ82" s="1873"/>
    </row>
    <row r="83" spans="1:43" ht="60">
      <c r="A83" s="379" t="s">
        <v>4399</v>
      </c>
      <c r="B83" s="22" t="s">
        <v>4400</v>
      </c>
      <c r="C83" s="1281">
        <v>1</v>
      </c>
      <c r="D83" s="379" t="s">
        <v>52</v>
      </c>
      <c r="E83" s="379" t="s">
        <v>3687</v>
      </c>
      <c r="F83" s="379" t="s">
        <v>4398</v>
      </c>
      <c r="G83" s="1874">
        <f t="shared" si="34"/>
        <v>0.4706026158171373</v>
      </c>
      <c r="H83" s="1874"/>
      <c r="I83" s="1874">
        <v>100</v>
      </c>
      <c r="J83" s="1875"/>
      <c r="K83" s="1875"/>
      <c r="L83" s="1875"/>
      <c r="M83" s="1876"/>
      <c r="N83" s="1876"/>
      <c r="O83" s="1876"/>
      <c r="P83" s="1875"/>
      <c r="Q83" s="1875"/>
      <c r="R83" s="1875"/>
      <c r="S83" s="1876"/>
      <c r="T83" s="1876"/>
      <c r="U83" s="1876"/>
      <c r="V83" s="1875"/>
      <c r="W83" s="1875"/>
      <c r="X83" s="1875"/>
      <c r="Y83" s="1876"/>
      <c r="Z83" s="1876"/>
      <c r="AA83" s="1876"/>
      <c r="AB83" s="1875"/>
      <c r="AC83" s="1875"/>
      <c r="AD83" s="1875">
        <v>1</v>
      </c>
      <c r="AE83" s="1876"/>
      <c r="AF83" s="1876"/>
      <c r="AG83" s="1666">
        <v>1925</v>
      </c>
      <c r="AH83" s="1876">
        <f>SUM(M83,N83,O83,S83,T83,U83,Y83,Z83,AA83,AE83,AF83,AG83)</f>
        <v>1925</v>
      </c>
      <c r="AI83" s="1666">
        <v>1925</v>
      </c>
      <c r="AJ83" s="1666"/>
      <c r="AK83" s="1877"/>
      <c r="AL83" s="1666"/>
      <c r="AM83" s="1877"/>
      <c r="AN83" s="1877"/>
      <c r="AO83" s="1878" t="s">
        <v>1703</v>
      </c>
      <c r="AP83" s="22" t="s">
        <v>4240</v>
      </c>
      <c r="AQ83" s="1879"/>
    </row>
    <row r="84" spans="1:43" ht="30">
      <c r="A84" s="355" t="s">
        <v>1070</v>
      </c>
      <c r="B84" s="355" t="s">
        <v>1071</v>
      </c>
      <c r="C84" s="356"/>
      <c r="D84" s="355"/>
      <c r="E84" s="355"/>
      <c r="F84" s="355"/>
      <c r="G84" s="1855">
        <f t="shared" si="34"/>
        <v>18.981787067595647</v>
      </c>
      <c r="H84" s="1855"/>
      <c r="I84" s="1855"/>
      <c r="J84" s="1856"/>
      <c r="K84" s="1856"/>
      <c r="L84" s="1856"/>
      <c r="M84" s="1857"/>
      <c r="N84" s="1857"/>
      <c r="O84" s="1857"/>
      <c r="P84" s="1856"/>
      <c r="Q84" s="1856"/>
      <c r="R84" s="1856"/>
      <c r="S84" s="1857"/>
      <c r="T84" s="1857"/>
      <c r="U84" s="1857"/>
      <c r="V84" s="1856"/>
      <c r="W84" s="1856"/>
      <c r="X84" s="1856"/>
      <c r="Y84" s="1857">
        <f>SUM(Y85)</f>
        <v>2715</v>
      </c>
      <c r="Z84" s="1857">
        <f t="shared" ref="Z84:AA85" si="41">SUM(Z85)</f>
        <v>2715</v>
      </c>
      <c r="AA84" s="1857">
        <f t="shared" si="41"/>
        <v>23325</v>
      </c>
      <c r="AB84" s="1856"/>
      <c r="AC84" s="1856"/>
      <c r="AD84" s="1856"/>
      <c r="AE84" s="1857">
        <f t="shared" ref="AE84:AI85" si="42">SUM(AE85)</f>
        <v>2715</v>
      </c>
      <c r="AF84" s="1857">
        <f t="shared" si="42"/>
        <v>2715</v>
      </c>
      <c r="AG84" s="1857">
        <f t="shared" si="42"/>
        <v>43460</v>
      </c>
      <c r="AH84" s="1857">
        <f t="shared" si="42"/>
        <v>77645</v>
      </c>
      <c r="AI84" s="1857">
        <f t="shared" si="42"/>
        <v>77645</v>
      </c>
      <c r="AJ84" s="1858"/>
      <c r="AK84" s="1858"/>
      <c r="AL84" s="1651"/>
      <c r="AM84" s="1858"/>
      <c r="AN84" s="1858"/>
      <c r="AO84" s="1859"/>
      <c r="AP84" s="355" t="s">
        <v>4401</v>
      </c>
      <c r="AQ84" s="1860"/>
    </row>
    <row r="85" spans="1:43" ht="30">
      <c r="A85" s="363" t="s">
        <v>1072</v>
      </c>
      <c r="B85" s="363" t="s">
        <v>1073</v>
      </c>
      <c r="C85" s="364"/>
      <c r="D85" s="363"/>
      <c r="E85" s="363"/>
      <c r="F85" s="363"/>
      <c r="G85" s="1861">
        <f t="shared" si="34"/>
        <v>18.981787067595647</v>
      </c>
      <c r="H85" s="1861">
        <f>G85</f>
        <v>18.981787067595647</v>
      </c>
      <c r="I85" s="1861"/>
      <c r="J85" s="1862"/>
      <c r="K85" s="1862"/>
      <c r="L85" s="1862"/>
      <c r="M85" s="1863"/>
      <c r="N85" s="1863"/>
      <c r="O85" s="1863"/>
      <c r="P85" s="1862"/>
      <c r="Q85" s="1862"/>
      <c r="R85" s="1862"/>
      <c r="S85" s="1863"/>
      <c r="T85" s="1863"/>
      <c r="U85" s="1863"/>
      <c r="V85" s="1862"/>
      <c r="W85" s="1862"/>
      <c r="X85" s="1862"/>
      <c r="Y85" s="1863">
        <f>SUM(Y86)</f>
        <v>2715</v>
      </c>
      <c r="Z85" s="1863">
        <f t="shared" si="41"/>
        <v>2715</v>
      </c>
      <c r="AA85" s="1863">
        <f t="shared" si="41"/>
        <v>23325</v>
      </c>
      <c r="AB85" s="1862"/>
      <c r="AC85" s="1862"/>
      <c r="AD85" s="1862"/>
      <c r="AE85" s="1863">
        <f t="shared" si="42"/>
        <v>2715</v>
      </c>
      <c r="AF85" s="1863">
        <f t="shared" si="42"/>
        <v>2715</v>
      </c>
      <c r="AG85" s="1863">
        <f t="shared" si="42"/>
        <v>43460</v>
      </c>
      <c r="AH85" s="1863">
        <f t="shared" si="42"/>
        <v>77645</v>
      </c>
      <c r="AI85" s="1863">
        <f t="shared" si="42"/>
        <v>77645</v>
      </c>
      <c r="AJ85" s="1864"/>
      <c r="AK85" s="1864"/>
      <c r="AL85" s="1865"/>
      <c r="AM85" s="1864"/>
      <c r="AN85" s="1864"/>
      <c r="AO85" s="1866"/>
      <c r="AP85" s="363" t="s">
        <v>4401</v>
      </c>
      <c r="AQ85" s="1867"/>
    </row>
    <row r="86" spans="1:43" ht="75">
      <c r="A86" s="371" t="s">
        <v>1074</v>
      </c>
      <c r="B86" s="371" t="s">
        <v>1075</v>
      </c>
      <c r="C86" s="372"/>
      <c r="D86" s="371" t="s">
        <v>52</v>
      </c>
      <c r="E86" s="371" t="s">
        <v>1076</v>
      </c>
      <c r="F86" s="371"/>
      <c r="G86" s="1868">
        <f t="shared" si="34"/>
        <v>18.981787067595647</v>
      </c>
      <c r="H86" s="1868"/>
      <c r="I86" s="1868"/>
      <c r="J86" s="1869"/>
      <c r="K86" s="1869"/>
      <c r="L86" s="1869"/>
      <c r="M86" s="1870"/>
      <c r="N86" s="1870"/>
      <c r="O86" s="1870"/>
      <c r="P86" s="1869"/>
      <c r="Q86" s="1869"/>
      <c r="R86" s="1869"/>
      <c r="S86" s="1870"/>
      <c r="T86" s="1870"/>
      <c r="U86" s="1870"/>
      <c r="V86" s="1869"/>
      <c r="W86" s="1869"/>
      <c r="X86" s="1869"/>
      <c r="Y86" s="1870">
        <f t="shared" ref="Y86:AA86" si="43">SUM(Y87:Y90)</f>
        <v>2715</v>
      </c>
      <c r="Z86" s="1870">
        <f t="shared" si="43"/>
        <v>2715</v>
      </c>
      <c r="AA86" s="1870">
        <f t="shared" si="43"/>
        <v>23325</v>
      </c>
      <c r="AB86" s="1869"/>
      <c r="AC86" s="1869"/>
      <c r="AD86" s="1869"/>
      <c r="AE86" s="1870">
        <f t="shared" ref="AE86:AF86" si="44">SUM(AE87:AE90)</f>
        <v>2715</v>
      </c>
      <c r="AF86" s="1870">
        <f t="shared" si="44"/>
        <v>2715</v>
      </c>
      <c r="AG86" s="1870">
        <f>SUM(AG87:AG90)</f>
        <v>43460</v>
      </c>
      <c r="AH86" s="1870">
        <f>SUM(AH87:AH90)</f>
        <v>77645</v>
      </c>
      <c r="AI86" s="1870">
        <f>SUM(AI87:AI90)</f>
        <v>77645</v>
      </c>
      <c r="AJ86" s="1871"/>
      <c r="AK86" s="1871"/>
      <c r="AL86" s="533"/>
      <c r="AM86" s="1871"/>
      <c r="AN86" s="1871"/>
      <c r="AO86" s="1872"/>
      <c r="AP86" s="371" t="s">
        <v>4401</v>
      </c>
      <c r="AQ86" s="1873"/>
    </row>
    <row r="87" spans="1:43" ht="120">
      <c r="A87" s="379" t="s">
        <v>4402</v>
      </c>
      <c r="B87" s="22" t="s">
        <v>4403</v>
      </c>
      <c r="C87" s="1281">
        <v>1</v>
      </c>
      <c r="D87" s="379" t="s">
        <v>52</v>
      </c>
      <c r="E87" s="379" t="s">
        <v>4404</v>
      </c>
      <c r="F87" s="1287" t="s">
        <v>4405</v>
      </c>
      <c r="G87" s="1874">
        <f t="shared" si="34"/>
        <v>0.9399828871776067</v>
      </c>
      <c r="H87" s="1874"/>
      <c r="I87" s="1874">
        <f>AH87/AH$86*100</f>
        <v>4.9520252430935674</v>
      </c>
      <c r="J87" s="1875"/>
      <c r="K87" s="1875"/>
      <c r="L87" s="1875"/>
      <c r="M87" s="1876"/>
      <c r="N87" s="1876"/>
      <c r="O87" s="1876"/>
      <c r="P87" s="1875"/>
      <c r="Q87" s="1875"/>
      <c r="R87" s="1875"/>
      <c r="S87" s="1876"/>
      <c r="T87" s="1876"/>
      <c r="U87" s="1876"/>
      <c r="V87" s="1875"/>
      <c r="W87" s="1875"/>
      <c r="X87" s="1875"/>
      <c r="Y87" s="1876"/>
      <c r="Z87" s="1876"/>
      <c r="AA87" s="1876"/>
      <c r="AB87" s="1875"/>
      <c r="AC87" s="1875"/>
      <c r="AD87" s="1875">
        <v>1</v>
      </c>
      <c r="AE87" s="1876"/>
      <c r="AF87" s="1876"/>
      <c r="AG87" s="1666">
        <v>3845</v>
      </c>
      <c r="AH87" s="1876">
        <f t="shared" ref="AH87:AH90" si="45">SUM(M87,N87,O87,S87,T87,U87,Y87,Z87,AA87,AE87,AF87,AG87)</f>
        <v>3845</v>
      </c>
      <c r="AI87" s="1666">
        <v>3845</v>
      </c>
      <c r="AJ87" s="1666"/>
      <c r="AK87" s="1877"/>
      <c r="AL87" s="1666"/>
      <c r="AM87" s="1877"/>
      <c r="AN87" s="1877"/>
      <c r="AO87" s="1878" t="s">
        <v>1703</v>
      </c>
      <c r="AP87" s="22" t="s">
        <v>4240</v>
      </c>
      <c r="AQ87" s="1879"/>
    </row>
    <row r="88" spans="1:43" ht="75">
      <c r="A88" s="379" t="s">
        <v>4406</v>
      </c>
      <c r="B88" s="379" t="s">
        <v>4407</v>
      </c>
      <c r="C88" s="1281">
        <v>6</v>
      </c>
      <c r="D88" s="379" t="s">
        <v>52</v>
      </c>
      <c r="E88" s="1287" t="s">
        <v>4408</v>
      </c>
      <c r="F88" s="1287" t="s">
        <v>4409</v>
      </c>
      <c r="G88" s="1874">
        <f t="shared" si="34"/>
        <v>3.9823982398239823</v>
      </c>
      <c r="H88" s="1874"/>
      <c r="I88" s="1874">
        <f t="shared" ref="I88:I90" si="46">AH88/AH$86*100</f>
        <v>20.980101745122028</v>
      </c>
      <c r="J88" s="1875"/>
      <c r="K88" s="1875"/>
      <c r="L88" s="1875"/>
      <c r="M88" s="1876"/>
      <c r="N88" s="1876"/>
      <c r="O88" s="1876"/>
      <c r="P88" s="1875"/>
      <c r="Q88" s="1875"/>
      <c r="R88" s="1875"/>
      <c r="S88" s="1876"/>
      <c r="T88" s="1876"/>
      <c r="U88" s="1876"/>
      <c r="V88" s="1875">
        <v>1</v>
      </c>
      <c r="W88" s="1875">
        <v>1</v>
      </c>
      <c r="X88" s="1875">
        <v>1</v>
      </c>
      <c r="Y88" s="1876">
        <v>2715</v>
      </c>
      <c r="Z88" s="1876">
        <v>2715</v>
      </c>
      <c r="AA88" s="1876">
        <v>2715</v>
      </c>
      <c r="AB88" s="1875">
        <v>1</v>
      </c>
      <c r="AC88" s="1875">
        <v>1</v>
      </c>
      <c r="AD88" s="1875">
        <v>1</v>
      </c>
      <c r="AE88" s="1876">
        <v>2715</v>
      </c>
      <c r="AF88" s="1876">
        <v>2715</v>
      </c>
      <c r="AG88" s="1876">
        <v>2715</v>
      </c>
      <c r="AH88" s="1876">
        <f t="shared" si="45"/>
        <v>16290</v>
      </c>
      <c r="AI88" s="1666">
        <v>16290</v>
      </c>
      <c r="AJ88" s="1666"/>
      <c r="AK88" s="1877"/>
      <c r="AL88" s="1666"/>
      <c r="AM88" s="1877"/>
      <c r="AN88" s="1877"/>
      <c r="AO88" s="1878" t="s">
        <v>1703</v>
      </c>
      <c r="AP88" s="22" t="s">
        <v>4269</v>
      </c>
      <c r="AQ88" s="1879"/>
    </row>
    <row r="89" spans="1:43" ht="60">
      <c r="A89" s="379" t="s">
        <v>4410</v>
      </c>
      <c r="B89" s="379" t="s">
        <v>4411</v>
      </c>
      <c r="C89" s="1281">
        <v>44</v>
      </c>
      <c r="D89" s="379" t="s">
        <v>52</v>
      </c>
      <c r="E89" s="379" t="s">
        <v>4412</v>
      </c>
      <c r="F89" s="1287" t="s">
        <v>4413</v>
      </c>
      <c r="G89" s="1874">
        <f t="shared" si="34"/>
        <v>10.077007700770077</v>
      </c>
      <c r="H89" s="1874"/>
      <c r="I89" s="1874">
        <f t="shared" si="46"/>
        <v>53.087771266662372</v>
      </c>
      <c r="J89" s="1875"/>
      <c r="K89" s="1875"/>
      <c r="L89" s="1875"/>
      <c r="M89" s="1876"/>
      <c r="N89" s="1876"/>
      <c r="O89" s="1876"/>
      <c r="P89" s="1875"/>
      <c r="Q89" s="1875"/>
      <c r="R89" s="1875"/>
      <c r="S89" s="1876"/>
      <c r="T89" s="1876"/>
      <c r="U89" s="1876"/>
      <c r="V89" s="1875"/>
      <c r="W89" s="1875"/>
      <c r="X89" s="1875">
        <v>22</v>
      </c>
      <c r="Y89" s="1876"/>
      <c r="Z89" s="1876"/>
      <c r="AA89" s="1876">
        <v>20610</v>
      </c>
      <c r="AB89" s="1875"/>
      <c r="AC89" s="1875"/>
      <c r="AD89" s="1875">
        <v>22</v>
      </c>
      <c r="AE89" s="1876"/>
      <c r="AF89" s="1876"/>
      <c r="AG89" s="1666">
        <v>20610</v>
      </c>
      <c r="AH89" s="1876">
        <f t="shared" si="45"/>
        <v>41220</v>
      </c>
      <c r="AI89" s="1666">
        <v>41220</v>
      </c>
      <c r="AJ89" s="1666"/>
      <c r="AK89" s="1877"/>
      <c r="AL89" s="1666"/>
      <c r="AM89" s="1877"/>
      <c r="AN89" s="1877"/>
      <c r="AO89" s="1878" t="s">
        <v>1703</v>
      </c>
      <c r="AP89" s="22" t="s">
        <v>4414</v>
      </c>
      <c r="AQ89" s="1879"/>
    </row>
    <row r="90" spans="1:43" ht="60">
      <c r="A90" s="379" t="s">
        <v>4415</v>
      </c>
      <c r="B90" s="379" t="s">
        <v>4416</v>
      </c>
      <c r="C90" s="1281">
        <v>1</v>
      </c>
      <c r="D90" s="379" t="s">
        <v>52</v>
      </c>
      <c r="E90" s="1287" t="s">
        <v>4417</v>
      </c>
      <c r="F90" s="1287" t="s">
        <v>4418</v>
      </c>
      <c r="G90" s="1874">
        <f t="shared" si="34"/>
        <v>3.9823982398239823</v>
      </c>
      <c r="H90" s="1874"/>
      <c r="I90" s="1874">
        <f t="shared" si="46"/>
        <v>20.980101745122028</v>
      </c>
      <c r="J90" s="1875"/>
      <c r="K90" s="1875"/>
      <c r="L90" s="1875"/>
      <c r="M90" s="1876"/>
      <c r="N90" s="1876"/>
      <c r="O90" s="1876"/>
      <c r="P90" s="1875"/>
      <c r="Q90" s="1875"/>
      <c r="R90" s="1875"/>
      <c r="S90" s="1876"/>
      <c r="T90" s="1876"/>
      <c r="U90" s="1876"/>
      <c r="V90" s="1875"/>
      <c r="W90" s="1875"/>
      <c r="X90" s="1875"/>
      <c r="Y90" s="1876"/>
      <c r="Z90" s="1876"/>
      <c r="AA90" s="1876"/>
      <c r="AB90" s="1875"/>
      <c r="AC90" s="1875"/>
      <c r="AD90" s="1875">
        <v>1</v>
      </c>
      <c r="AE90" s="1876"/>
      <c r="AF90" s="1876"/>
      <c r="AG90" s="1666">
        <v>16290</v>
      </c>
      <c r="AH90" s="1876">
        <f t="shared" si="45"/>
        <v>16290</v>
      </c>
      <c r="AI90" s="1666">
        <v>16290</v>
      </c>
      <c r="AJ90" s="1666"/>
      <c r="AK90" s="1877"/>
      <c r="AL90" s="1666"/>
      <c r="AM90" s="1877"/>
      <c r="AN90" s="1877"/>
      <c r="AO90" s="1878" t="s">
        <v>1703</v>
      </c>
      <c r="AP90" s="22" t="s">
        <v>4269</v>
      </c>
      <c r="AQ90" s="1879"/>
    </row>
    <row r="91" spans="1:43" ht="45">
      <c r="A91" s="1163" t="s">
        <v>379</v>
      </c>
      <c r="B91" s="1163" t="s">
        <v>808</v>
      </c>
      <c r="C91" s="349"/>
      <c r="D91" s="47"/>
      <c r="E91" s="1885"/>
      <c r="F91" s="1885"/>
      <c r="G91" s="1849">
        <f t="shared" si="34"/>
        <v>27.675100843417678</v>
      </c>
      <c r="H91" s="1849"/>
      <c r="I91" s="1849"/>
      <c r="J91" s="1850"/>
      <c r="K91" s="1850"/>
      <c r="L91" s="1850"/>
      <c r="M91" s="1851"/>
      <c r="N91" s="1851"/>
      <c r="O91" s="1851"/>
      <c r="P91" s="1850"/>
      <c r="Q91" s="1850"/>
      <c r="R91" s="1850"/>
      <c r="S91" s="1851"/>
      <c r="T91" s="1851"/>
      <c r="U91" s="1851"/>
      <c r="V91" s="1850"/>
      <c r="W91" s="1850"/>
      <c r="X91" s="1850"/>
      <c r="Y91" s="1851">
        <f t="shared" ref="Y91:AA91" si="47">SUM(Y92)</f>
        <v>8015</v>
      </c>
      <c r="Z91" s="1851">
        <f t="shared" si="47"/>
        <v>8015</v>
      </c>
      <c r="AA91" s="1851">
        <f t="shared" si="47"/>
        <v>14735</v>
      </c>
      <c r="AB91" s="1850"/>
      <c r="AC91" s="1850"/>
      <c r="AD91" s="1850"/>
      <c r="AE91" s="1851">
        <f>SUM(AE92)</f>
        <v>16015</v>
      </c>
      <c r="AF91" s="1851">
        <f>SUM(AF92)</f>
        <v>8015</v>
      </c>
      <c r="AG91" s="1851">
        <f t="shared" ref="AG91:AI91" si="48">SUM(AG92)</f>
        <v>58265</v>
      </c>
      <c r="AH91" s="1851">
        <f t="shared" si="48"/>
        <v>113205</v>
      </c>
      <c r="AI91" s="1851">
        <f t="shared" si="48"/>
        <v>113350</v>
      </c>
      <c r="AJ91" s="1852"/>
      <c r="AK91" s="1852"/>
      <c r="AL91" s="1643"/>
      <c r="AM91" s="1852"/>
      <c r="AN91" s="1852"/>
      <c r="AO91" s="1853"/>
      <c r="AP91" s="47" t="s">
        <v>4238</v>
      </c>
      <c r="AQ91" s="1854"/>
    </row>
    <row r="92" spans="1:43" ht="60">
      <c r="A92" s="1167" t="s">
        <v>4419</v>
      </c>
      <c r="B92" s="1167" t="s">
        <v>4420</v>
      </c>
      <c r="C92" s="356"/>
      <c r="D92" s="355"/>
      <c r="E92" s="1886"/>
      <c r="F92" s="1886"/>
      <c r="G92" s="1855">
        <f t="shared" si="34"/>
        <v>27.675100843417678</v>
      </c>
      <c r="H92" s="1855"/>
      <c r="I92" s="1855"/>
      <c r="J92" s="1856"/>
      <c r="K92" s="1856"/>
      <c r="L92" s="1856"/>
      <c r="M92" s="1857"/>
      <c r="N92" s="1857"/>
      <c r="O92" s="1857"/>
      <c r="P92" s="1856"/>
      <c r="Q92" s="1856"/>
      <c r="R92" s="1856"/>
      <c r="S92" s="1857"/>
      <c r="T92" s="1857"/>
      <c r="U92" s="1857"/>
      <c r="V92" s="1856"/>
      <c r="W92" s="1856"/>
      <c r="X92" s="1856"/>
      <c r="Y92" s="1857">
        <f t="shared" ref="Y92:AA92" si="49">SUM(Y93,Y97,Y101,Y106)</f>
        <v>8015</v>
      </c>
      <c r="Z92" s="1857">
        <f t="shared" si="49"/>
        <v>8015</v>
      </c>
      <c r="AA92" s="1857">
        <f t="shared" si="49"/>
        <v>14735</v>
      </c>
      <c r="AB92" s="1856"/>
      <c r="AC92" s="1856"/>
      <c r="AD92" s="1856"/>
      <c r="AE92" s="1857">
        <f>SUM(AE93,AE97,AE101,AE106)</f>
        <v>16015</v>
      </c>
      <c r="AF92" s="1857">
        <f>SUM(AF93,AF97,AF101,AF106)</f>
        <v>8015</v>
      </c>
      <c r="AG92" s="1857">
        <f t="shared" ref="AG92:AI92" si="50">SUM(AG93,AG97,AG101,AG106)</f>
        <v>58265</v>
      </c>
      <c r="AH92" s="1857">
        <f t="shared" si="50"/>
        <v>113205</v>
      </c>
      <c r="AI92" s="1857">
        <f t="shared" si="50"/>
        <v>113350</v>
      </c>
      <c r="AJ92" s="1858"/>
      <c r="AK92" s="1858"/>
      <c r="AL92" s="1651"/>
      <c r="AM92" s="1858"/>
      <c r="AN92" s="1858"/>
      <c r="AO92" s="1859"/>
      <c r="AP92" s="10" t="s">
        <v>4421</v>
      </c>
      <c r="AQ92" s="1860"/>
    </row>
    <row r="93" spans="1:43" ht="30">
      <c r="A93" s="1172" t="s">
        <v>4422</v>
      </c>
      <c r="B93" s="1172" t="s">
        <v>4423</v>
      </c>
      <c r="C93" s="364"/>
      <c r="D93" s="363"/>
      <c r="E93" s="1887"/>
      <c r="F93" s="1887"/>
      <c r="G93" s="1861">
        <f t="shared" si="34"/>
        <v>1.9911991199119912</v>
      </c>
      <c r="H93" s="1861">
        <f>G93</f>
        <v>1.9911991199119912</v>
      </c>
      <c r="I93" s="1861"/>
      <c r="J93" s="1862"/>
      <c r="K93" s="1862"/>
      <c r="L93" s="1862"/>
      <c r="M93" s="1863"/>
      <c r="N93" s="1863"/>
      <c r="O93" s="1863"/>
      <c r="P93" s="1862"/>
      <c r="Q93" s="1862"/>
      <c r="R93" s="1862"/>
      <c r="S93" s="1863"/>
      <c r="T93" s="1863"/>
      <c r="U93" s="1863"/>
      <c r="V93" s="1862"/>
      <c r="W93" s="1862"/>
      <c r="X93" s="1862"/>
      <c r="Y93" s="1863"/>
      <c r="Z93" s="1863"/>
      <c r="AA93" s="1863"/>
      <c r="AB93" s="1862"/>
      <c r="AC93" s="1862"/>
      <c r="AD93" s="1862"/>
      <c r="AE93" s="1863">
        <f>SUM(AE94)</f>
        <v>8000</v>
      </c>
      <c r="AF93" s="1863"/>
      <c r="AG93" s="1863"/>
      <c r="AH93" s="1863">
        <f t="shared" ref="AH93:AI93" si="51">SUM(AH94)</f>
        <v>8145</v>
      </c>
      <c r="AI93" s="1863">
        <f t="shared" si="51"/>
        <v>8145</v>
      </c>
      <c r="AJ93" s="1864"/>
      <c r="AK93" s="1864"/>
      <c r="AL93" s="1865"/>
      <c r="AM93" s="1864"/>
      <c r="AN93" s="1864"/>
      <c r="AO93" s="1866"/>
      <c r="AP93" s="14" t="s">
        <v>4269</v>
      </c>
      <c r="AQ93" s="1867"/>
    </row>
    <row r="94" spans="1:43" ht="90">
      <c r="A94" s="1175" t="s">
        <v>4424</v>
      </c>
      <c r="B94" s="371" t="s">
        <v>4425</v>
      </c>
      <c r="C94" s="372"/>
      <c r="D94" s="371"/>
      <c r="E94" s="997"/>
      <c r="F94" s="997"/>
      <c r="G94" s="1868">
        <f t="shared" si="34"/>
        <v>1.9911991199119912</v>
      </c>
      <c r="H94" s="1868"/>
      <c r="I94" s="1868"/>
      <c r="J94" s="1869"/>
      <c r="K94" s="1869"/>
      <c r="L94" s="1869"/>
      <c r="M94" s="1870"/>
      <c r="N94" s="1870"/>
      <c r="O94" s="1870"/>
      <c r="P94" s="1869"/>
      <c r="Q94" s="1869"/>
      <c r="R94" s="1869"/>
      <c r="S94" s="1870"/>
      <c r="T94" s="1870"/>
      <c r="U94" s="1870"/>
      <c r="V94" s="1869"/>
      <c r="W94" s="1869"/>
      <c r="X94" s="1869"/>
      <c r="Y94" s="1870"/>
      <c r="Z94" s="1870"/>
      <c r="AA94" s="1870"/>
      <c r="AB94" s="1869"/>
      <c r="AC94" s="1869"/>
      <c r="AD94" s="1869"/>
      <c r="AE94" s="1870">
        <f>SUM(AE95:AE96)</f>
        <v>8000</v>
      </c>
      <c r="AF94" s="1870"/>
      <c r="AG94" s="1870">
        <f>SUM(AG95:AG96)</f>
        <v>145</v>
      </c>
      <c r="AH94" s="1870">
        <f>SUM(AH95:AH96)</f>
        <v>8145</v>
      </c>
      <c r="AI94" s="1870">
        <f>SUM(AI95:AI96)</f>
        <v>8145</v>
      </c>
      <c r="AJ94" s="1871"/>
      <c r="AK94" s="1871"/>
      <c r="AL94" s="533"/>
      <c r="AM94" s="1871"/>
      <c r="AN94" s="1871"/>
      <c r="AO94" s="1872"/>
      <c r="AP94" s="18" t="s">
        <v>4269</v>
      </c>
      <c r="AQ94" s="1873"/>
    </row>
    <row r="95" spans="1:43" ht="30">
      <c r="A95" s="1179" t="s">
        <v>4426</v>
      </c>
      <c r="B95" s="1888" t="s">
        <v>4427</v>
      </c>
      <c r="C95" s="1281">
        <v>1</v>
      </c>
      <c r="D95" s="379" t="s">
        <v>52</v>
      </c>
      <c r="E95" s="1287" t="s">
        <v>4428</v>
      </c>
      <c r="F95" s="1287" t="s">
        <v>4429</v>
      </c>
      <c r="G95" s="1874">
        <f t="shared" si="34"/>
        <v>1.9557511306686224</v>
      </c>
      <c r="H95" s="1874"/>
      <c r="I95" s="1874">
        <f>AH95/AH94*100</f>
        <v>98.219766728054026</v>
      </c>
      <c r="J95" s="1875"/>
      <c r="K95" s="1875"/>
      <c r="L95" s="1875"/>
      <c r="M95" s="1876"/>
      <c r="N95" s="1876"/>
      <c r="O95" s="1876"/>
      <c r="P95" s="1875"/>
      <c r="Q95" s="1875"/>
      <c r="R95" s="1875"/>
      <c r="S95" s="1876"/>
      <c r="T95" s="1876"/>
      <c r="U95" s="1876"/>
      <c r="V95" s="1875"/>
      <c r="W95" s="1875"/>
      <c r="X95" s="1875"/>
      <c r="Y95" s="1876"/>
      <c r="Z95" s="1876"/>
      <c r="AA95" s="1876"/>
      <c r="AB95" s="1875">
        <v>1</v>
      </c>
      <c r="AC95" s="1875"/>
      <c r="AD95" s="1875"/>
      <c r="AE95" s="1666">
        <v>8000</v>
      </c>
      <c r="AF95" s="1876"/>
      <c r="AG95" s="1876"/>
      <c r="AH95" s="1876">
        <f>SUM(M95,N95,O95,S95,T95,U95,Y95,Z95,AA95,AE95,AF95,AG95)</f>
        <v>8000</v>
      </c>
      <c r="AI95" s="1666">
        <f>AH95</f>
        <v>8000</v>
      </c>
      <c r="AJ95" s="1666"/>
      <c r="AK95" s="1877"/>
      <c r="AL95" s="1666"/>
      <c r="AM95" s="1877"/>
      <c r="AN95" s="1877"/>
      <c r="AO95" s="1878" t="s">
        <v>1703</v>
      </c>
      <c r="AP95" s="22" t="s">
        <v>4269</v>
      </c>
      <c r="AQ95" s="1879"/>
    </row>
    <row r="96" spans="1:43" ht="30">
      <c r="A96" s="1179" t="s">
        <v>4430</v>
      </c>
      <c r="B96" s="1888" t="s">
        <v>4431</v>
      </c>
      <c r="C96" s="1281">
        <v>1</v>
      </c>
      <c r="D96" s="379" t="s">
        <v>52</v>
      </c>
      <c r="E96" s="1287" t="s">
        <v>4432</v>
      </c>
      <c r="F96" s="1287" t="s">
        <v>4433</v>
      </c>
      <c r="G96" s="1874">
        <f t="shared" si="34"/>
        <v>3.5447989243368783E-2</v>
      </c>
      <c r="H96" s="1874"/>
      <c r="I96" s="1874">
        <f>AH96/AH$94*100</f>
        <v>1.780233271945979</v>
      </c>
      <c r="J96" s="1875"/>
      <c r="K96" s="1875"/>
      <c r="L96" s="1875"/>
      <c r="M96" s="1876"/>
      <c r="N96" s="1876"/>
      <c r="O96" s="1876"/>
      <c r="P96" s="1875"/>
      <c r="Q96" s="1875"/>
      <c r="R96" s="1875"/>
      <c r="S96" s="1876"/>
      <c r="T96" s="1876"/>
      <c r="U96" s="1876"/>
      <c r="V96" s="1875"/>
      <c r="W96" s="1875"/>
      <c r="X96" s="1875"/>
      <c r="Y96" s="1876"/>
      <c r="Z96" s="1876"/>
      <c r="AA96" s="1876"/>
      <c r="AB96" s="1875"/>
      <c r="AC96" s="1875"/>
      <c r="AD96" s="1875">
        <v>1</v>
      </c>
      <c r="AE96" s="1666"/>
      <c r="AF96" s="1876"/>
      <c r="AG96" s="1876">
        <v>145</v>
      </c>
      <c r="AH96" s="1876">
        <f>SUM(M96,N96,O96,S96,T96,U96,Y96,Z96,AA96,AE96,AF96,AG96)</f>
        <v>145</v>
      </c>
      <c r="AI96" s="1666">
        <f>AH96</f>
        <v>145</v>
      </c>
      <c r="AJ96" s="1889"/>
      <c r="AK96" s="1877"/>
      <c r="AL96" s="1666"/>
      <c r="AM96" s="1877"/>
      <c r="AN96" s="1877"/>
      <c r="AO96" s="1878" t="s">
        <v>1703</v>
      </c>
      <c r="AP96" s="22" t="s">
        <v>4269</v>
      </c>
      <c r="AQ96" s="1879"/>
    </row>
    <row r="97" spans="1:43" ht="15">
      <c r="A97" s="1172" t="s">
        <v>4434</v>
      </c>
      <c r="B97" s="1172" t="s">
        <v>4435</v>
      </c>
      <c r="C97" s="364"/>
      <c r="D97" s="363"/>
      <c r="E97" s="1887"/>
      <c r="F97" s="1887"/>
      <c r="G97" s="1861">
        <f t="shared" si="34"/>
        <v>0.9399828871776067</v>
      </c>
      <c r="H97" s="1861">
        <f>G97</f>
        <v>0.9399828871776067</v>
      </c>
      <c r="I97" s="1861"/>
      <c r="J97" s="1862"/>
      <c r="K97" s="1862"/>
      <c r="L97" s="1862"/>
      <c r="M97" s="1863"/>
      <c r="N97" s="1863"/>
      <c r="O97" s="1863"/>
      <c r="P97" s="1862"/>
      <c r="Q97" s="1862"/>
      <c r="R97" s="1862"/>
      <c r="S97" s="1863"/>
      <c r="T97" s="1863"/>
      <c r="U97" s="1863"/>
      <c r="V97" s="1862"/>
      <c r="W97" s="1862"/>
      <c r="X97" s="1862"/>
      <c r="Y97" s="1863"/>
      <c r="Z97" s="1863"/>
      <c r="AA97" s="1863"/>
      <c r="AB97" s="1862"/>
      <c r="AC97" s="1862"/>
      <c r="AD97" s="1862"/>
      <c r="AE97" s="1863"/>
      <c r="AF97" s="1863"/>
      <c r="AG97" s="1863">
        <f t="shared" ref="AG97:AI97" si="52">SUM(AG98)</f>
        <v>3845</v>
      </c>
      <c r="AH97" s="1863">
        <f t="shared" si="52"/>
        <v>3845</v>
      </c>
      <c r="AI97" s="1863">
        <f t="shared" si="52"/>
        <v>3845</v>
      </c>
      <c r="AJ97" s="1864"/>
      <c r="AK97" s="1864"/>
      <c r="AL97" s="1865"/>
      <c r="AM97" s="1864"/>
      <c r="AN97" s="1864"/>
      <c r="AO97" s="1866"/>
      <c r="AP97" s="14" t="s">
        <v>4240</v>
      </c>
      <c r="AQ97" s="1867"/>
    </row>
    <row r="98" spans="1:43" ht="135">
      <c r="A98" s="1175" t="s">
        <v>4436</v>
      </c>
      <c r="B98" s="371" t="s">
        <v>4437</v>
      </c>
      <c r="C98" s="372"/>
      <c r="D98" s="371"/>
      <c r="E98" s="997"/>
      <c r="F98" s="997"/>
      <c r="G98" s="1868">
        <f t="shared" si="34"/>
        <v>0.9399828871776067</v>
      </c>
      <c r="H98" s="1868"/>
      <c r="I98" s="1868"/>
      <c r="J98" s="1869"/>
      <c r="K98" s="1869"/>
      <c r="L98" s="1869"/>
      <c r="M98" s="1870"/>
      <c r="N98" s="1870"/>
      <c r="O98" s="1870"/>
      <c r="P98" s="1869"/>
      <c r="Q98" s="1869"/>
      <c r="R98" s="1869"/>
      <c r="S98" s="1870"/>
      <c r="T98" s="1870"/>
      <c r="U98" s="1870"/>
      <c r="V98" s="1869"/>
      <c r="W98" s="1869"/>
      <c r="X98" s="1869"/>
      <c r="Y98" s="1870"/>
      <c r="Z98" s="1870"/>
      <c r="AA98" s="1870"/>
      <c r="AB98" s="1869"/>
      <c r="AC98" s="1869"/>
      <c r="AD98" s="1869"/>
      <c r="AE98" s="1870"/>
      <c r="AF98" s="1870"/>
      <c r="AG98" s="1870">
        <f>SUM(AG99:AG100)</f>
        <v>3845</v>
      </c>
      <c r="AH98" s="1870">
        <f t="shared" ref="AH98:AI98" si="53">SUM(AH99:AH100)</f>
        <v>3845</v>
      </c>
      <c r="AI98" s="1870">
        <f t="shared" si="53"/>
        <v>3845</v>
      </c>
      <c r="AJ98" s="1871"/>
      <c r="AK98" s="1871"/>
      <c r="AL98" s="533"/>
      <c r="AM98" s="1871"/>
      <c r="AN98" s="1871"/>
      <c r="AO98" s="1872"/>
      <c r="AP98" s="18" t="s">
        <v>4240</v>
      </c>
      <c r="AQ98" s="1873"/>
    </row>
    <row r="99" spans="1:43" ht="60">
      <c r="A99" s="1179" t="s">
        <v>4438</v>
      </c>
      <c r="B99" s="379" t="s">
        <v>4439</v>
      </c>
      <c r="C99" s="1281">
        <v>2</v>
      </c>
      <c r="D99" s="379" t="s">
        <v>57</v>
      </c>
      <c r="E99" s="1287" t="s">
        <v>4440</v>
      </c>
      <c r="F99" s="1287" t="s">
        <v>4441</v>
      </c>
      <c r="G99" s="1874">
        <f t="shared" si="34"/>
        <v>0.9045348979342378</v>
      </c>
      <c r="H99" s="1874"/>
      <c r="I99" s="1874">
        <f>AH99/AH$98*100</f>
        <v>96.228868660598181</v>
      </c>
      <c r="J99" s="1875"/>
      <c r="K99" s="1875"/>
      <c r="L99" s="1875"/>
      <c r="M99" s="1876"/>
      <c r="N99" s="1876"/>
      <c r="O99" s="1876"/>
      <c r="P99" s="1875"/>
      <c r="Q99" s="1875"/>
      <c r="R99" s="1875"/>
      <c r="S99" s="1876"/>
      <c r="T99" s="1876"/>
      <c r="U99" s="1876"/>
      <c r="V99" s="1875"/>
      <c r="W99" s="1875"/>
      <c r="X99" s="1875"/>
      <c r="Y99" s="1876"/>
      <c r="Z99" s="1876"/>
      <c r="AA99" s="1876"/>
      <c r="AB99" s="1875"/>
      <c r="AC99" s="1875"/>
      <c r="AD99" s="1875">
        <v>2</v>
      </c>
      <c r="AE99" s="1876"/>
      <c r="AF99" s="1876"/>
      <c r="AG99" s="1666">
        <v>3700</v>
      </c>
      <c r="AH99" s="1876">
        <f>SUM(M99,N99,O99,S99,T99,U99,Y99,Z99,AA99,AE99,AF99,AG99)</f>
        <v>3700</v>
      </c>
      <c r="AI99" s="1666">
        <v>3700</v>
      </c>
      <c r="AJ99" s="1666"/>
      <c r="AK99" s="1877"/>
      <c r="AL99" s="1666"/>
      <c r="AM99" s="1877"/>
      <c r="AN99" s="1877"/>
      <c r="AO99" s="1878" t="s">
        <v>1703</v>
      </c>
      <c r="AP99" s="22" t="s">
        <v>4240</v>
      </c>
      <c r="AQ99" s="1879"/>
    </row>
    <row r="100" spans="1:43" ht="30">
      <c r="A100" s="1179" t="s">
        <v>4442</v>
      </c>
      <c r="B100" s="1888" t="s">
        <v>4443</v>
      </c>
      <c r="C100" s="1281">
        <v>1</v>
      </c>
      <c r="D100" s="379" t="s">
        <v>52</v>
      </c>
      <c r="E100" s="1287" t="s">
        <v>4432</v>
      </c>
      <c r="F100" s="1287" t="s">
        <v>4433</v>
      </c>
      <c r="G100" s="1874">
        <f t="shared" si="34"/>
        <v>3.5447989243368783E-2</v>
      </c>
      <c r="H100" s="1874"/>
      <c r="I100" s="1874">
        <f>AH100/AH$98*100</f>
        <v>3.7711313394018204</v>
      </c>
      <c r="J100" s="1875"/>
      <c r="K100" s="1875"/>
      <c r="L100" s="1875"/>
      <c r="M100" s="1876"/>
      <c r="N100" s="1876"/>
      <c r="O100" s="1876"/>
      <c r="P100" s="1875"/>
      <c r="Q100" s="1875"/>
      <c r="R100" s="1875"/>
      <c r="S100" s="1876"/>
      <c r="T100" s="1876"/>
      <c r="U100" s="1876"/>
      <c r="V100" s="1875"/>
      <c r="W100" s="1875"/>
      <c r="X100" s="1875"/>
      <c r="Y100" s="1876"/>
      <c r="Z100" s="1876"/>
      <c r="AA100" s="1876"/>
      <c r="AB100" s="1875"/>
      <c r="AC100" s="1875"/>
      <c r="AD100" s="1875">
        <v>1</v>
      </c>
      <c r="AE100" s="1876"/>
      <c r="AF100" s="1876"/>
      <c r="AG100" s="1666">
        <v>145</v>
      </c>
      <c r="AH100" s="1876">
        <v>145</v>
      </c>
      <c r="AI100" s="1666">
        <v>145</v>
      </c>
      <c r="AJ100" s="1889"/>
      <c r="AK100" s="1877"/>
      <c r="AL100" s="1666"/>
      <c r="AM100" s="1877"/>
      <c r="AN100" s="1877"/>
      <c r="AO100" s="1878" t="s">
        <v>1703</v>
      </c>
      <c r="AP100" s="22" t="s">
        <v>4240</v>
      </c>
      <c r="AQ100" s="1879"/>
    </row>
    <row r="101" spans="1:43" ht="15">
      <c r="A101" s="1172" t="s">
        <v>4444</v>
      </c>
      <c r="B101" s="1172" t="s">
        <v>4445</v>
      </c>
      <c r="C101" s="364"/>
      <c r="D101" s="363"/>
      <c r="E101" s="1887"/>
      <c r="F101" s="1887"/>
      <c r="G101" s="1861">
        <f t="shared" si="34"/>
        <v>1.2321232123212322</v>
      </c>
      <c r="H101" s="1861">
        <f>G101</f>
        <v>1.2321232123212322</v>
      </c>
      <c r="I101" s="1861"/>
      <c r="J101" s="1862"/>
      <c r="K101" s="1862"/>
      <c r="L101" s="1862"/>
      <c r="M101" s="1863"/>
      <c r="N101" s="1863"/>
      <c r="O101" s="1863"/>
      <c r="P101" s="1862"/>
      <c r="Q101" s="1862"/>
      <c r="R101" s="1862"/>
      <c r="S101" s="1863"/>
      <c r="T101" s="1863"/>
      <c r="U101" s="1863"/>
      <c r="V101" s="1862"/>
      <c r="W101" s="1862"/>
      <c r="X101" s="1862"/>
      <c r="Y101" s="1863"/>
      <c r="Z101" s="1863"/>
      <c r="AA101" s="1863"/>
      <c r="AB101" s="1862"/>
      <c r="AC101" s="1862"/>
      <c r="AD101" s="1862"/>
      <c r="AE101" s="1863"/>
      <c r="AF101" s="1863"/>
      <c r="AG101" s="1863">
        <f t="shared" ref="AG101:AI101" si="54">SUM(AG102)</f>
        <v>5040</v>
      </c>
      <c r="AH101" s="1863">
        <f t="shared" si="54"/>
        <v>5040</v>
      </c>
      <c r="AI101" s="1863">
        <f t="shared" si="54"/>
        <v>5185</v>
      </c>
      <c r="AJ101" s="1864"/>
      <c r="AK101" s="1864"/>
      <c r="AL101" s="1865"/>
      <c r="AM101" s="1864"/>
      <c r="AN101" s="1864"/>
      <c r="AO101" s="1866"/>
      <c r="AP101" s="14" t="s">
        <v>4272</v>
      </c>
      <c r="AQ101" s="1867"/>
    </row>
    <row r="102" spans="1:43" ht="120">
      <c r="A102" s="1175" t="s">
        <v>4446</v>
      </c>
      <c r="B102" s="371" t="s">
        <v>4447</v>
      </c>
      <c r="C102" s="372"/>
      <c r="D102" s="371"/>
      <c r="E102" s="997"/>
      <c r="F102" s="997"/>
      <c r="G102" s="1868">
        <f t="shared" si="34"/>
        <v>1.2321232123212322</v>
      </c>
      <c r="H102" s="1868"/>
      <c r="I102" s="1868"/>
      <c r="J102" s="1869"/>
      <c r="K102" s="1869"/>
      <c r="L102" s="1869"/>
      <c r="M102" s="1870"/>
      <c r="N102" s="1870"/>
      <c r="O102" s="1870"/>
      <c r="P102" s="1869"/>
      <c r="Q102" s="1869"/>
      <c r="R102" s="1869"/>
      <c r="S102" s="1870"/>
      <c r="T102" s="1870"/>
      <c r="U102" s="1870"/>
      <c r="V102" s="1869"/>
      <c r="W102" s="1869"/>
      <c r="X102" s="1869"/>
      <c r="Y102" s="1870"/>
      <c r="Z102" s="1870"/>
      <c r="AA102" s="1870"/>
      <c r="AB102" s="1869"/>
      <c r="AC102" s="1869"/>
      <c r="AD102" s="1869"/>
      <c r="AE102" s="1870"/>
      <c r="AF102" s="1870"/>
      <c r="AG102" s="1870">
        <f>SUM(AG103,AG104,AG105)</f>
        <v>5040</v>
      </c>
      <c r="AH102" s="1870">
        <f t="shared" ref="AH102:AI102" si="55">SUM(AH103,AH104,AH105)</f>
        <v>5040</v>
      </c>
      <c r="AI102" s="1870">
        <f t="shared" si="55"/>
        <v>5185</v>
      </c>
      <c r="AJ102" s="1871"/>
      <c r="AK102" s="1871"/>
      <c r="AL102" s="533"/>
      <c r="AM102" s="1871"/>
      <c r="AN102" s="1871"/>
      <c r="AO102" s="1872"/>
      <c r="AP102" s="18" t="s">
        <v>4272</v>
      </c>
      <c r="AQ102" s="1873"/>
    </row>
    <row r="103" spans="1:43" ht="45">
      <c r="A103" s="1179" t="s">
        <v>4448</v>
      </c>
      <c r="B103" s="379" t="s">
        <v>4449</v>
      </c>
      <c r="C103" s="1281">
        <v>1</v>
      </c>
      <c r="D103" s="379" t="s">
        <v>309</v>
      </c>
      <c r="E103" s="1287" t="s">
        <v>4450</v>
      </c>
      <c r="F103" s="1287" t="s">
        <v>4451</v>
      </c>
      <c r="G103" s="1874">
        <f t="shared" si="34"/>
        <v>0.59772643931059766</v>
      </c>
      <c r="H103" s="1874"/>
      <c r="I103" s="1874">
        <f>AH103/AH$102*100</f>
        <v>48.511904761904759</v>
      </c>
      <c r="J103" s="1875"/>
      <c r="K103" s="1875"/>
      <c r="L103" s="1875"/>
      <c r="M103" s="1876"/>
      <c r="N103" s="1876"/>
      <c r="O103" s="1876"/>
      <c r="P103" s="1875"/>
      <c r="Q103" s="1875"/>
      <c r="R103" s="1875"/>
      <c r="S103" s="1876"/>
      <c r="T103" s="1876"/>
      <c r="U103" s="1876"/>
      <c r="V103" s="1875"/>
      <c r="W103" s="1875"/>
      <c r="X103" s="1875"/>
      <c r="Y103" s="1876"/>
      <c r="Z103" s="1876"/>
      <c r="AA103" s="1876"/>
      <c r="AB103" s="1875"/>
      <c r="AC103" s="1875"/>
      <c r="AD103" s="1875">
        <v>1</v>
      </c>
      <c r="AE103" s="1876"/>
      <c r="AF103" s="1876"/>
      <c r="AG103" s="1666">
        <v>2445</v>
      </c>
      <c r="AH103" s="1876">
        <f t="shared" ref="AH103:AH104" si="56">SUM(M103,N103,O103,S103,T103,U103,Y103,Z103,AA103,AE103,AF103,AG103)</f>
        <v>2445</v>
      </c>
      <c r="AI103" s="1666">
        <v>2520</v>
      </c>
      <c r="AJ103" s="1666"/>
      <c r="AK103" s="1877"/>
      <c r="AL103" s="1666"/>
      <c r="AM103" s="1877"/>
      <c r="AN103" s="1877"/>
      <c r="AO103" s="1878" t="s">
        <v>1703</v>
      </c>
      <c r="AP103" s="22" t="s">
        <v>4272</v>
      </c>
      <c r="AQ103" s="1879"/>
    </row>
    <row r="104" spans="1:43" ht="30">
      <c r="A104" s="1179" t="s">
        <v>4452</v>
      </c>
      <c r="B104" s="379" t="s">
        <v>4453</v>
      </c>
      <c r="C104" s="1281">
        <v>1</v>
      </c>
      <c r="D104" s="379" t="s">
        <v>1492</v>
      </c>
      <c r="E104" s="1287" t="s">
        <v>4454</v>
      </c>
      <c r="F104" s="1287" t="s">
        <v>4455</v>
      </c>
      <c r="G104" s="1874">
        <f t="shared" si="34"/>
        <v>0.59894878376726557</v>
      </c>
      <c r="H104" s="1874"/>
      <c r="I104" s="1874">
        <f t="shared" ref="I104:I105" si="57">AH104/AH$102*100</f>
        <v>48.611111111111107</v>
      </c>
      <c r="J104" s="1875"/>
      <c r="K104" s="1875"/>
      <c r="L104" s="1875"/>
      <c r="M104" s="1876"/>
      <c r="N104" s="1876"/>
      <c r="O104" s="1876"/>
      <c r="P104" s="1875"/>
      <c r="Q104" s="1875"/>
      <c r="R104" s="1875"/>
      <c r="S104" s="1876"/>
      <c r="T104" s="1876"/>
      <c r="U104" s="1876"/>
      <c r="V104" s="1875"/>
      <c r="W104" s="1875"/>
      <c r="X104" s="1875"/>
      <c r="Y104" s="1876"/>
      <c r="Z104" s="1876"/>
      <c r="AA104" s="1876"/>
      <c r="AB104" s="1875"/>
      <c r="AC104" s="1875"/>
      <c r="AD104" s="1875">
        <v>1</v>
      </c>
      <c r="AE104" s="1876"/>
      <c r="AF104" s="1876"/>
      <c r="AG104" s="1666">
        <v>2450</v>
      </c>
      <c r="AH104" s="1876">
        <f t="shared" si="56"/>
        <v>2450</v>
      </c>
      <c r="AI104" s="1666">
        <v>2520</v>
      </c>
      <c r="AJ104" s="1666"/>
      <c r="AK104" s="1877"/>
      <c r="AL104" s="1666"/>
      <c r="AM104" s="1877"/>
      <c r="AN104" s="1877"/>
      <c r="AO104" s="1878" t="s">
        <v>1703</v>
      </c>
      <c r="AP104" s="22" t="s">
        <v>4272</v>
      </c>
      <c r="AQ104" s="1879"/>
    </row>
    <row r="105" spans="1:43" ht="30">
      <c r="A105" s="1179" t="s">
        <v>4456</v>
      </c>
      <c r="B105" s="1888" t="s">
        <v>4457</v>
      </c>
      <c r="C105" s="1281">
        <v>1</v>
      </c>
      <c r="D105" s="379" t="s">
        <v>52</v>
      </c>
      <c r="E105" s="1287" t="s">
        <v>4432</v>
      </c>
      <c r="F105" s="1287" t="s">
        <v>4433</v>
      </c>
      <c r="G105" s="1874">
        <f t="shared" si="34"/>
        <v>3.5447989243368783E-2</v>
      </c>
      <c r="H105" s="1874"/>
      <c r="I105" s="1874">
        <f t="shared" si="57"/>
        <v>2.876984126984127</v>
      </c>
      <c r="J105" s="1875"/>
      <c r="K105" s="1875"/>
      <c r="L105" s="1875"/>
      <c r="M105" s="1876"/>
      <c r="N105" s="1876"/>
      <c r="O105" s="1876"/>
      <c r="P105" s="1875"/>
      <c r="Q105" s="1875"/>
      <c r="R105" s="1875"/>
      <c r="S105" s="1876"/>
      <c r="T105" s="1876"/>
      <c r="U105" s="1876"/>
      <c r="V105" s="1875"/>
      <c r="W105" s="1875"/>
      <c r="X105" s="1875"/>
      <c r="Y105" s="1876"/>
      <c r="Z105" s="1876"/>
      <c r="AA105" s="1876"/>
      <c r="AB105" s="1875"/>
      <c r="AC105" s="1875"/>
      <c r="AD105" s="1875">
        <v>1</v>
      </c>
      <c r="AE105" s="1876"/>
      <c r="AF105" s="1876"/>
      <c r="AG105" s="1666">
        <v>145</v>
      </c>
      <c r="AH105" s="1876">
        <v>145</v>
      </c>
      <c r="AI105" s="1666">
        <v>145</v>
      </c>
      <c r="AJ105" s="1889"/>
      <c r="AK105" s="1877"/>
      <c r="AL105" s="1666"/>
      <c r="AM105" s="1877"/>
      <c r="AN105" s="1877"/>
      <c r="AO105" s="1878" t="s">
        <v>1703</v>
      </c>
      <c r="AP105" s="22" t="s">
        <v>4272</v>
      </c>
      <c r="AQ105" s="1879"/>
    </row>
    <row r="106" spans="1:43" ht="15">
      <c r="A106" s="1172" t="s">
        <v>4458</v>
      </c>
      <c r="B106" s="1172" t="s">
        <v>4459</v>
      </c>
      <c r="C106" s="364"/>
      <c r="D106" s="363"/>
      <c r="E106" s="1887"/>
      <c r="F106" s="1887"/>
      <c r="G106" s="1861">
        <f t="shared" si="34"/>
        <v>23.511795624006844</v>
      </c>
      <c r="H106" s="1861">
        <f>G106</f>
        <v>23.511795624006844</v>
      </c>
      <c r="I106" s="1861"/>
      <c r="J106" s="1862"/>
      <c r="K106" s="1862"/>
      <c r="L106" s="1862"/>
      <c r="M106" s="1863"/>
      <c r="N106" s="1863"/>
      <c r="O106" s="1863"/>
      <c r="P106" s="1862"/>
      <c r="Q106" s="1862"/>
      <c r="R106" s="1862"/>
      <c r="S106" s="1863"/>
      <c r="T106" s="1863"/>
      <c r="U106" s="1863"/>
      <c r="V106" s="1862"/>
      <c r="W106" s="1862"/>
      <c r="X106" s="1862"/>
      <c r="Y106" s="1863">
        <f t="shared" ref="Y106:AA106" si="58">SUM(Y107)</f>
        <v>8015</v>
      </c>
      <c r="Z106" s="1863">
        <f t="shared" si="58"/>
        <v>8015</v>
      </c>
      <c r="AA106" s="1863">
        <f t="shared" si="58"/>
        <v>14735</v>
      </c>
      <c r="AB106" s="1862"/>
      <c r="AC106" s="1862"/>
      <c r="AD106" s="1862"/>
      <c r="AE106" s="1863">
        <f t="shared" ref="AE106:AI106" si="59">SUM(AE107)</f>
        <v>8015</v>
      </c>
      <c r="AF106" s="1863">
        <f t="shared" si="59"/>
        <v>8015</v>
      </c>
      <c r="AG106" s="1863">
        <f t="shared" si="59"/>
        <v>49380</v>
      </c>
      <c r="AH106" s="1863">
        <f t="shared" si="59"/>
        <v>96175</v>
      </c>
      <c r="AI106" s="1863">
        <f t="shared" si="59"/>
        <v>96175</v>
      </c>
      <c r="AJ106" s="1864"/>
      <c r="AK106" s="1864"/>
      <c r="AL106" s="1865"/>
      <c r="AM106" s="1864"/>
      <c r="AN106" s="1864"/>
      <c r="AO106" s="1866"/>
      <c r="AP106" s="14" t="s">
        <v>4460</v>
      </c>
      <c r="AQ106" s="1867"/>
    </row>
    <row r="107" spans="1:43" ht="195">
      <c r="A107" s="1175" t="s">
        <v>4461</v>
      </c>
      <c r="B107" s="371" t="s">
        <v>4462</v>
      </c>
      <c r="C107" s="372"/>
      <c r="D107" s="371"/>
      <c r="E107" s="997"/>
      <c r="F107" s="997"/>
      <c r="G107" s="1868">
        <f t="shared" si="34"/>
        <v>23.511795624006844</v>
      </c>
      <c r="H107" s="1868"/>
      <c r="I107" s="1868"/>
      <c r="J107" s="1869"/>
      <c r="K107" s="1869"/>
      <c r="L107" s="1869"/>
      <c r="M107" s="1870"/>
      <c r="N107" s="1870"/>
      <c r="O107" s="1870"/>
      <c r="P107" s="1869"/>
      <c r="Q107" s="1869"/>
      <c r="R107" s="1869"/>
      <c r="S107" s="1870"/>
      <c r="T107" s="1870"/>
      <c r="U107" s="1870"/>
      <c r="V107" s="1869"/>
      <c r="W107" s="1869"/>
      <c r="X107" s="1869"/>
      <c r="Y107" s="1870">
        <f>SUM(Y108:Y114)</f>
        <v>8015</v>
      </c>
      <c r="Z107" s="1870">
        <f t="shared" ref="Z107:AA107" si="60">SUM(Z108:Z114)</f>
        <v>8015</v>
      </c>
      <c r="AA107" s="1870">
        <f t="shared" si="60"/>
        <v>14735</v>
      </c>
      <c r="AB107" s="1869"/>
      <c r="AC107" s="1869"/>
      <c r="AD107" s="1869"/>
      <c r="AE107" s="1870">
        <f t="shared" ref="AE107:AI107" si="61">SUM(AE108:AE114)</f>
        <v>8015</v>
      </c>
      <c r="AF107" s="1870">
        <f t="shared" si="61"/>
        <v>8015</v>
      </c>
      <c r="AG107" s="1870">
        <f t="shared" si="61"/>
        <v>49380</v>
      </c>
      <c r="AH107" s="1870">
        <f t="shared" si="61"/>
        <v>96175</v>
      </c>
      <c r="AI107" s="1870">
        <f t="shared" si="61"/>
        <v>96175</v>
      </c>
      <c r="AJ107" s="1871"/>
      <c r="AK107" s="1871"/>
      <c r="AL107" s="533"/>
      <c r="AM107" s="1871"/>
      <c r="AN107" s="1871"/>
      <c r="AO107" s="1872"/>
      <c r="AP107" s="18" t="s">
        <v>4460</v>
      </c>
      <c r="AQ107" s="1873"/>
    </row>
    <row r="108" spans="1:43" ht="45">
      <c r="A108" s="1179" t="s">
        <v>4463</v>
      </c>
      <c r="B108" s="379" t="s">
        <v>4464</v>
      </c>
      <c r="C108" s="1281">
        <v>1</v>
      </c>
      <c r="D108" s="379" t="s">
        <v>52</v>
      </c>
      <c r="E108" s="1287" t="s">
        <v>4465</v>
      </c>
      <c r="F108" s="1287" t="s">
        <v>4466</v>
      </c>
      <c r="G108" s="1874">
        <f t="shared" si="34"/>
        <v>10.077007700770077</v>
      </c>
      <c r="H108" s="1874"/>
      <c r="I108" s="1874">
        <f>AH108/AH$107*100</f>
        <v>42.859370938393553</v>
      </c>
      <c r="J108" s="1875"/>
      <c r="K108" s="1875"/>
      <c r="L108" s="1875"/>
      <c r="M108" s="1876"/>
      <c r="N108" s="1876"/>
      <c r="O108" s="1876"/>
      <c r="P108" s="1875"/>
      <c r="Q108" s="1875"/>
      <c r="R108" s="1875"/>
      <c r="S108" s="1876"/>
      <c r="T108" s="1876"/>
      <c r="U108" s="1876"/>
      <c r="V108" s="1875"/>
      <c r="W108" s="1875"/>
      <c r="X108" s="1875"/>
      <c r="Y108" s="1876"/>
      <c r="Z108" s="1876"/>
      <c r="AA108" s="1876"/>
      <c r="AB108" s="1875"/>
      <c r="AC108" s="1875"/>
      <c r="AD108" s="1875">
        <v>1</v>
      </c>
      <c r="AE108" s="1876"/>
      <c r="AF108" s="1876"/>
      <c r="AG108" s="1666">
        <v>41220</v>
      </c>
      <c r="AH108" s="1876">
        <f t="shared" ref="AH108:AH114" si="62">SUM(M108,N108,O108,S108,T108,U108,Y108,Z108,AA108,AE108,AF108,AG108)</f>
        <v>41220</v>
      </c>
      <c r="AI108" s="1666">
        <v>41220</v>
      </c>
      <c r="AJ108" s="1666"/>
      <c r="AK108" s="1877"/>
      <c r="AL108" s="1666"/>
      <c r="AM108" s="1877"/>
      <c r="AN108" s="1877"/>
      <c r="AO108" s="1878" t="s">
        <v>1703</v>
      </c>
      <c r="AP108" s="22" t="s">
        <v>4414</v>
      </c>
      <c r="AQ108" s="1879"/>
    </row>
    <row r="109" spans="1:43" ht="45">
      <c r="A109" s="1179" t="s">
        <v>4467</v>
      </c>
      <c r="B109" s="379" t="s">
        <v>4468</v>
      </c>
      <c r="C109" s="1281">
        <v>6</v>
      </c>
      <c r="D109" s="379" t="s">
        <v>1492</v>
      </c>
      <c r="E109" s="1287" t="s">
        <v>4469</v>
      </c>
      <c r="F109" s="1287" t="s">
        <v>4470</v>
      </c>
      <c r="G109" s="1874">
        <f t="shared" si="34"/>
        <v>1.6795012834616794</v>
      </c>
      <c r="H109" s="1874"/>
      <c r="I109" s="1874">
        <f t="shared" ref="I109:I114" si="63">AH109/AH$107*100</f>
        <v>7.1432284897322589</v>
      </c>
      <c r="J109" s="1875"/>
      <c r="K109" s="1875"/>
      <c r="L109" s="1875"/>
      <c r="M109" s="1876"/>
      <c r="N109" s="1876"/>
      <c r="O109" s="1876"/>
      <c r="P109" s="1875"/>
      <c r="Q109" s="1875"/>
      <c r="R109" s="1875"/>
      <c r="S109" s="1876"/>
      <c r="T109" s="1876"/>
      <c r="U109" s="1876"/>
      <c r="V109" s="1875">
        <v>1</v>
      </c>
      <c r="W109" s="1875">
        <v>1</v>
      </c>
      <c r="X109" s="1875">
        <v>1</v>
      </c>
      <c r="Y109" s="1876">
        <v>1145</v>
      </c>
      <c r="Z109" s="1876">
        <v>1145</v>
      </c>
      <c r="AA109" s="1876">
        <v>1145</v>
      </c>
      <c r="AB109" s="1875">
        <v>1</v>
      </c>
      <c r="AC109" s="1875">
        <v>1</v>
      </c>
      <c r="AD109" s="1875">
        <v>1</v>
      </c>
      <c r="AE109" s="1876">
        <v>1145</v>
      </c>
      <c r="AF109" s="1876">
        <v>1145</v>
      </c>
      <c r="AG109" s="1876">
        <v>1145</v>
      </c>
      <c r="AH109" s="1876">
        <f t="shared" si="62"/>
        <v>6870</v>
      </c>
      <c r="AI109" s="1666">
        <v>6870</v>
      </c>
      <c r="AJ109" s="1666"/>
      <c r="AK109" s="1877"/>
      <c r="AL109" s="1666"/>
      <c r="AM109" s="1877"/>
      <c r="AN109" s="1877"/>
      <c r="AO109" s="1878" t="s">
        <v>1703</v>
      </c>
      <c r="AP109" s="22" t="s">
        <v>4414</v>
      </c>
      <c r="AQ109" s="1879"/>
    </row>
    <row r="110" spans="1:43" ht="105">
      <c r="A110" s="1179" t="s">
        <v>4471</v>
      </c>
      <c r="B110" s="379" t="s">
        <v>4472</v>
      </c>
      <c r="C110" s="1281">
        <v>6</v>
      </c>
      <c r="D110" s="379" t="s">
        <v>52</v>
      </c>
      <c r="E110" s="379" t="s">
        <v>4473</v>
      </c>
      <c r="F110" s="1287" t="s">
        <v>4474</v>
      </c>
      <c r="G110" s="1874">
        <f t="shared" si="34"/>
        <v>3.3590025669233587</v>
      </c>
      <c r="H110" s="1874"/>
      <c r="I110" s="1874">
        <f t="shared" si="63"/>
        <v>14.286456979464518</v>
      </c>
      <c r="J110" s="1875"/>
      <c r="K110" s="1875"/>
      <c r="L110" s="1875"/>
      <c r="M110" s="1876"/>
      <c r="N110" s="1876"/>
      <c r="O110" s="1876"/>
      <c r="P110" s="1875"/>
      <c r="Q110" s="1875"/>
      <c r="R110" s="1875"/>
      <c r="S110" s="1876"/>
      <c r="T110" s="1876"/>
      <c r="U110" s="1876"/>
      <c r="V110" s="1875">
        <v>1</v>
      </c>
      <c r="W110" s="1875">
        <v>1</v>
      </c>
      <c r="X110" s="1875">
        <v>1</v>
      </c>
      <c r="Y110" s="1876">
        <v>2290</v>
      </c>
      <c r="Z110" s="1876">
        <v>2290</v>
      </c>
      <c r="AA110" s="1876">
        <v>2290</v>
      </c>
      <c r="AB110" s="1875">
        <v>1</v>
      </c>
      <c r="AC110" s="1875">
        <v>1</v>
      </c>
      <c r="AD110" s="1875">
        <v>1</v>
      </c>
      <c r="AE110" s="1876">
        <v>2290</v>
      </c>
      <c r="AF110" s="1876">
        <v>2290</v>
      </c>
      <c r="AG110" s="1876">
        <v>2290</v>
      </c>
      <c r="AH110" s="1876">
        <f t="shared" si="62"/>
        <v>13740</v>
      </c>
      <c r="AI110" s="1666">
        <v>13740</v>
      </c>
      <c r="AJ110" s="1666"/>
      <c r="AK110" s="1877"/>
      <c r="AL110" s="1666"/>
      <c r="AM110" s="1877"/>
      <c r="AN110" s="1877"/>
      <c r="AO110" s="1878" t="s">
        <v>1703</v>
      </c>
      <c r="AP110" s="22" t="s">
        <v>4414</v>
      </c>
      <c r="AQ110" s="1879"/>
    </row>
    <row r="111" spans="1:43" ht="45">
      <c r="A111" s="1179" t="s">
        <v>4475</v>
      </c>
      <c r="B111" s="379" t="s">
        <v>4476</v>
      </c>
      <c r="C111" s="1281">
        <v>6</v>
      </c>
      <c r="D111" s="379" t="s">
        <v>52</v>
      </c>
      <c r="E111" s="379" t="s">
        <v>4477</v>
      </c>
      <c r="F111" s="1287" t="s">
        <v>4478</v>
      </c>
      <c r="G111" s="1874">
        <f t="shared" si="34"/>
        <v>3.3590025669233587</v>
      </c>
      <c r="H111" s="1874"/>
      <c r="I111" s="1874">
        <f t="shared" si="63"/>
        <v>14.286456979464518</v>
      </c>
      <c r="J111" s="1875"/>
      <c r="K111" s="1875"/>
      <c r="L111" s="1875"/>
      <c r="M111" s="1876"/>
      <c r="N111" s="1876"/>
      <c r="O111" s="1876"/>
      <c r="P111" s="1875"/>
      <c r="Q111" s="1875"/>
      <c r="R111" s="1875"/>
      <c r="S111" s="1876"/>
      <c r="T111" s="1876"/>
      <c r="U111" s="1876"/>
      <c r="V111" s="1875">
        <v>1</v>
      </c>
      <c r="W111" s="1875">
        <v>1</v>
      </c>
      <c r="X111" s="1875">
        <v>1</v>
      </c>
      <c r="Y111" s="1876">
        <v>2290</v>
      </c>
      <c r="Z111" s="1876">
        <v>2290</v>
      </c>
      <c r="AA111" s="1876">
        <v>2290</v>
      </c>
      <c r="AB111" s="1875">
        <v>1</v>
      </c>
      <c r="AC111" s="1875">
        <v>1</v>
      </c>
      <c r="AD111" s="1875">
        <v>1</v>
      </c>
      <c r="AE111" s="1876">
        <v>2290</v>
      </c>
      <c r="AF111" s="1876">
        <v>2290</v>
      </c>
      <c r="AG111" s="1876">
        <v>2290</v>
      </c>
      <c r="AH111" s="1876">
        <f t="shared" si="62"/>
        <v>13740</v>
      </c>
      <c r="AI111" s="1666">
        <v>13740</v>
      </c>
      <c r="AJ111" s="1666"/>
      <c r="AK111" s="1877"/>
      <c r="AL111" s="1666"/>
      <c r="AM111" s="1877"/>
      <c r="AN111" s="1877"/>
      <c r="AO111" s="1878" t="s">
        <v>1703</v>
      </c>
      <c r="AP111" s="22" t="s">
        <v>4414</v>
      </c>
      <c r="AQ111" s="1879"/>
    </row>
    <row r="112" spans="1:43" ht="75">
      <c r="A112" s="1179" t="s">
        <v>4479</v>
      </c>
      <c r="B112" s="379" t="s">
        <v>4480</v>
      </c>
      <c r="C112" s="1281">
        <v>6</v>
      </c>
      <c r="D112" s="379" t="s">
        <v>52</v>
      </c>
      <c r="E112" s="379" t="s">
        <v>4481</v>
      </c>
      <c r="F112" s="1287" t="s">
        <v>4482</v>
      </c>
      <c r="G112" s="1874">
        <f t="shared" si="34"/>
        <v>3.3590025669233587</v>
      </c>
      <c r="H112" s="1874"/>
      <c r="I112" s="1874">
        <f t="shared" si="63"/>
        <v>14.286456979464518</v>
      </c>
      <c r="J112" s="1875"/>
      <c r="K112" s="1875"/>
      <c r="L112" s="1875"/>
      <c r="M112" s="1876"/>
      <c r="N112" s="1876"/>
      <c r="O112" s="1876"/>
      <c r="P112" s="1875"/>
      <c r="Q112" s="1875"/>
      <c r="R112" s="1875"/>
      <c r="S112" s="1876"/>
      <c r="T112" s="1876"/>
      <c r="U112" s="1876"/>
      <c r="V112" s="1875">
        <v>1</v>
      </c>
      <c r="W112" s="1875">
        <v>1</v>
      </c>
      <c r="X112" s="1875">
        <v>1</v>
      </c>
      <c r="Y112" s="1876">
        <v>2290</v>
      </c>
      <c r="Z112" s="1876">
        <v>2290</v>
      </c>
      <c r="AA112" s="1876">
        <v>2290</v>
      </c>
      <c r="AB112" s="1875">
        <v>1</v>
      </c>
      <c r="AC112" s="1875">
        <v>1</v>
      </c>
      <c r="AD112" s="1875">
        <v>1</v>
      </c>
      <c r="AE112" s="1876">
        <v>2290</v>
      </c>
      <c r="AF112" s="1876">
        <v>2290</v>
      </c>
      <c r="AG112" s="1876">
        <v>2290</v>
      </c>
      <c r="AH112" s="1876">
        <f t="shared" si="62"/>
        <v>13740</v>
      </c>
      <c r="AI112" s="1666">
        <v>13740</v>
      </c>
      <c r="AJ112" s="1666"/>
      <c r="AK112" s="1877"/>
      <c r="AL112" s="1666"/>
      <c r="AM112" s="1877"/>
      <c r="AN112" s="1877"/>
      <c r="AO112" s="1878" t="s">
        <v>1703</v>
      </c>
      <c r="AP112" s="22" t="s">
        <v>4414</v>
      </c>
      <c r="AQ112" s="1879"/>
    </row>
    <row r="113" spans="1:43" ht="60">
      <c r="A113" s="1179" t="s">
        <v>4483</v>
      </c>
      <c r="B113" s="379" t="s">
        <v>4484</v>
      </c>
      <c r="C113" s="1281">
        <v>1</v>
      </c>
      <c r="D113" s="379" t="s">
        <v>944</v>
      </c>
      <c r="E113" s="379" t="s">
        <v>4485</v>
      </c>
      <c r="F113" s="1287" t="s">
        <v>3434</v>
      </c>
      <c r="G113" s="1874">
        <f t="shared" si="34"/>
        <v>1.6428309497616429</v>
      </c>
      <c r="H113" s="1874"/>
      <c r="I113" s="1874">
        <f t="shared" si="63"/>
        <v>6.987262802183519</v>
      </c>
      <c r="J113" s="1875"/>
      <c r="K113" s="1875"/>
      <c r="L113" s="1875"/>
      <c r="M113" s="1876"/>
      <c r="N113" s="1876"/>
      <c r="O113" s="1876"/>
      <c r="P113" s="1875"/>
      <c r="Q113" s="1875"/>
      <c r="R113" s="1875"/>
      <c r="S113" s="1876"/>
      <c r="T113" s="1876"/>
      <c r="U113" s="1876"/>
      <c r="V113" s="1875"/>
      <c r="W113" s="1875"/>
      <c r="X113" s="1875">
        <v>1</v>
      </c>
      <c r="Y113" s="1876"/>
      <c r="Z113" s="1876"/>
      <c r="AA113" s="1666">
        <v>6720</v>
      </c>
      <c r="AB113" s="1875"/>
      <c r="AC113" s="1875"/>
      <c r="AD113" s="1875"/>
      <c r="AE113" s="1876"/>
      <c r="AF113" s="1876"/>
      <c r="AG113" s="1876"/>
      <c r="AH113" s="1876">
        <f t="shared" si="62"/>
        <v>6720</v>
      </c>
      <c r="AI113" s="1666">
        <f>AH113</f>
        <v>6720</v>
      </c>
      <c r="AJ113" s="1666"/>
      <c r="AK113" s="1877"/>
      <c r="AL113" s="1666"/>
      <c r="AM113" s="1877"/>
      <c r="AN113" s="1877"/>
      <c r="AO113" s="1878" t="s">
        <v>1703</v>
      </c>
      <c r="AP113" s="22" t="s">
        <v>4414</v>
      </c>
      <c r="AQ113" s="1879"/>
    </row>
    <row r="114" spans="1:43" ht="30">
      <c r="A114" s="1179" t="s">
        <v>4486</v>
      </c>
      <c r="B114" s="1888" t="s">
        <v>4487</v>
      </c>
      <c r="C114" s="1281">
        <v>1</v>
      </c>
      <c r="D114" s="379" t="s">
        <v>52</v>
      </c>
      <c r="E114" s="1287" t="s">
        <v>4432</v>
      </c>
      <c r="F114" s="1287" t="s">
        <v>4433</v>
      </c>
      <c r="G114" s="1874">
        <f t="shared" si="34"/>
        <v>3.5447989243368783E-2</v>
      </c>
      <c r="H114" s="1874"/>
      <c r="I114" s="1874">
        <f t="shared" si="63"/>
        <v>0.15076683129711463</v>
      </c>
      <c r="J114" s="1875"/>
      <c r="K114" s="1875"/>
      <c r="L114" s="1875"/>
      <c r="M114" s="1876"/>
      <c r="N114" s="1876"/>
      <c r="O114" s="1876"/>
      <c r="P114" s="1875"/>
      <c r="Q114" s="1875"/>
      <c r="R114" s="1875"/>
      <c r="S114" s="1876"/>
      <c r="T114" s="1876"/>
      <c r="U114" s="1876"/>
      <c r="V114" s="1875"/>
      <c r="W114" s="1875"/>
      <c r="X114" s="1875"/>
      <c r="Y114" s="1876"/>
      <c r="Z114" s="1876"/>
      <c r="AA114" s="1666"/>
      <c r="AB114" s="1875"/>
      <c r="AC114" s="1875"/>
      <c r="AD114" s="1875">
        <v>1</v>
      </c>
      <c r="AE114" s="1876"/>
      <c r="AF114" s="1876"/>
      <c r="AG114" s="1876">
        <v>145</v>
      </c>
      <c r="AH114" s="1876">
        <f t="shared" si="62"/>
        <v>145</v>
      </c>
      <c r="AI114" s="1666">
        <f>AH114</f>
        <v>145</v>
      </c>
      <c r="AJ114" s="1666"/>
      <c r="AK114" s="1877"/>
      <c r="AL114" s="1666"/>
      <c r="AM114" s="1877"/>
      <c r="AN114" s="1877"/>
      <c r="AO114" s="1878" t="s">
        <v>1703</v>
      </c>
      <c r="AP114" s="22" t="s">
        <v>4414</v>
      </c>
      <c r="AQ114" s="1879"/>
    </row>
    <row r="115" spans="1:43" ht="15.6">
      <c r="A115" s="1890"/>
      <c r="B115" s="1891" t="s">
        <v>1728</v>
      </c>
      <c r="C115" s="1892"/>
      <c r="D115" s="1891"/>
      <c r="E115" s="1891"/>
      <c r="F115" s="1891"/>
      <c r="G115" s="640"/>
      <c r="H115" s="640">
        <f>SUM(H9:H113)</f>
        <v>100</v>
      </c>
      <c r="I115" s="640"/>
      <c r="J115" s="607"/>
      <c r="K115" s="607"/>
      <c r="L115" s="607"/>
      <c r="M115" s="608"/>
      <c r="N115" s="608"/>
      <c r="O115" s="608"/>
      <c r="P115" s="607"/>
      <c r="Q115" s="607"/>
      <c r="R115" s="607"/>
      <c r="S115" s="608"/>
      <c r="T115" s="608"/>
      <c r="U115" s="608"/>
      <c r="V115" s="607"/>
      <c r="W115" s="607"/>
      <c r="X115" s="607"/>
      <c r="Y115" s="608">
        <f>SUM(Y9,Y45,Y50,Y91)</f>
        <v>57565</v>
      </c>
      <c r="Z115" s="608">
        <f t="shared" ref="Z115:AA115" si="64">SUM(Z9,Z45,Z50,Z91)</f>
        <v>51720</v>
      </c>
      <c r="AA115" s="608">
        <f t="shared" si="64"/>
        <v>51035</v>
      </c>
      <c r="AB115" s="607"/>
      <c r="AC115" s="607"/>
      <c r="AD115" s="607"/>
      <c r="AE115" s="608">
        <f t="shared" ref="AE115:AI115" si="65">SUM(AE9,AE45,AE50,AE91)</f>
        <v>55655</v>
      </c>
      <c r="AF115" s="608">
        <f t="shared" si="65"/>
        <v>15295</v>
      </c>
      <c r="AG115" s="608">
        <f t="shared" si="65"/>
        <v>176675</v>
      </c>
      <c r="AH115" s="608">
        <f t="shared" si="65"/>
        <v>409050</v>
      </c>
      <c r="AI115" s="608">
        <f t="shared" si="65"/>
        <v>409195</v>
      </c>
      <c r="AJ115" s="608"/>
      <c r="AK115" s="608"/>
      <c r="AL115" s="608"/>
      <c r="AM115" s="608"/>
      <c r="AN115" s="608"/>
      <c r="AO115" s="606"/>
      <c r="AP115" s="606"/>
      <c r="AQ115" s="606"/>
    </row>
  </sheetData>
  <sheetProtection algorithmName="SHA-512" hashValue="UvYuP0o9B1iZKqQ5IV+d/aP+dCdJM3jdIvgYQ9cSwdPGcezoozDpHpnBh3b67DA2ZM4JOI9yeOWMBNh7663wRA==" saltValue="fBLcW8e5Yywbm7osTR4zIA==" spinCount="100000" sheet="1" objects="1" scenarios="1"/>
  <mergeCells count="27">
    <mergeCell ref="J6:AH6"/>
    <mergeCell ref="AI6:AN6"/>
    <mergeCell ref="AO6:AO8"/>
    <mergeCell ref="AP6:AP8"/>
    <mergeCell ref="AN7:AN8"/>
    <mergeCell ref="AH7:AH8"/>
    <mergeCell ref="AI7:AI8"/>
    <mergeCell ref="AJ7:AJ8"/>
    <mergeCell ref="AK7:AK8"/>
    <mergeCell ref="AL7:AL8"/>
    <mergeCell ref="AM7:AM8"/>
    <mergeCell ref="A1:AQ1"/>
    <mergeCell ref="A2:AQ2"/>
    <mergeCell ref="A6:A8"/>
    <mergeCell ref="B6:B8"/>
    <mergeCell ref="C6:C8"/>
    <mergeCell ref="D6:D8"/>
    <mergeCell ref="E6:E8"/>
    <mergeCell ref="F6:F8"/>
    <mergeCell ref="G6:G8"/>
    <mergeCell ref="H6:H8"/>
    <mergeCell ref="AQ6:AQ8"/>
    <mergeCell ref="J7:O7"/>
    <mergeCell ref="P7:U7"/>
    <mergeCell ref="V7:AA7"/>
    <mergeCell ref="AB7:AG7"/>
    <mergeCell ref="I6:I8"/>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3"/>
  <sheetViews>
    <sheetView workbookViewId="0">
      <selection activeCell="I13" sqref="I13"/>
    </sheetView>
  </sheetViews>
  <sheetFormatPr baseColWidth="10" defaultRowHeight="14.4"/>
  <cols>
    <col min="1" max="1" width="16.5546875" bestFit="1" customWidth="1"/>
    <col min="2" max="2" width="22.6640625" customWidth="1"/>
    <col min="3" max="3" width="7" bestFit="1" customWidth="1"/>
    <col min="4" max="4" width="11.44140625" bestFit="1" customWidth="1"/>
    <col min="5" max="5" width="17.33203125" customWidth="1"/>
    <col min="6" max="6" width="17.6640625" customWidth="1"/>
    <col min="7" max="7" width="9.5546875" customWidth="1"/>
    <col min="8" max="8" width="8.5546875" customWidth="1"/>
    <col min="9" max="9" width="7.88671875" customWidth="1"/>
    <col min="10" max="10" width="2.88671875" bestFit="1" customWidth="1"/>
    <col min="11" max="11" width="2.6640625" bestFit="1" customWidth="1"/>
    <col min="12" max="12" width="3.44140625" bestFit="1" customWidth="1"/>
    <col min="13" max="13" width="2.88671875" bestFit="1" customWidth="1"/>
    <col min="14" max="14" width="11.44140625" bestFit="1" customWidth="1"/>
    <col min="15" max="15" width="10.109375" bestFit="1" customWidth="1"/>
    <col min="16" max="16" width="3" bestFit="1" customWidth="1"/>
    <col min="17" max="17" width="3.44140625" bestFit="1" customWidth="1"/>
    <col min="18" max="18" width="2.5546875" bestFit="1" customWidth="1"/>
    <col min="19" max="21" width="10.109375" bestFit="1" customWidth="1"/>
    <col min="22" max="22" width="2.5546875" bestFit="1" customWidth="1"/>
    <col min="23" max="23" width="3" bestFit="1" customWidth="1"/>
    <col min="24" max="24" width="2.88671875" bestFit="1" customWidth="1"/>
    <col min="25" max="25" width="10.109375" bestFit="1" customWidth="1"/>
    <col min="26" max="26" width="12.5546875" customWidth="1"/>
    <col min="27" max="27" width="10.109375" bestFit="1" customWidth="1"/>
    <col min="28" max="30" width="3" bestFit="1" customWidth="1"/>
    <col min="31" max="31" width="10.109375" bestFit="1" customWidth="1"/>
    <col min="32" max="32" width="3" bestFit="1" customWidth="1"/>
    <col min="33" max="35" width="11.44140625" bestFit="1" customWidth="1"/>
    <col min="36" max="36" width="8.33203125" bestFit="1" customWidth="1"/>
    <col min="37" max="37" width="10.109375" bestFit="1" customWidth="1"/>
    <col min="38" max="38" width="5.88671875" bestFit="1" customWidth="1"/>
    <col min="39" max="39" width="8" bestFit="1" customWidth="1"/>
    <col min="40" max="40" width="10.33203125" bestFit="1" customWidth="1"/>
    <col min="41" max="41" width="20.33203125" customWidth="1"/>
    <col min="42" max="42" width="21.5546875" customWidth="1"/>
    <col min="43" max="43" width="6.109375" customWidth="1"/>
  </cols>
  <sheetData>
    <row r="1" spans="1:43" ht="17.399999999999999">
      <c r="A1" s="2225" t="s">
        <v>0</v>
      </c>
      <c r="B1" s="2225"/>
      <c r="C1" s="2225"/>
      <c r="D1" s="2225"/>
      <c r="E1" s="2225"/>
      <c r="F1" s="2225"/>
      <c r="G1" s="2225"/>
      <c r="H1" s="2225"/>
      <c r="I1" s="2225"/>
      <c r="J1" s="2225"/>
      <c r="K1" s="2225"/>
      <c r="L1" s="2225"/>
      <c r="M1" s="2225"/>
      <c r="N1" s="2225"/>
      <c r="O1" s="2225"/>
      <c r="P1" s="2225"/>
      <c r="Q1" s="2225"/>
      <c r="R1" s="2225"/>
      <c r="S1" s="2225"/>
      <c r="T1" s="2225"/>
      <c r="U1" s="2225"/>
      <c r="V1" s="2225"/>
      <c r="W1" s="2225"/>
      <c r="X1" s="2225"/>
      <c r="Y1" s="2225"/>
      <c r="Z1" s="2225"/>
      <c r="AA1" s="2225"/>
      <c r="AB1" s="2225"/>
      <c r="AC1" s="2225"/>
      <c r="AD1" s="2225"/>
      <c r="AE1" s="2225"/>
      <c r="AF1" s="2225"/>
      <c r="AG1" s="2225"/>
      <c r="AH1" s="2225"/>
      <c r="AI1" s="2225"/>
      <c r="AJ1" s="2225"/>
      <c r="AK1" s="2225"/>
      <c r="AL1" s="2225"/>
      <c r="AM1" s="2225"/>
      <c r="AN1" s="2225"/>
      <c r="AO1" s="2225"/>
      <c r="AP1" s="2225"/>
      <c r="AQ1" s="2225"/>
    </row>
    <row r="2" spans="1:43" ht="17.399999999999999">
      <c r="A2" s="2225" t="s">
        <v>1</v>
      </c>
      <c r="B2" s="2225"/>
      <c r="C2" s="2225"/>
      <c r="D2" s="2225"/>
      <c r="E2" s="2225"/>
      <c r="F2" s="2225"/>
      <c r="G2" s="2225"/>
      <c r="H2" s="2225"/>
      <c r="I2" s="2225"/>
      <c r="J2" s="2225"/>
      <c r="K2" s="2225"/>
      <c r="L2" s="2225"/>
      <c r="M2" s="2225"/>
      <c r="N2" s="2225"/>
      <c r="O2" s="2225"/>
      <c r="P2" s="2225"/>
      <c r="Q2" s="2225"/>
      <c r="R2" s="2225"/>
      <c r="S2" s="2225"/>
      <c r="T2" s="2225"/>
      <c r="U2" s="2225"/>
      <c r="V2" s="2225"/>
      <c r="W2" s="2225"/>
      <c r="X2" s="2225"/>
      <c r="Y2" s="2225"/>
      <c r="Z2" s="2225"/>
      <c r="AA2" s="2225"/>
      <c r="AB2" s="2225"/>
      <c r="AC2" s="2225"/>
      <c r="AD2" s="2225"/>
      <c r="AE2" s="2225"/>
      <c r="AF2" s="2225"/>
      <c r="AG2" s="2225"/>
      <c r="AH2" s="2225"/>
      <c r="AI2" s="2225"/>
      <c r="AJ2" s="2225"/>
      <c r="AK2" s="2225"/>
      <c r="AL2" s="2225"/>
      <c r="AM2" s="2225"/>
      <c r="AN2" s="2225"/>
      <c r="AO2" s="2225"/>
      <c r="AP2" s="2225"/>
      <c r="AQ2" s="2225"/>
    </row>
    <row r="3" spans="1:43" ht="17.399999999999999">
      <c r="A3" s="1840"/>
      <c r="B3" s="2233" t="s">
        <v>2</v>
      </c>
      <c r="C3" s="2233"/>
      <c r="D3" s="2233"/>
      <c r="E3" s="2233"/>
      <c r="F3" s="2233"/>
      <c r="G3" s="2233"/>
      <c r="H3" s="2233"/>
      <c r="I3" s="2233"/>
      <c r="J3" s="2233"/>
      <c r="K3" s="1843"/>
      <c r="L3" s="1843"/>
      <c r="M3" s="1843"/>
      <c r="N3" s="1843"/>
      <c r="O3" s="1843"/>
      <c r="P3" s="1843"/>
      <c r="Q3" s="1843"/>
      <c r="R3" s="1843"/>
      <c r="S3" s="1843"/>
      <c r="T3" s="1843"/>
      <c r="U3" s="1843"/>
      <c r="V3" s="1843"/>
      <c r="W3" s="1843"/>
      <c r="X3" s="1843"/>
      <c r="Y3" s="1843"/>
      <c r="Z3" s="1843"/>
      <c r="AA3" s="1843"/>
      <c r="AB3" s="1843"/>
      <c r="AC3" s="1843"/>
      <c r="AD3" s="1843"/>
      <c r="AE3" s="1843"/>
      <c r="AF3" s="1843"/>
      <c r="AG3" s="1843"/>
      <c r="AH3" s="1843"/>
      <c r="AI3" s="1843"/>
      <c r="AJ3" s="1843"/>
      <c r="AK3" s="1843"/>
      <c r="AL3" s="1843"/>
      <c r="AM3" s="1843"/>
      <c r="AN3" s="1843"/>
      <c r="AO3" s="1843"/>
      <c r="AP3" s="1843"/>
      <c r="AQ3" s="1843"/>
    </row>
    <row r="4" spans="1:43" ht="17.399999999999999">
      <c r="A4" s="1840"/>
      <c r="B4" s="1843" t="s">
        <v>4488</v>
      </c>
      <c r="C4" s="1843"/>
      <c r="D4" s="1843"/>
      <c r="E4" s="1843"/>
      <c r="F4" s="1843"/>
      <c r="G4" s="1843"/>
      <c r="H4" s="1843"/>
      <c r="I4" s="1843"/>
      <c r="J4" s="1843"/>
      <c r="K4" s="1843"/>
      <c r="L4" s="1843"/>
      <c r="M4" s="1843"/>
      <c r="N4" s="1843"/>
      <c r="O4" s="1843"/>
      <c r="P4" s="1843"/>
      <c r="Q4" s="1843"/>
      <c r="R4" s="1843"/>
      <c r="S4" s="1843"/>
      <c r="T4" s="1843"/>
      <c r="U4" s="1843"/>
      <c r="V4" s="1843"/>
      <c r="W4" s="1843"/>
      <c r="X4" s="1843"/>
      <c r="Y4" s="1843"/>
      <c r="Z4" s="1843"/>
      <c r="AA4" s="1843"/>
      <c r="AB4" s="1843"/>
      <c r="AC4" s="1843"/>
      <c r="AD4" s="1843"/>
      <c r="AE4" s="1843"/>
      <c r="AF4" s="1843"/>
      <c r="AG4" s="1843"/>
      <c r="AH4" s="1843"/>
      <c r="AI4" s="1843"/>
      <c r="AJ4" s="1843"/>
      <c r="AK4" s="1843"/>
      <c r="AL4" s="1843"/>
      <c r="AM4" s="1843"/>
      <c r="AN4" s="1843"/>
      <c r="AO4" s="1843"/>
      <c r="AP4" s="1843"/>
      <c r="AQ4" s="1843"/>
    </row>
    <row r="5" spans="1:43" ht="17.399999999999999">
      <c r="A5" s="1840"/>
      <c r="B5" s="1843" t="s">
        <v>3751</v>
      </c>
      <c r="C5" s="1843"/>
      <c r="D5" s="1843"/>
      <c r="E5" s="1840"/>
      <c r="F5" s="1840"/>
      <c r="G5" s="1840"/>
      <c r="H5" s="1840"/>
      <c r="I5" s="1840"/>
      <c r="J5" s="1847"/>
      <c r="K5" s="1847"/>
      <c r="L5" s="1847"/>
      <c r="M5" s="1847"/>
      <c r="N5" s="1847"/>
      <c r="O5" s="1847"/>
      <c r="P5" s="1847"/>
      <c r="Q5" s="1847"/>
      <c r="R5" s="1847"/>
      <c r="S5" s="1847"/>
      <c r="T5" s="1847"/>
      <c r="U5" s="1847"/>
      <c r="V5" s="1847"/>
      <c r="W5" s="1847"/>
      <c r="X5" s="1847"/>
      <c r="Y5" s="1847"/>
      <c r="Z5" s="1847"/>
      <c r="AA5" s="1847"/>
      <c r="AB5" s="1847"/>
      <c r="AC5" s="1847"/>
      <c r="AD5" s="1847"/>
      <c r="AE5" s="1847"/>
      <c r="AF5" s="1847"/>
      <c r="AG5" s="1847"/>
      <c r="AH5" s="1847"/>
      <c r="AI5" s="1847"/>
      <c r="AJ5" s="1847"/>
      <c r="AK5" s="1847"/>
      <c r="AL5" s="1847"/>
      <c r="AM5" s="1847"/>
      <c r="AN5" s="1847"/>
      <c r="AO5" s="1847"/>
      <c r="AP5" s="1847"/>
      <c r="AQ5" s="1847"/>
    </row>
    <row r="6" spans="1:43" ht="15.6">
      <c r="A6" s="2014" t="s">
        <v>5</v>
      </c>
      <c r="B6" s="2227" t="s">
        <v>914</v>
      </c>
      <c r="C6" s="2227" t="s">
        <v>7</v>
      </c>
      <c r="D6" s="2227" t="s">
        <v>1394</v>
      </c>
      <c r="E6" s="2227" t="s">
        <v>9</v>
      </c>
      <c r="F6" s="2017" t="s">
        <v>10</v>
      </c>
      <c r="G6" s="2230" t="s">
        <v>11</v>
      </c>
      <c r="H6" s="2021" t="s">
        <v>12</v>
      </c>
      <c r="I6" s="2021" t="s">
        <v>13</v>
      </c>
      <c r="J6" s="2025" t="s">
        <v>14</v>
      </c>
      <c r="K6" s="2026"/>
      <c r="L6" s="2026"/>
      <c r="M6" s="2026"/>
      <c r="N6" s="2026"/>
      <c r="O6" s="2026"/>
      <c r="P6" s="2026"/>
      <c r="Q6" s="2026"/>
      <c r="R6" s="2026"/>
      <c r="S6" s="2026"/>
      <c r="T6" s="2026"/>
      <c r="U6" s="2026"/>
      <c r="V6" s="2026"/>
      <c r="W6" s="2026"/>
      <c r="X6" s="2026"/>
      <c r="Y6" s="2026"/>
      <c r="Z6" s="2026"/>
      <c r="AA6" s="2026"/>
      <c r="AB6" s="2026"/>
      <c r="AC6" s="2026"/>
      <c r="AD6" s="2026"/>
      <c r="AE6" s="2026"/>
      <c r="AF6" s="2026"/>
      <c r="AG6" s="2026"/>
      <c r="AH6" s="2027"/>
      <c r="AI6" s="2232" t="s">
        <v>15</v>
      </c>
      <c r="AJ6" s="2232"/>
      <c r="AK6" s="2232"/>
      <c r="AL6" s="2232"/>
      <c r="AM6" s="2232"/>
      <c r="AN6" s="2232"/>
      <c r="AO6" s="2232" t="s">
        <v>16</v>
      </c>
      <c r="AP6" s="2232" t="s">
        <v>17</v>
      </c>
      <c r="AQ6" s="2021" t="s">
        <v>18</v>
      </c>
    </row>
    <row r="7" spans="1:43" ht="15.6">
      <c r="A7" s="2015"/>
      <c r="B7" s="2227"/>
      <c r="C7" s="2227"/>
      <c r="D7" s="2227"/>
      <c r="E7" s="2227"/>
      <c r="F7" s="2018"/>
      <c r="G7" s="2230"/>
      <c r="H7" s="2022"/>
      <c r="I7" s="2022"/>
      <c r="J7" s="2227" t="s">
        <v>19</v>
      </c>
      <c r="K7" s="2227"/>
      <c r="L7" s="2227"/>
      <c r="M7" s="2227"/>
      <c r="N7" s="2227"/>
      <c r="O7" s="2227"/>
      <c r="P7" s="2227" t="s">
        <v>20</v>
      </c>
      <c r="Q7" s="2227"/>
      <c r="R7" s="2227"/>
      <c r="S7" s="2227"/>
      <c r="T7" s="2227"/>
      <c r="U7" s="2227"/>
      <c r="V7" s="2227" t="s">
        <v>21</v>
      </c>
      <c r="W7" s="2227"/>
      <c r="X7" s="2227"/>
      <c r="Y7" s="2227"/>
      <c r="Z7" s="2227"/>
      <c r="AA7" s="2227"/>
      <c r="AB7" s="2227" t="s">
        <v>22</v>
      </c>
      <c r="AC7" s="2227"/>
      <c r="AD7" s="2227"/>
      <c r="AE7" s="2227"/>
      <c r="AF7" s="2227"/>
      <c r="AG7" s="2227"/>
      <c r="AH7" s="2227" t="s">
        <v>23</v>
      </c>
      <c r="AI7" s="1957" t="s">
        <v>24</v>
      </c>
      <c r="AJ7" s="1954" t="s">
        <v>2383</v>
      </c>
      <c r="AK7" s="1954" t="s">
        <v>916</v>
      </c>
      <c r="AL7" s="1957" t="s">
        <v>27</v>
      </c>
      <c r="AM7" s="1954" t="s">
        <v>28</v>
      </c>
      <c r="AN7" s="1954" t="s">
        <v>29</v>
      </c>
      <c r="AO7" s="2232"/>
      <c r="AP7" s="2232"/>
      <c r="AQ7" s="2022"/>
    </row>
    <row r="8" spans="1:43" ht="15.6">
      <c r="A8" s="2015"/>
      <c r="B8" s="2227"/>
      <c r="C8" s="2227"/>
      <c r="D8" s="2227"/>
      <c r="E8" s="2227"/>
      <c r="F8" s="2018"/>
      <c r="G8" s="2230"/>
      <c r="H8" s="2022"/>
      <c r="I8" s="2022"/>
      <c r="J8" s="2227" t="s">
        <v>30</v>
      </c>
      <c r="K8" s="2227"/>
      <c r="L8" s="2227"/>
      <c r="M8" s="2227" t="s">
        <v>31</v>
      </c>
      <c r="N8" s="2227"/>
      <c r="O8" s="2227"/>
      <c r="P8" s="2227" t="s">
        <v>30</v>
      </c>
      <c r="Q8" s="2227"/>
      <c r="R8" s="2227"/>
      <c r="S8" s="2227" t="s">
        <v>31</v>
      </c>
      <c r="T8" s="2227"/>
      <c r="U8" s="2227"/>
      <c r="V8" s="2227" t="s">
        <v>30</v>
      </c>
      <c r="W8" s="2227"/>
      <c r="X8" s="2227"/>
      <c r="Y8" s="2227" t="s">
        <v>31</v>
      </c>
      <c r="Z8" s="2227"/>
      <c r="AA8" s="2227"/>
      <c r="AB8" s="2227" t="s">
        <v>30</v>
      </c>
      <c r="AC8" s="2227"/>
      <c r="AD8" s="2227"/>
      <c r="AE8" s="2227" t="s">
        <v>31</v>
      </c>
      <c r="AF8" s="2227"/>
      <c r="AG8" s="2227"/>
      <c r="AH8" s="2227"/>
      <c r="AI8" s="1957"/>
      <c r="AJ8" s="1955"/>
      <c r="AK8" s="1955"/>
      <c r="AL8" s="1957"/>
      <c r="AM8" s="1955"/>
      <c r="AN8" s="1955"/>
      <c r="AO8" s="2232"/>
      <c r="AP8" s="2232"/>
      <c r="AQ8" s="2022"/>
    </row>
    <row r="9" spans="1:43" ht="15.6">
      <c r="A9" s="2226"/>
      <c r="B9" s="2227"/>
      <c r="C9" s="2227"/>
      <c r="D9" s="2227"/>
      <c r="E9" s="2227"/>
      <c r="F9" s="2229"/>
      <c r="G9" s="2230"/>
      <c r="H9" s="2231"/>
      <c r="I9" s="2231"/>
      <c r="J9" s="1848" t="s">
        <v>32</v>
      </c>
      <c r="K9" s="1848" t="s">
        <v>33</v>
      </c>
      <c r="L9" s="1848" t="s">
        <v>34</v>
      </c>
      <c r="M9" s="1848" t="s">
        <v>32</v>
      </c>
      <c r="N9" s="1848" t="s">
        <v>33</v>
      </c>
      <c r="O9" s="1848" t="s">
        <v>34</v>
      </c>
      <c r="P9" s="1848" t="s">
        <v>35</v>
      </c>
      <c r="Q9" s="1848" t="s">
        <v>34</v>
      </c>
      <c r="R9" s="1848" t="s">
        <v>36</v>
      </c>
      <c r="S9" s="1848" t="s">
        <v>35</v>
      </c>
      <c r="T9" s="1848" t="s">
        <v>34</v>
      </c>
      <c r="U9" s="1848" t="s">
        <v>36</v>
      </c>
      <c r="V9" s="1848" t="s">
        <v>36</v>
      </c>
      <c r="W9" s="1848" t="s">
        <v>35</v>
      </c>
      <c r="X9" s="1848" t="s">
        <v>37</v>
      </c>
      <c r="Y9" s="1848" t="s">
        <v>36</v>
      </c>
      <c r="Z9" s="1848" t="s">
        <v>35</v>
      </c>
      <c r="AA9" s="1848" t="s">
        <v>37</v>
      </c>
      <c r="AB9" s="1848" t="s">
        <v>38</v>
      </c>
      <c r="AC9" s="1848" t="s">
        <v>39</v>
      </c>
      <c r="AD9" s="1848" t="s">
        <v>40</v>
      </c>
      <c r="AE9" s="1848" t="s">
        <v>38</v>
      </c>
      <c r="AF9" s="1848" t="s">
        <v>39</v>
      </c>
      <c r="AG9" s="1848" t="s">
        <v>40</v>
      </c>
      <c r="AH9" s="2227"/>
      <c r="AI9" s="1957"/>
      <c r="AJ9" s="1956"/>
      <c r="AK9" s="1956"/>
      <c r="AL9" s="1957"/>
      <c r="AM9" s="1956"/>
      <c r="AN9" s="1956"/>
      <c r="AO9" s="2232"/>
      <c r="AP9" s="2232"/>
      <c r="AQ9" s="2231"/>
    </row>
    <row r="10" spans="1:43" ht="45">
      <c r="A10" s="47" t="s">
        <v>322</v>
      </c>
      <c r="B10" s="47" t="s">
        <v>323</v>
      </c>
      <c r="C10" s="349"/>
      <c r="D10" s="47"/>
      <c r="E10" s="47"/>
      <c r="F10" s="47"/>
      <c r="G10" s="1893">
        <v>100</v>
      </c>
      <c r="H10" s="1893"/>
      <c r="I10" s="1893"/>
      <c r="J10" s="1894"/>
      <c r="K10" s="1894"/>
      <c r="L10" s="1894"/>
      <c r="M10" s="1895"/>
      <c r="N10" s="1895">
        <f>+N11+N17</f>
        <v>5191.3333333333339</v>
      </c>
      <c r="O10" s="1895">
        <f>+O11+O17</f>
        <v>1062</v>
      </c>
      <c r="P10" s="1896"/>
      <c r="Q10" s="1896"/>
      <c r="R10" s="1896"/>
      <c r="S10" s="1895">
        <f t="shared" ref="S10:U10" si="0">+S11+S17</f>
        <v>3441.3333333333335</v>
      </c>
      <c r="T10" s="1895">
        <f t="shared" si="0"/>
        <v>1750</v>
      </c>
      <c r="U10" s="1895">
        <f t="shared" si="0"/>
        <v>4783.3333333333339</v>
      </c>
      <c r="V10" s="1896"/>
      <c r="W10" s="1896"/>
      <c r="X10" s="1896"/>
      <c r="Y10" s="1895">
        <f t="shared" ref="Y10:AA10" si="1">+Y11+Y17</f>
        <v>1750</v>
      </c>
      <c r="Z10" s="1895">
        <f t="shared" si="1"/>
        <v>3441.3333333333335</v>
      </c>
      <c r="AA10" s="1895">
        <f t="shared" si="1"/>
        <v>1062</v>
      </c>
      <c r="AB10" s="1896"/>
      <c r="AC10" s="1896"/>
      <c r="AD10" s="1896"/>
      <c r="AE10" s="1895">
        <f t="shared" ref="AE10:AI10" si="2">+AE11+AE17</f>
        <v>6559.3333333333339</v>
      </c>
      <c r="AF10" s="1895"/>
      <c r="AG10" s="1895">
        <f t="shared" si="2"/>
        <v>5469.3333333333339</v>
      </c>
      <c r="AH10" s="1895">
        <f t="shared" si="2"/>
        <v>34510</v>
      </c>
      <c r="AI10" s="1895">
        <f t="shared" si="2"/>
        <v>34510</v>
      </c>
      <c r="AJ10" s="1895"/>
      <c r="AK10" s="1895"/>
      <c r="AL10" s="1895"/>
      <c r="AM10" s="1895"/>
      <c r="AN10" s="1895"/>
      <c r="AO10" s="1897"/>
      <c r="AP10" s="1897"/>
      <c r="AQ10" s="1897"/>
    </row>
    <row r="11" spans="1:43" ht="135">
      <c r="A11" s="355" t="s">
        <v>324</v>
      </c>
      <c r="B11" s="355" t="s">
        <v>325</v>
      </c>
      <c r="C11" s="356"/>
      <c r="D11" s="355"/>
      <c r="E11" s="355"/>
      <c r="F11" s="355"/>
      <c r="G11" s="1898">
        <v>19.88</v>
      </c>
      <c r="H11" s="1898"/>
      <c r="I11" s="1898"/>
      <c r="J11" s="1899"/>
      <c r="K11" s="1899"/>
      <c r="L11" s="1899"/>
      <c r="M11" s="602"/>
      <c r="N11" s="602"/>
      <c r="O11" s="602">
        <f>+O12</f>
        <v>1062</v>
      </c>
      <c r="P11" s="1899"/>
      <c r="Q11" s="1899"/>
      <c r="R11" s="1899"/>
      <c r="S11" s="602"/>
      <c r="T11" s="602"/>
      <c r="U11" s="602">
        <f>+U12</f>
        <v>1342</v>
      </c>
      <c r="V11" s="1899"/>
      <c r="W11" s="1899"/>
      <c r="X11" s="1899"/>
      <c r="Y11" s="602"/>
      <c r="Z11" s="602"/>
      <c r="AA11" s="602">
        <f>+AA12</f>
        <v>1062</v>
      </c>
      <c r="AB11" s="1899"/>
      <c r="AC11" s="1899"/>
      <c r="AD11" s="1899"/>
      <c r="AE11" s="602">
        <v>1368</v>
      </c>
      <c r="AF11" s="602"/>
      <c r="AG11" s="602">
        <v>2028</v>
      </c>
      <c r="AH11" s="602">
        <v>6862</v>
      </c>
      <c r="AI11" s="602">
        <v>6862</v>
      </c>
      <c r="AJ11" s="602"/>
      <c r="AK11" s="602"/>
      <c r="AL11" s="602"/>
      <c r="AM11" s="602"/>
      <c r="AN11" s="602"/>
      <c r="AO11" s="1900"/>
      <c r="AP11" s="1900"/>
      <c r="AQ11" s="1900"/>
    </row>
    <row r="12" spans="1:43" ht="30">
      <c r="A12" s="363" t="s">
        <v>326</v>
      </c>
      <c r="B12" s="363" t="s">
        <v>327</v>
      </c>
      <c r="C12" s="364"/>
      <c r="D12" s="363"/>
      <c r="E12" s="363"/>
      <c r="F12" s="363"/>
      <c r="G12" s="640">
        <v>19.88</v>
      </c>
      <c r="H12" s="640">
        <v>24</v>
      </c>
      <c r="I12" s="640"/>
      <c r="J12" s="1901"/>
      <c r="K12" s="1901"/>
      <c r="L12" s="1901"/>
      <c r="M12" s="608"/>
      <c r="N12" s="608"/>
      <c r="O12" s="608">
        <f>+O13+O15</f>
        <v>1062</v>
      </c>
      <c r="P12" s="1901"/>
      <c r="Q12" s="1901"/>
      <c r="R12" s="1901"/>
      <c r="S12" s="608"/>
      <c r="T12" s="608"/>
      <c r="U12" s="608">
        <f>+U13+U15</f>
        <v>1342</v>
      </c>
      <c r="V12" s="1901"/>
      <c r="W12" s="1901"/>
      <c r="X12" s="1901"/>
      <c r="Y12" s="608"/>
      <c r="Z12" s="608"/>
      <c r="AA12" s="608">
        <f>+AA13+AA15</f>
        <v>1062</v>
      </c>
      <c r="AB12" s="1901"/>
      <c r="AC12" s="1901"/>
      <c r="AD12" s="1901"/>
      <c r="AE12" s="608"/>
      <c r="AF12" s="608"/>
      <c r="AG12" s="608">
        <f t="shared" ref="AG12:AI12" si="3">+AG13+AG15</f>
        <v>1344</v>
      </c>
      <c r="AH12" s="608">
        <f t="shared" si="3"/>
        <v>4810</v>
      </c>
      <c r="AI12" s="608">
        <f t="shared" si="3"/>
        <v>4810</v>
      </c>
      <c r="AJ12" s="608"/>
      <c r="AK12" s="608"/>
      <c r="AL12" s="608"/>
      <c r="AM12" s="608"/>
      <c r="AN12" s="608"/>
      <c r="AO12" s="1902"/>
      <c r="AP12" s="1902"/>
      <c r="AQ12" s="1902"/>
    </row>
    <row r="13" spans="1:43" ht="165">
      <c r="A13" s="371" t="s">
        <v>4489</v>
      </c>
      <c r="B13" s="371" t="s">
        <v>732</v>
      </c>
      <c r="C13" s="372"/>
      <c r="D13" s="371" t="s">
        <v>52</v>
      </c>
      <c r="E13" s="371" t="s">
        <v>735</v>
      </c>
      <c r="F13" s="371" t="s">
        <v>435</v>
      </c>
      <c r="G13" s="558">
        <f t="shared" ref="G13:G22" si="4">+AH13/AH$23*100</f>
        <v>12.315270935960591</v>
      </c>
      <c r="H13" s="558"/>
      <c r="I13" s="558"/>
      <c r="J13" s="613"/>
      <c r="K13" s="613"/>
      <c r="L13" s="613"/>
      <c r="M13" s="562"/>
      <c r="N13" s="562"/>
      <c r="O13" s="562">
        <f>+O14</f>
        <v>1062</v>
      </c>
      <c r="P13" s="1903"/>
      <c r="Q13" s="1903"/>
      <c r="R13" s="1903"/>
      <c r="S13" s="562"/>
      <c r="T13" s="562"/>
      <c r="U13" s="562">
        <f>+U14</f>
        <v>1062</v>
      </c>
      <c r="V13" s="1903"/>
      <c r="W13" s="1903"/>
      <c r="X13" s="1903"/>
      <c r="Y13" s="562"/>
      <c r="Z13" s="562"/>
      <c r="AA13" s="562">
        <f>+AA14</f>
        <v>1062</v>
      </c>
      <c r="AB13" s="1903"/>
      <c r="AC13" s="1903"/>
      <c r="AD13" s="1903"/>
      <c r="AE13" s="562"/>
      <c r="AF13" s="562"/>
      <c r="AG13" s="562">
        <f>+AG14</f>
        <v>1064</v>
      </c>
      <c r="AH13" s="562">
        <f>+AH14</f>
        <v>4250</v>
      </c>
      <c r="AI13" s="562">
        <f>+AI14</f>
        <v>4250</v>
      </c>
      <c r="AJ13" s="562"/>
      <c r="AK13" s="562"/>
      <c r="AL13" s="562"/>
      <c r="AM13" s="562"/>
      <c r="AN13" s="562"/>
      <c r="AO13" s="1904"/>
      <c r="AP13" s="1904"/>
      <c r="AQ13" s="1904"/>
    </row>
    <row r="14" spans="1:43" ht="120">
      <c r="A14" s="22" t="s">
        <v>4490</v>
      </c>
      <c r="B14" s="379" t="s">
        <v>4491</v>
      </c>
      <c r="C14" s="1281">
        <v>4</v>
      </c>
      <c r="D14" s="379" t="s">
        <v>52</v>
      </c>
      <c r="E14" s="403" t="s">
        <v>735</v>
      </c>
      <c r="F14" s="379" t="s">
        <v>52</v>
      </c>
      <c r="G14" s="1905">
        <f t="shared" si="4"/>
        <v>12.315270935960591</v>
      </c>
      <c r="H14" s="1905"/>
      <c r="I14" s="1905">
        <v>100</v>
      </c>
      <c r="J14" s="1906"/>
      <c r="K14" s="1906"/>
      <c r="L14" s="1907">
        <v>1</v>
      </c>
      <c r="M14" s="649"/>
      <c r="N14" s="649"/>
      <c r="O14" s="649">
        <v>1062</v>
      </c>
      <c r="P14" s="1908"/>
      <c r="Q14" s="1908"/>
      <c r="R14" s="1907">
        <v>1</v>
      </c>
      <c r="S14" s="649"/>
      <c r="T14" s="649"/>
      <c r="U14" s="649">
        <v>1062</v>
      </c>
      <c r="V14" s="1908"/>
      <c r="W14" s="1908"/>
      <c r="X14" s="1907">
        <v>1</v>
      </c>
      <c r="Y14" s="649"/>
      <c r="Z14" s="649"/>
      <c r="AA14" s="649">
        <v>1062</v>
      </c>
      <c r="AB14" s="1908"/>
      <c r="AC14" s="1908"/>
      <c r="AD14" s="1907">
        <v>1</v>
      </c>
      <c r="AE14" s="649"/>
      <c r="AF14" s="649"/>
      <c r="AG14" s="649">
        <v>1064</v>
      </c>
      <c r="AH14" s="649">
        <f>SUM(AI14:AN14)</f>
        <v>4250</v>
      </c>
      <c r="AI14" s="1909">
        <v>4250</v>
      </c>
      <c r="AJ14" s="1910"/>
      <c r="AK14" s="649"/>
      <c r="AL14" s="649"/>
      <c r="AM14" s="1909"/>
      <c r="AN14" s="649"/>
      <c r="AO14" s="1911" t="s">
        <v>928</v>
      </c>
      <c r="AP14" s="1912" t="s">
        <v>4492</v>
      </c>
      <c r="AQ14" s="1912"/>
    </row>
    <row r="15" spans="1:43" ht="120">
      <c r="A15" s="371" t="s">
        <v>328</v>
      </c>
      <c r="B15" s="371" t="s">
        <v>329</v>
      </c>
      <c r="C15" s="372"/>
      <c r="D15" s="371" t="s">
        <v>52</v>
      </c>
      <c r="E15" s="371" t="s">
        <v>330</v>
      </c>
      <c r="F15" s="371" t="s">
        <v>52</v>
      </c>
      <c r="G15" s="558">
        <f t="shared" si="4"/>
        <v>1.6227180527383367</v>
      </c>
      <c r="H15" s="558"/>
      <c r="I15" s="558"/>
      <c r="J15" s="613"/>
      <c r="K15" s="613"/>
      <c r="L15" s="613"/>
      <c r="M15" s="562"/>
      <c r="N15" s="562"/>
      <c r="O15" s="562"/>
      <c r="P15" s="1903"/>
      <c r="Q15" s="1903"/>
      <c r="R15" s="1903"/>
      <c r="S15" s="562"/>
      <c r="T15" s="562"/>
      <c r="U15" s="562">
        <f>+U16</f>
        <v>280</v>
      </c>
      <c r="V15" s="1903"/>
      <c r="W15" s="1903"/>
      <c r="X15" s="1903"/>
      <c r="Y15" s="562"/>
      <c r="Z15" s="562"/>
      <c r="AA15" s="562"/>
      <c r="AB15" s="1903"/>
      <c r="AC15" s="1903"/>
      <c r="AD15" s="1903"/>
      <c r="AE15" s="562"/>
      <c r="AF15" s="562"/>
      <c r="AG15" s="562">
        <f>+AG16</f>
        <v>280</v>
      </c>
      <c r="AH15" s="562">
        <f>+AH16</f>
        <v>560</v>
      </c>
      <c r="AI15" s="562">
        <f>+AI16</f>
        <v>560</v>
      </c>
      <c r="AJ15" s="562"/>
      <c r="AK15" s="562"/>
      <c r="AL15" s="562"/>
      <c r="AM15" s="562"/>
      <c r="AN15" s="562"/>
      <c r="AO15" s="1904"/>
      <c r="AP15" s="1904"/>
      <c r="AQ15" s="1904"/>
    </row>
    <row r="16" spans="1:43" ht="90">
      <c r="A16" s="22" t="s">
        <v>4493</v>
      </c>
      <c r="B16" s="379" t="s">
        <v>4494</v>
      </c>
      <c r="C16" s="1281">
        <v>2</v>
      </c>
      <c r="D16" s="379" t="s">
        <v>52</v>
      </c>
      <c r="E16" s="379" t="s">
        <v>4495</v>
      </c>
      <c r="F16" s="379" t="s">
        <v>52</v>
      </c>
      <c r="G16" s="1905">
        <f t="shared" si="4"/>
        <v>1.6227180527383367</v>
      </c>
      <c r="H16" s="1905"/>
      <c r="I16" s="1905">
        <v>22</v>
      </c>
      <c r="J16" s="1906"/>
      <c r="K16" s="1906"/>
      <c r="L16" s="1906"/>
      <c r="M16" s="649"/>
      <c r="N16" s="649"/>
      <c r="O16" s="649"/>
      <c r="P16" s="1908"/>
      <c r="Q16" s="1908"/>
      <c r="R16" s="1907">
        <v>1</v>
      </c>
      <c r="S16" s="649"/>
      <c r="T16" s="649"/>
      <c r="U16" s="649">
        <f>$AH16/$C16*R16</f>
        <v>280</v>
      </c>
      <c r="V16" s="1908"/>
      <c r="W16" s="1908"/>
      <c r="X16" s="1908"/>
      <c r="Y16" s="649"/>
      <c r="Z16" s="649"/>
      <c r="AA16" s="649"/>
      <c r="AB16" s="1908"/>
      <c r="AC16" s="1908"/>
      <c r="AD16" s="1907">
        <v>1</v>
      </c>
      <c r="AE16" s="649"/>
      <c r="AF16" s="649"/>
      <c r="AG16" s="649">
        <f>$AH16/$C16*AD16</f>
        <v>280</v>
      </c>
      <c r="AH16" s="649">
        <f>SUM(AI16:AN16)</f>
        <v>560</v>
      </c>
      <c r="AI16" s="1910">
        <v>560</v>
      </c>
      <c r="AJ16" s="1910"/>
      <c r="AK16" s="649"/>
      <c r="AL16" s="649"/>
      <c r="AM16" s="649"/>
      <c r="AN16" s="649"/>
      <c r="AO16" s="1911" t="s">
        <v>928</v>
      </c>
      <c r="AP16" s="1912" t="s">
        <v>4492</v>
      </c>
      <c r="AQ16" s="1912"/>
    </row>
    <row r="17" spans="1:43" ht="75">
      <c r="A17" s="1913" t="s">
        <v>1526</v>
      </c>
      <c r="B17" s="355" t="s">
        <v>1527</v>
      </c>
      <c r="C17" s="1914"/>
      <c r="D17" s="1915"/>
      <c r="E17" s="1915"/>
      <c r="F17" s="1915"/>
      <c r="G17" s="1898">
        <f t="shared" si="4"/>
        <v>80.115908432338458</v>
      </c>
      <c r="H17" s="1898"/>
      <c r="I17" s="1898"/>
      <c r="J17" s="601"/>
      <c r="K17" s="601"/>
      <c r="L17" s="601"/>
      <c r="M17" s="602"/>
      <c r="N17" s="602">
        <f>+N18</f>
        <v>5191.3333333333339</v>
      </c>
      <c r="O17" s="602"/>
      <c r="P17" s="1899"/>
      <c r="Q17" s="1899"/>
      <c r="R17" s="1916"/>
      <c r="S17" s="602">
        <f>+S18</f>
        <v>3441.3333333333335</v>
      </c>
      <c r="T17" s="602">
        <f>+T18</f>
        <v>1750</v>
      </c>
      <c r="U17" s="602">
        <f>+U18</f>
        <v>3441.3333333333335</v>
      </c>
      <c r="V17" s="1899"/>
      <c r="W17" s="1899"/>
      <c r="X17" s="601"/>
      <c r="Y17" s="602">
        <f>+Y18</f>
        <v>1750</v>
      </c>
      <c r="Z17" s="602">
        <f>+Z18</f>
        <v>3441.3333333333335</v>
      </c>
      <c r="AA17" s="602"/>
      <c r="AB17" s="1899"/>
      <c r="AC17" s="1899"/>
      <c r="AD17" s="601"/>
      <c r="AE17" s="602">
        <f>+AE18</f>
        <v>5191.3333333333339</v>
      </c>
      <c r="AF17" s="602"/>
      <c r="AG17" s="602">
        <f>+AG18</f>
        <v>3441.3333333333335</v>
      </c>
      <c r="AH17" s="602">
        <f>+AH18</f>
        <v>27648</v>
      </c>
      <c r="AI17" s="602">
        <f>+AI18</f>
        <v>27648</v>
      </c>
      <c r="AJ17" s="1917"/>
      <c r="AK17" s="602"/>
      <c r="AL17" s="602"/>
      <c r="AM17" s="602"/>
      <c r="AN17" s="602"/>
      <c r="AO17" s="1918"/>
      <c r="AP17" s="1918" t="s">
        <v>4492</v>
      </c>
      <c r="AQ17" s="1918"/>
    </row>
    <row r="18" spans="1:43" ht="90">
      <c r="A18" s="1919" t="s">
        <v>1529</v>
      </c>
      <c r="B18" s="363" t="s">
        <v>1530</v>
      </c>
      <c r="C18" s="1920"/>
      <c r="D18" s="1921"/>
      <c r="E18" s="1921"/>
      <c r="F18" s="1919"/>
      <c r="G18" s="640">
        <f t="shared" si="4"/>
        <v>80.115908432338458</v>
      </c>
      <c r="H18" s="640">
        <v>74</v>
      </c>
      <c r="I18" s="640"/>
      <c r="J18" s="607"/>
      <c r="K18" s="607"/>
      <c r="L18" s="607"/>
      <c r="M18" s="608"/>
      <c r="N18" s="608">
        <f>+N19+N21</f>
        <v>5191.3333333333339</v>
      </c>
      <c r="O18" s="608"/>
      <c r="P18" s="607"/>
      <c r="Q18" s="607"/>
      <c r="R18" s="607"/>
      <c r="S18" s="608">
        <f>+S19+S21</f>
        <v>3441.3333333333335</v>
      </c>
      <c r="T18" s="608">
        <f>+T19+T21</f>
        <v>1750</v>
      </c>
      <c r="U18" s="608">
        <f>+U19+U21</f>
        <v>3441.3333333333335</v>
      </c>
      <c r="V18" s="607"/>
      <c r="W18" s="607"/>
      <c r="X18" s="607"/>
      <c r="Y18" s="608">
        <f>+Y19+Y21</f>
        <v>1750</v>
      </c>
      <c r="Z18" s="608">
        <f>+Z19+Z21</f>
        <v>3441.3333333333335</v>
      </c>
      <c r="AA18" s="608"/>
      <c r="AB18" s="607"/>
      <c r="AC18" s="607"/>
      <c r="AD18" s="607"/>
      <c r="AE18" s="608">
        <f>+AE19+AE21</f>
        <v>5191.3333333333339</v>
      </c>
      <c r="AF18" s="608"/>
      <c r="AG18" s="608">
        <f>+AG19+AG21</f>
        <v>3441.3333333333335</v>
      </c>
      <c r="AH18" s="608">
        <f>+AH19+AH21</f>
        <v>27648</v>
      </c>
      <c r="AI18" s="608">
        <f>+AI19+AI21</f>
        <v>27648</v>
      </c>
      <c r="AJ18" s="1499"/>
      <c r="AK18" s="608"/>
      <c r="AL18" s="608"/>
      <c r="AM18" s="608"/>
      <c r="AN18" s="608"/>
      <c r="AO18" s="1922"/>
      <c r="AP18" s="1922" t="s">
        <v>4492</v>
      </c>
      <c r="AQ18" s="1922"/>
    </row>
    <row r="19" spans="1:43" ht="150">
      <c r="A19" s="1923" t="s">
        <v>1531</v>
      </c>
      <c r="B19" s="1924" t="s">
        <v>1532</v>
      </c>
      <c r="C19" s="1925"/>
      <c r="D19" s="18" t="s">
        <v>52</v>
      </c>
      <c r="E19" s="18" t="s">
        <v>1533</v>
      </c>
      <c r="F19" s="18" t="s">
        <v>1026</v>
      </c>
      <c r="G19" s="558">
        <f t="shared" si="4"/>
        <v>20.28397565922921</v>
      </c>
      <c r="H19" s="558"/>
      <c r="I19" s="558"/>
      <c r="J19" s="613"/>
      <c r="K19" s="613"/>
      <c r="L19" s="613"/>
      <c r="M19" s="562"/>
      <c r="N19" s="562">
        <f>+N20</f>
        <v>1750</v>
      </c>
      <c r="O19" s="562"/>
      <c r="P19" s="1903"/>
      <c r="Q19" s="1903"/>
      <c r="R19" s="1903"/>
      <c r="S19" s="562"/>
      <c r="T19" s="562">
        <f>+T20</f>
        <v>1750</v>
      </c>
      <c r="U19" s="562"/>
      <c r="V19" s="1903"/>
      <c r="W19" s="1903"/>
      <c r="X19" s="1903"/>
      <c r="Y19" s="562">
        <f>+Y20</f>
        <v>1750</v>
      </c>
      <c r="Z19" s="562"/>
      <c r="AA19" s="562"/>
      <c r="AB19" s="1903"/>
      <c r="AC19" s="1903"/>
      <c r="AD19" s="1903"/>
      <c r="AE19" s="562">
        <f>+AE20</f>
        <v>1750</v>
      </c>
      <c r="AF19" s="562"/>
      <c r="AG19" s="562"/>
      <c r="AH19" s="562">
        <f>+AH20</f>
        <v>7000</v>
      </c>
      <c r="AI19" s="562">
        <f>+AI20</f>
        <v>7000</v>
      </c>
      <c r="AJ19" s="562"/>
      <c r="AK19" s="562"/>
      <c r="AL19" s="562"/>
      <c r="AM19" s="562"/>
      <c r="AN19" s="562"/>
      <c r="AO19" s="1904"/>
      <c r="AP19" s="1904" t="s">
        <v>4492</v>
      </c>
      <c r="AQ19" s="1904"/>
    </row>
    <row r="20" spans="1:43" ht="90">
      <c r="A20" s="1926" t="s">
        <v>4496</v>
      </c>
      <c r="B20" s="1927" t="s">
        <v>4497</v>
      </c>
      <c r="C20" s="1928">
        <v>4</v>
      </c>
      <c r="D20" s="1929" t="s">
        <v>1950</v>
      </c>
      <c r="E20" s="1927" t="s">
        <v>1533</v>
      </c>
      <c r="F20" s="1927" t="s">
        <v>4498</v>
      </c>
      <c r="G20" s="1905">
        <f t="shared" si="4"/>
        <v>20.28397565922921</v>
      </c>
      <c r="H20" s="1905"/>
      <c r="I20" s="1905">
        <v>100</v>
      </c>
      <c r="J20" s="1906"/>
      <c r="K20" s="1907">
        <v>1</v>
      </c>
      <c r="L20" s="1906"/>
      <c r="M20" s="649"/>
      <c r="N20" s="649">
        <f>$AH20/$C20*K20</f>
        <v>1750</v>
      </c>
      <c r="O20" s="649"/>
      <c r="P20" s="1906"/>
      <c r="Q20" s="1907">
        <v>1</v>
      </c>
      <c r="R20" s="1906"/>
      <c r="S20" s="649"/>
      <c r="T20" s="649">
        <f>$AH20/$C20*Q20</f>
        <v>1750</v>
      </c>
      <c r="U20" s="649"/>
      <c r="V20" s="1907">
        <v>1</v>
      </c>
      <c r="W20" s="1906"/>
      <c r="X20" s="649"/>
      <c r="Y20" s="649">
        <f>$AH20/$C20*V20</f>
        <v>1750</v>
      </c>
      <c r="Z20" s="649"/>
      <c r="AA20" s="649"/>
      <c r="AB20" s="1907">
        <v>1</v>
      </c>
      <c r="AC20" s="1906"/>
      <c r="AD20" s="649"/>
      <c r="AE20" s="649">
        <f>$AH20/$C20*AB20</f>
        <v>1750</v>
      </c>
      <c r="AF20" s="649"/>
      <c r="AG20" s="649"/>
      <c r="AH20" s="649">
        <f>SUM(AI20:AN20)</f>
        <v>7000</v>
      </c>
      <c r="AI20" s="1910">
        <v>7000</v>
      </c>
      <c r="AJ20" s="1930"/>
      <c r="AK20" s="649"/>
      <c r="AL20" s="649"/>
      <c r="AM20" s="649"/>
      <c r="AN20" s="1931"/>
      <c r="AO20" s="1911" t="s">
        <v>928</v>
      </c>
      <c r="AP20" s="1912" t="s">
        <v>4492</v>
      </c>
      <c r="AQ20" s="1912"/>
    </row>
    <row r="21" spans="1:43" ht="135">
      <c r="A21" s="1923" t="s">
        <v>1538</v>
      </c>
      <c r="B21" s="1924" t="s">
        <v>1539</v>
      </c>
      <c r="C21" s="1925"/>
      <c r="D21" s="18" t="s">
        <v>4499</v>
      </c>
      <c r="E21" s="18" t="s">
        <v>1540</v>
      </c>
      <c r="F21" s="18" t="s">
        <v>3434</v>
      </c>
      <c r="G21" s="558">
        <f t="shared" si="4"/>
        <v>59.831932773109244</v>
      </c>
      <c r="H21" s="558"/>
      <c r="I21" s="558"/>
      <c r="J21" s="613"/>
      <c r="K21" s="613"/>
      <c r="L21" s="613"/>
      <c r="M21" s="562"/>
      <c r="N21" s="562">
        <f>+N22</f>
        <v>3441.3333333333335</v>
      </c>
      <c r="O21" s="562"/>
      <c r="P21" s="1903"/>
      <c r="Q21" s="1903"/>
      <c r="R21" s="1903"/>
      <c r="S21" s="562">
        <f>+S22</f>
        <v>3441.3333333333335</v>
      </c>
      <c r="T21" s="562"/>
      <c r="U21" s="562">
        <f>+U22</f>
        <v>3441.3333333333335</v>
      </c>
      <c r="V21" s="1903"/>
      <c r="W21" s="1903"/>
      <c r="X21" s="1903"/>
      <c r="Y21" s="562"/>
      <c r="Z21" s="562">
        <f>+Z22</f>
        <v>3441.3333333333335</v>
      </c>
      <c r="AA21" s="562"/>
      <c r="AB21" s="1903"/>
      <c r="AC21" s="1903"/>
      <c r="AD21" s="1903"/>
      <c r="AE21" s="562">
        <f>+AE22</f>
        <v>3441.3333333333335</v>
      </c>
      <c r="AF21" s="562"/>
      <c r="AG21" s="562">
        <f>+AG22</f>
        <v>3441.3333333333335</v>
      </c>
      <c r="AH21" s="562">
        <f>+AH22</f>
        <v>20648</v>
      </c>
      <c r="AI21" s="562">
        <f>+AI22</f>
        <v>20648</v>
      </c>
      <c r="AJ21" s="562"/>
      <c r="AK21" s="562"/>
      <c r="AL21" s="562"/>
      <c r="AM21" s="562"/>
      <c r="AN21" s="562"/>
      <c r="AO21" s="1904"/>
      <c r="AP21" s="1904"/>
      <c r="AQ21" s="1904"/>
    </row>
    <row r="22" spans="1:43" ht="75">
      <c r="A22" s="1932" t="s">
        <v>4500</v>
      </c>
      <c r="B22" s="1926" t="s">
        <v>4501</v>
      </c>
      <c r="C22" s="1933">
        <f>SUM(J22,K22,L22,P22,Q22,R22,V22,W22,X22,AB22,AC22,AD22)</f>
        <v>6</v>
      </c>
      <c r="D22" s="1926" t="s">
        <v>1543</v>
      </c>
      <c r="E22" s="1926" t="s">
        <v>4502</v>
      </c>
      <c r="F22" s="1933" t="s">
        <v>3434</v>
      </c>
      <c r="G22" s="1905">
        <f t="shared" si="4"/>
        <v>59.831932773109244</v>
      </c>
      <c r="H22" s="1905"/>
      <c r="I22" s="1905">
        <v>100</v>
      </c>
      <c r="J22" s="1906"/>
      <c r="K22" s="1906">
        <v>1</v>
      </c>
      <c r="L22" s="1906"/>
      <c r="M22" s="649"/>
      <c r="N22" s="649">
        <f>$AH22/$C22*K22</f>
        <v>3441.3333333333335</v>
      </c>
      <c r="O22" s="649"/>
      <c r="P22" s="1908">
        <v>1</v>
      </c>
      <c r="Q22" s="1908"/>
      <c r="R22" s="1934">
        <v>1</v>
      </c>
      <c r="S22" s="649">
        <f>$AH22/$C22*P22</f>
        <v>3441.3333333333335</v>
      </c>
      <c r="T22" s="649"/>
      <c r="U22" s="649">
        <f>$AH22/$C22*R22</f>
        <v>3441.3333333333335</v>
      </c>
      <c r="V22" s="1908"/>
      <c r="W22" s="1908">
        <v>1</v>
      </c>
      <c r="X22" s="1908"/>
      <c r="Y22" s="649"/>
      <c r="Z22" s="649">
        <f>$AH22/$C22*W22</f>
        <v>3441.3333333333335</v>
      </c>
      <c r="AA22" s="649"/>
      <c r="AB22" s="1906">
        <v>1</v>
      </c>
      <c r="AC22" s="1908"/>
      <c r="AD22" s="1934">
        <v>1</v>
      </c>
      <c r="AE22" s="649">
        <f>$AH22/$C22*AB22</f>
        <v>3441.3333333333335</v>
      </c>
      <c r="AF22" s="649"/>
      <c r="AG22" s="649">
        <f>$AH22/$C22*AD22</f>
        <v>3441.3333333333335</v>
      </c>
      <c r="AH22" s="649">
        <f>SUM(AI22:AN22)</f>
        <v>20648</v>
      </c>
      <c r="AI22" s="1910">
        <f>(18780+684+1184)</f>
        <v>20648</v>
      </c>
      <c r="AJ22" s="1930"/>
      <c r="AK22" s="649"/>
      <c r="AL22" s="649"/>
      <c r="AM22" s="649"/>
      <c r="AN22" s="649"/>
      <c r="AO22" s="1911" t="s">
        <v>928</v>
      </c>
      <c r="AP22" s="1912" t="s">
        <v>4492</v>
      </c>
      <c r="AQ22" s="1912"/>
    </row>
    <row r="23" spans="1:43" ht="15">
      <c r="A23" s="1935"/>
      <c r="B23" s="1922"/>
      <c r="C23" s="1935"/>
      <c r="D23" s="1922"/>
      <c r="E23" s="1922"/>
      <c r="F23" s="1922"/>
      <c r="G23" s="640"/>
      <c r="H23" s="640">
        <f>SUM(H10:H22)</f>
        <v>98</v>
      </c>
      <c r="I23" s="640"/>
      <c r="J23" s="1935"/>
      <c r="K23" s="1935"/>
      <c r="L23" s="608"/>
      <c r="M23" s="608"/>
      <c r="N23" s="608">
        <f>+N10</f>
        <v>5191.3333333333339</v>
      </c>
      <c r="O23" s="608">
        <f>+O10</f>
        <v>1062</v>
      </c>
      <c r="P23" s="1936"/>
      <c r="Q23" s="1936"/>
      <c r="R23" s="1936"/>
      <c r="S23" s="608">
        <f>+S10</f>
        <v>3441.3333333333335</v>
      </c>
      <c r="T23" s="608">
        <f>+T10</f>
        <v>1750</v>
      </c>
      <c r="U23" s="608">
        <f>+U10</f>
        <v>4783.3333333333339</v>
      </c>
      <c r="V23" s="1936"/>
      <c r="W23" s="1936"/>
      <c r="X23" s="1936"/>
      <c r="Y23" s="608">
        <f>+Y10</f>
        <v>1750</v>
      </c>
      <c r="Z23" s="608">
        <f>+Z10</f>
        <v>3441.3333333333335</v>
      </c>
      <c r="AA23" s="608">
        <f>+AA10</f>
        <v>1062</v>
      </c>
      <c r="AB23" s="1936"/>
      <c r="AC23" s="1936"/>
      <c r="AD23" s="1936"/>
      <c r="AE23" s="608">
        <f>+AE10</f>
        <v>6559.3333333333339</v>
      </c>
      <c r="AF23" s="608"/>
      <c r="AG23" s="608">
        <f>+AG10</f>
        <v>5469.3333333333339</v>
      </c>
      <c r="AH23" s="608">
        <f>+AH10</f>
        <v>34510</v>
      </c>
      <c r="AI23" s="608">
        <f>+AI10</f>
        <v>34510</v>
      </c>
      <c r="AJ23" s="608"/>
      <c r="AK23" s="608"/>
      <c r="AL23" s="608"/>
      <c r="AM23" s="608"/>
      <c r="AN23" s="608"/>
      <c r="AO23" s="1935"/>
      <c r="AP23" s="1935"/>
      <c r="AQ23" s="1935"/>
    </row>
  </sheetData>
  <sheetProtection algorithmName="SHA-512" hashValue="QApv6yZ0sQutSkx92SSr62xoZE4cgN8ZpQfytnnDVdbLTwfr+6MmVrsbYKhD2SOM5SlHg3HcqKVYWzlNHerVfw==" saltValue="99ay2Nl3UzPK10X0Tsye/Q==" spinCount="100000" sheet="1" objects="1" scenarios="1"/>
  <mergeCells count="36">
    <mergeCell ref="V8:X8"/>
    <mergeCell ref="Y8:AA8"/>
    <mergeCell ref="AB8:AD8"/>
    <mergeCell ref="AN7:AN9"/>
    <mergeCell ref="J8:L8"/>
    <mergeCell ref="M8:O8"/>
    <mergeCell ref="AE8:AG8"/>
    <mergeCell ref="AQ6:AQ9"/>
    <mergeCell ref="J7:O7"/>
    <mergeCell ref="P7:U7"/>
    <mergeCell ref="V7:AA7"/>
    <mergeCell ref="AB7:AG7"/>
    <mergeCell ref="AH7:AH9"/>
    <mergeCell ref="AI7:AI9"/>
    <mergeCell ref="AJ7:AJ9"/>
    <mergeCell ref="AK7:AK9"/>
    <mergeCell ref="AL7:AL9"/>
    <mergeCell ref="AP6:AP9"/>
    <mergeCell ref="P8:R8"/>
    <mergeCell ref="S8:U8"/>
    <mergeCell ref="A1:AQ1"/>
    <mergeCell ref="A2:AQ2"/>
    <mergeCell ref="B3:J3"/>
    <mergeCell ref="A6:A9"/>
    <mergeCell ref="B6:B9"/>
    <mergeCell ref="C6:C9"/>
    <mergeCell ref="D6:D9"/>
    <mergeCell ref="E6:E9"/>
    <mergeCell ref="F6:F9"/>
    <mergeCell ref="G6:G9"/>
    <mergeCell ref="H6:H9"/>
    <mergeCell ref="I6:I9"/>
    <mergeCell ref="J6:AH6"/>
    <mergeCell ref="AI6:AN6"/>
    <mergeCell ref="AO6:AO9"/>
    <mergeCell ref="AM7:AM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57"/>
  <sheetViews>
    <sheetView workbookViewId="0">
      <selection activeCell="E14" sqref="E14"/>
    </sheetView>
  </sheetViews>
  <sheetFormatPr baseColWidth="10" defaultRowHeight="14.4"/>
  <cols>
    <col min="1" max="1" width="20.5546875" customWidth="1"/>
    <col min="2" max="2" width="36.5546875" customWidth="1"/>
    <col min="3" max="3" width="9.44140625" bestFit="1" customWidth="1"/>
    <col min="4" max="4" width="15.88671875" customWidth="1"/>
    <col min="5" max="5" width="30.6640625" customWidth="1"/>
    <col min="6" max="6" width="24.5546875" customWidth="1"/>
    <col min="7" max="7" width="7.88671875" customWidth="1"/>
    <col min="8" max="8" width="11.6640625" customWidth="1"/>
    <col min="9" max="9" width="12.109375" customWidth="1"/>
    <col min="10" max="10" width="5.44140625" customWidth="1"/>
    <col min="11" max="11" width="5.88671875" customWidth="1"/>
    <col min="12" max="12" width="8.33203125" bestFit="1" customWidth="1"/>
    <col min="13" max="14" width="13" bestFit="1" customWidth="1"/>
    <col min="15" max="15" width="14" customWidth="1"/>
    <col min="16" max="16" width="5.88671875" customWidth="1"/>
    <col min="17" max="17" width="8.33203125" bestFit="1" customWidth="1"/>
    <col min="18" max="18" width="10.109375" bestFit="1" customWidth="1"/>
    <col min="19" max="19" width="14" customWidth="1"/>
    <col min="20" max="20" width="13" bestFit="1" customWidth="1"/>
    <col min="21" max="21" width="14.44140625" customWidth="1"/>
    <col min="22" max="23" width="5.88671875" customWidth="1"/>
    <col min="24" max="24" width="8" customWidth="1"/>
    <col min="25" max="25" width="13.44140625" customWidth="1"/>
    <col min="26" max="27" width="14" bestFit="1" customWidth="1"/>
    <col min="28" max="28" width="8" customWidth="1"/>
    <col min="29" max="30" width="5.88671875" customWidth="1"/>
    <col min="31" max="32" width="14" bestFit="1" customWidth="1"/>
    <col min="33" max="33" width="14" customWidth="1"/>
    <col min="34" max="34" width="16.5546875" customWidth="1"/>
    <col min="35" max="35" width="16.109375" customWidth="1"/>
    <col min="36" max="36" width="10.44140625" customWidth="1"/>
    <col min="37" max="37" width="6.5546875" customWidth="1"/>
    <col min="38" max="39" width="14.44140625" customWidth="1"/>
    <col min="40" max="40" width="6.6640625" customWidth="1"/>
    <col min="41" max="41" width="17.5546875" customWidth="1"/>
    <col min="42" max="42" width="20" customWidth="1"/>
    <col min="43" max="43" width="6.88671875" customWidth="1"/>
  </cols>
  <sheetData>
    <row r="1" spans="1:43" ht="17.399999999999999">
      <c r="A1" s="2012" t="s">
        <v>0</v>
      </c>
      <c r="B1" s="2013"/>
      <c r="C1" s="2013"/>
      <c r="D1" s="2013"/>
      <c r="E1" s="2013"/>
      <c r="F1" s="2013"/>
      <c r="G1" s="2013"/>
      <c r="H1" s="2013"/>
      <c r="I1" s="2013"/>
      <c r="J1" s="2013"/>
      <c r="K1" s="2013"/>
      <c r="L1" s="2013"/>
      <c r="M1" s="2013"/>
      <c r="N1" s="2013"/>
      <c r="O1" s="2013"/>
      <c r="P1" s="2013"/>
      <c r="Q1" s="2013"/>
      <c r="R1" s="2013"/>
      <c r="S1" s="2013"/>
      <c r="T1" s="2013"/>
      <c r="U1" s="2013"/>
      <c r="V1" s="2013"/>
      <c r="W1" s="2013"/>
      <c r="X1" s="2013"/>
      <c r="Y1" s="2013"/>
      <c r="Z1" s="2013"/>
      <c r="AA1" s="2013"/>
      <c r="AB1" s="2013"/>
      <c r="AC1" s="2013"/>
      <c r="AD1" s="2013"/>
      <c r="AE1" s="2013"/>
      <c r="AF1" s="2013"/>
      <c r="AG1" s="2013"/>
      <c r="AH1" s="2013"/>
      <c r="AI1" s="2013"/>
      <c r="AJ1" s="2013"/>
      <c r="AK1" s="2013"/>
      <c r="AL1" s="2013"/>
      <c r="AM1" s="2013"/>
      <c r="AN1" s="2013"/>
      <c r="AO1" s="2013"/>
      <c r="AP1" s="2013"/>
      <c r="AQ1" s="2013"/>
    </row>
    <row r="2" spans="1:43" ht="17.399999999999999">
      <c r="A2" s="2012" t="s">
        <v>1</v>
      </c>
      <c r="B2" s="2013"/>
      <c r="C2" s="2013"/>
      <c r="D2" s="2013"/>
      <c r="E2" s="2013"/>
      <c r="F2" s="2013"/>
      <c r="G2" s="2013"/>
      <c r="H2" s="2013"/>
      <c r="I2" s="2013"/>
      <c r="J2" s="2013"/>
      <c r="K2" s="2013"/>
      <c r="L2" s="2013"/>
      <c r="M2" s="2013"/>
      <c r="N2" s="2013"/>
      <c r="O2" s="2013"/>
      <c r="P2" s="2013"/>
      <c r="Q2" s="2013"/>
      <c r="R2" s="2013"/>
      <c r="S2" s="2013"/>
      <c r="T2" s="2013"/>
      <c r="U2" s="2013"/>
      <c r="V2" s="2013"/>
      <c r="W2" s="2013"/>
      <c r="X2" s="2013"/>
      <c r="Y2" s="2013"/>
      <c r="Z2" s="2013"/>
      <c r="AA2" s="2013"/>
      <c r="AB2" s="2013"/>
      <c r="AC2" s="2013"/>
      <c r="AD2" s="2013"/>
      <c r="AE2" s="2013"/>
      <c r="AF2" s="2013"/>
      <c r="AG2" s="2013"/>
      <c r="AH2" s="2013"/>
      <c r="AI2" s="2013"/>
      <c r="AJ2" s="2013"/>
      <c r="AK2" s="2013"/>
      <c r="AL2" s="2013"/>
      <c r="AM2" s="2013"/>
      <c r="AN2" s="2013"/>
      <c r="AO2" s="2013"/>
      <c r="AP2" s="2013"/>
      <c r="AQ2" s="2013"/>
    </row>
    <row r="3" spans="1:43" ht="17.399999999999999">
      <c r="A3" s="323"/>
      <c r="B3" s="324" t="s">
        <v>911</v>
      </c>
      <c r="C3" s="325"/>
      <c r="D3" s="326"/>
      <c r="E3" s="326"/>
      <c r="F3" s="327"/>
      <c r="G3" s="328"/>
      <c r="H3" s="329"/>
      <c r="I3" s="330"/>
      <c r="J3" s="331"/>
      <c r="K3" s="331"/>
      <c r="L3" s="332"/>
      <c r="M3" s="333"/>
      <c r="N3" s="331"/>
      <c r="O3" s="331"/>
      <c r="P3" s="331"/>
      <c r="Q3" s="334"/>
      <c r="R3" s="334"/>
      <c r="S3" s="334"/>
      <c r="T3" s="335"/>
      <c r="U3" s="334"/>
      <c r="V3" s="334"/>
      <c r="W3" s="336"/>
      <c r="X3" s="336"/>
      <c r="Y3" s="336"/>
      <c r="Z3" s="336"/>
      <c r="AA3" s="336"/>
      <c r="AB3" s="336"/>
      <c r="AC3" s="336"/>
      <c r="AD3" s="336"/>
      <c r="AE3" s="337"/>
      <c r="AF3" s="336"/>
      <c r="AG3" s="336"/>
      <c r="AH3" s="338"/>
      <c r="AI3" s="339"/>
      <c r="AJ3" s="336"/>
      <c r="AK3" s="336"/>
      <c r="AL3" s="325"/>
      <c r="AM3" s="325"/>
      <c r="AN3" s="336"/>
      <c r="AO3" s="336"/>
      <c r="AP3" s="336"/>
      <c r="AQ3" s="336"/>
    </row>
    <row r="4" spans="1:43" ht="17.399999999999999">
      <c r="A4" s="323"/>
      <c r="B4" s="340" t="s">
        <v>912</v>
      </c>
      <c r="C4" s="325"/>
      <c r="D4" s="326"/>
      <c r="E4" s="326"/>
      <c r="F4" s="327"/>
      <c r="G4" s="328"/>
      <c r="H4" s="329"/>
      <c r="I4" s="330"/>
      <c r="J4" s="331"/>
      <c r="K4" s="331"/>
      <c r="L4" s="332"/>
      <c r="M4" s="333"/>
      <c r="N4" s="331"/>
      <c r="O4" s="331"/>
      <c r="P4" s="331"/>
      <c r="Q4" s="329"/>
      <c r="R4" s="329"/>
      <c r="S4" s="329"/>
      <c r="T4" s="341"/>
      <c r="U4" s="329"/>
      <c r="V4" s="329"/>
      <c r="W4" s="336"/>
      <c r="X4" s="336"/>
      <c r="Y4" s="336"/>
      <c r="Z4" s="336"/>
      <c r="AA4" s="336"/>
      <c r="AB4" s="336"/>
      <c r="AC4" s="336"/>
      <c r="AD4" s="336"/>
      <c r="AE4" s="337"/>
      <c r="AF4" s="336"/>
      <c r="AG4" s="336"/>
      <c r="AH4" s="338"/>
      <c r="AI4" s="339"/>
      <c r="AJ4" s="336"/>
      <c r="AK4" s="336"/>
      <c r="AL4" s="325"/>
      <c r="AM4" s="325"/>
      <c r="AN4" s="336"/>
      <c r="AO4" s="336"/>
      <c r="AP4" s="336"/>
      <c r="AQ4" s="336"/>
    </row>
    <row r="5" spans="1:43" ht="17.399999999999999">
      <c r="A5" s="323"/>
      <c r="B5" s="340" t="s">
        <v>913</v>
      </c>
      <c r="C5" s="325"/>
      <c r="D5" s="342"/>
      <c r="E5" s="342"/>
      <c r="F5" s="343"/>
      <c r="G5" s="323"/>
      <c r="H5" s="329"/>
      <c r="I5" s="344"/>
      <c r="J5" s="345"/>
      <c r="K5" s="345"/>
      <c r="L5" s="346"/>
      <c r="M5" s="347"/>
      <c r="N5" s="345"/>
      <c r="O5" s="345"/>
      <c r="P5" s="345"/>
      <c r="Q5" s="334"/>
      <c r="R5" s="334"/>
      <c r="S5" s="334"/>
      <c r="T5" s="335"/>
      <c r="U5" s="334"/>
      <c r="V5" s="334"/>
      <c r="W5" s="336"/>
      <c r="X5" s="336"/>
      <c r="Y5" s="336"/>
      <c r="Z5" s="336"/>
      <c r="AA5" s="336"/>
      <c r="AB5" s="336"/>
      <c r="AC5" s="336"/>
      <c r="AD5" s="336"/>
      <c r="AE5" s="337"/>
      <c r="AF5" s="336"/>
      <c r="AG5" s="336"/>
      <c r="AH5" s="338"/>
      <c r="AI5" s="339"/>
      <c r="AJ5" s="336"/>
      <c r="AK5" s="336"/>
      <c r="AL5" s="325"/>
      <c r="AM5" s="325"/>
      <c r="AN5" s="336"/>
      <c r="AO5" s="336"/>
      <c r="AP5" s="336"/>
      <c r="AQ5" s="336"/>
    </row>
    <row r="6" spans="1:43" ht="15.6">
      <c r="A6" s="2014" t="s">
        <v>5</v>
      </c>
      <c r="B6" s="2017" t="s">
        <v>914</v>
      </c>
      <c r="C6" s="2017" t="s">
        <v>7</v>
      </c>
      <c r="D6" s="2020" t="s">
        <v>8</v>
      </c>
      <c r="E6" s="2020" t="s">
        <v>9</v>
      </c>
      <c r="F6" s="2017" t="s">
        <v>10</v>
      </c>
      <c r="G6" s="2021" t="s">
        <v>11</v>
      </c>
      <c r="H6" s="2021" t="s">
        <v>12</v>
      </c>
      <c r="I6" s="2021" t="s">
        <v>13</v>
      </c>
      <c r="J6" s="2025" t="s">
        <v>14</v>
      </c>
      <c r="K6" s="2026"/>
      <c r="L6" s="2026"/>
      <c r="M6" s="2026"/>
      <c r="N6" s="2026"/>
      <c r="O6" s="2026"/>
      <c r="P6" s="2026"/>
      <c r="Q6" s="2026"/>
      <c r="R6" s="2026"/>
      <c r="S6" s="2026"/>
      <c r="T6" s="2026"/>
      <c r="U6" s="2026"/>
      <c r="V6" s="2026"/>
      <c r="W6" s="2026"/>
      <c r="X6" s="2026"/>
      <c r="Y6" s="2026"/>
      <c r="Z6" s="2026"/>
      <c r="AA6" s="2026"/>
      <c r="AB6" s="2026"/>
      <c r="AC6" s="2026"/>
      <c r="AD6" s="2026"/>
      <c r="AE6" s="2026"/>
      <c r="AF6" s="2026"/>
      <c r="AG6" s="2026"/>
      <c r="AH6" s="2027"/>
      <c r="AI6" s="2028" t="s">
        <v>15</v>
      </c>
      <c r="AJ6" s="2029"/>
      <c r="AK6" s="2029"/>
      <c r="AL6" s="2029"/>
      <c r="AM6" s="2029"/>
      <c r="AN6" s="2030"/>
      <c r="AO6" s="2023" t="s">
        <v>16</v>
      </c>
      <c r="AP6" s="2023" t="s">
        <v>17</v>
      </c>
      <c r="AQ6" s="2021" t="s">
        <v>18</v>
      </c>
    </row>
    <row r="7" spans="1:43" ht="15.6">
      <c r="A7" s="2015"/>
      <c r="B7" s="2018"/>
      <c r="C7" s="2018"/>
      <c r="D7" s="2018"/>
      <c r="E7" s="2018"/>
      <c r="F7" s="2018"/>
      <c r="G7" s="2022"/>
      <c r="H7" s="2022"/>
      <c r="I7" s="2022"/>
      <c r="J7" s="2025" t="s">
        <v>19</v>
      </c>
      <c r="K7" s="2026"/>
      <c r="L7" s="2026"/>
      <c r="M7" s="2026"/>
      <c r="N7" s="2026"/>
      <c r="O7" s="2027"/>
      <c r="P7" s="2025" t="s">
        <v>20</v>
      </c>
      <c r="Q7" s="2026"/>
      <c r="R7" s="2026"/>
      <c r="S7" s="2026"/>
      <c r="T7" s="2026"/>
      <c r="U7" s="2027"/>
      <c r="V7" s="2025" t="s">
        <v>21</v>
      </c>
      <c r="W7" s="2026"/>
      <c r="X7" s="2026"/>
      <c r="Y7" s="2026"/>
      <c r="Z7" s="2026"/>
      <c r="AA7" s="2027"/>
      <c r="AB7" s="2025" t="s">
        <v>22</v>
      </c>
      <c r="AC7" s="2026"/>
      <c r="AD7" s="2026"/>
      <c r="AE7" s="2026"/>
      <c r="AF7" s="2026"/>
      <c r="AG7" s="2027"/>
      <c r="AH7" s="2017" t="s">
        <v>23</v>
      </c>
      <c r="AI7" s="1958" t="s">
        <v>24</v>
      </c>
      <c r="AJ7" s="1954" t="s">
        <v>915</v>
      </c>
      <c r="AK7" s="1954" t="s">
        <v>916</v>
      </c>
      <c r="AL7" s="1958" t="s">
        <v>27</v>
      </c>
      <c r="AM7" s="1958" t="s">
        <v>28</v>
      </c>
      <c r="AN7" s="1954" t="s">
        <v>29</v>
      </c>
      <c r="AO7" s="2024"/>
      <c r="AP7" s="2024"/>
      <c r="AQ7" s="2022"/>
    </row>
    <row r="8" spans="1:43" ht="15.6">
      <c r="A8" s="2015"/>
      <c r="B8" s="2018"/>
      <c r="C8" s="2018"/>
      <c r="D8" s="2018"/>
      <c r="E8" s="2018"/>
      <c r="F8" s="2018"/>
      <c r="G8" s="2022"/>
      <c r="H8" s="2022"/>
      <c r="I8" s="2022"/>
      <c r="J8" s="2035" t="s">
        <v>30</v>
      </c>
      <c r="K8" s="2036"/>
      <c r="L8" s="2037"/>
      <c r="M8" s="2025" t="s">
        <v>31</v>
      </c>
      <c r="N8" s="2026"/>
      <c r="O8" s="2027"/>
      <c r="P8" s="2025" t="s">
        <v>30</v>
      </c>
      <c r="Q8" s="2026"/>
      <c r="R8" s="2027"/>
      <c r="S8" s="2025" t="s">
        <v>31</v>
      </c>
      <c r="T8" s="2026"/>
      <c r="U8" s="2027"/>
      <c r="V8" s="2025" t="s">
        <v>30</v>
      </c>
      <c r="W8" s="2026"/>
      <c r="X8" s="2027"/>
      <c r="Y8" s="2025" t="s">
        <v>31</v>
      </c>
      <c r="Z8" s="2026"/>
      <c r="AA8" s="2027"/>
      <c r="AB8" s="2025" t="s">
        <v>30</v>
      </c>
      <c r="AC8" s="2026"/>
      <c r="AD8" s="2027"/>
      <c r="AE8" s="2025" t="s">
        <v>31</v>
      </c>
      <c r="AF8" s="2026"/>
      <c r="AG8" s="2027"/>
      <c r="AH8" s="2018"/>
      <c r="AI8" s="1959"/>
      <c r="AJ8" s="1955"/>
      <c r="AK8" s="1955"/>
      <c r="AL8" s="1959"/>
      <c r="AM8" s="1959"/>
      <c r="AN8" s="1955"/>
      <c r="AO8" s="2024"/>
      <c r="AP8" s="2024"/>
      <c r="AQ8" s="2022"/>
    </row>
    <row r="9" spans="1:43" ht="15.6">
      <c r="A9" s="2016"/>
      <c r="B9" s="2019"/>
      <c r="C9" s="2019"/>
      <c r="D9" s="2019"/>
      <c r="E9" s="2019"/>
      <c r="F9" s="2019"/>
      <c r="G9" s="2022"/>
      <c r="H9" s="2022"/>
      <c r="I9" s="2022"/>
      <c r="J9" s="348" t="s">
        <v>32</v>
      </c>
      <c r="K9" s="348" t="s">
        <v>33</v>
      </c>
      <c r="L9" s="348" t="s">
        <v>34</v>
      </c>
      <c r="M9" s="348" t="s">
        <v>32</v>
      </c>
      <c r="N9" s="348" t="s">
        <v>33</v>
      </c>
      <c r="O9" s="348" t="s">
        <v>34</v>
      </c>
      <c r="P9" s="348" t="s">
        <v>35</v>
      </c>
      <c r="Q9" s="348" t="s">
        <v>34</v>
      </c>
      <c r="R9" s="348" t="s">
        <v>36</v>
      </c>
      <c r="S9" s="348" t="s">
        <v>35</v>
      </c>
      <c r="T9" s="348" t="s">
        <v>34</v>
      </c>
      <c r="U9" s="348" t="s">
        <v>36</v>
      </c>
      <c r="V9" s="348" t="s">
        <v>36</v>
      </c>
      <c r="W9" s="348" t="s">
        <v>35</v>
      </c>
      <c r="X9" s="348" t="s">
        <v>37</v>
      </c>
      <c r="Y9" s="348" t="s">
        <v>36</v>
      </c>
      <c r="Z9" s="348" t="s">
        <v>35</v>
      </c>
      <c r="AA9" s="348" t="s">
        <v>37</v>
      </c>
      <c r="AB9" s="348" t="s">
        <v>38</v>
      </c>
      <c r="AC9" s="348" t="s">
        <v>39</v>
      </c>
      <c r="AD9" s="348" t="s">
        <v>40</v>
      </c>
      <c r="AE9" s="348" t="s">
        <v>38</v>
      </c>
      <c r="AF9" s="348" t="s">
        <v>39</v>
      </c>
      <c r="AG9" s="348" t="s">
        <v>40</v>
      </c>
      <c r="AH9" s="2018"/>
      <c r="AI9" s="1959"/>
      <c r="AJ9" s="1955"/>
      <c r="AK9" s="1955"/>
      <c r="AL9" s="1959"/>
      <c r="AM9" s="1959"/>
      <c r="AN9" s="1955"/>
      <c r="AO9" s="2024"/>
      <c r="AP9" s="2024"/>
      <c r="AQ9" s="2022"/>
    </row>
    <row r="10" spans="1:43" ht="45">
      <c r="A10" s="47" t="s">
        <v>41</v>
      </c>
      <c r="B10" s="47" t="s">
        <v>42</v>
      </c>
      <c r="C10" s="349"/>
      <c r="D10" s="47"/>
      <c r="E10" s="47"/>
      <c r="F10" s="350"/>
      <c r="G10" s="351">
        <f>AH10/AH$157*100</f>
        <v>15.071250695986832</v>
      </c>
      <c r="H10" s="351"/>
      <c r="I10" s="351"/>
      <c r="J10" s="352"/>
      <c r="K10" s="352"/>
      <c r="L10" s="352"/>
      <c r="M10" s="353">
        <f t="shared" ref="M10:O10" si="0">SUM(M11)</f>
        <v>600</v>
      </c>
      <c r="N10" s="353">
        <f t="shared" si="0"/>
        <v>600</v>
      </c>
      <c r="O10" s="353">
        <f t="shared" si="0"/>
        <v>600</v>
      </c>
      <c r="P10" s="352"/>
      <c r="Q10" s="352"/>
      <c r="R10" s="352"/>
      <c r="S10" s="353">
        <f t="shared" ref="S10:U10" si="1">SUM(S11)</f>
        <v>67020</v>
      </c>
      <c r="T10" s="353">
        <f t="shared" si="1"/>
        <v>4720</v>
      </c>
      <c r="U10" s="353">
        <f t="shared" si="1"/>
        <v>145620</v>
      </c>
      <c r="V10" s="352"/>
      <c r="W10" s="352"/>
      <c r="X10" s="352"/>
      <c r="Y10" s="353">
        <f t="shared" ref="Y10:AA10" si="2">SUM(Y11)</f>
        <v>3120</v>
      </c>
      <c r="Z10" s="353">
        <f t="shared" si="2"/>
        <v>3120</v>
      </c>
      <c r="AA10" s="353">
        <f t="shared" si="2"/>
        <v>9870</v>
      </c>
      <c r="AB10" s="352"/>
      <c r="AC10" s="352"/>
      <c r="AD10" s="352"/>
      <c r="AE10" s="353">
        <f t="shared" ref="AE10:AG10" si="3">SUM(AE11)</f>
        <v>7350</v>
      </c>
      <c r="AF10" s="353">
        <f t="shared" si="3"/>
        <v>3100</v>
      </c>
      <c r="AG10" s="353">
        <f t="shared" si="3"/>
        <v>600</v>
      </c>
      <c r="AH10" s="353">
        <f>SUM(AH11)</f>
        <v>246320</v>
      </c>
      <c r="AI10" s="353">
        <f>SUM(AI11)</f>
        <v>31300</v>
      </c>
      <c r="AJ10" s="353"/>
      <c r="AK10" s="353"/>
      <c r="AL10" s="353"/>
      <c r="AM10" s="353">
        <f>SUM(AM11)</f>
        <v>215020</v>
      </c>
      <c r="AN10" s="353"/>
      <c r="AO10" s="354"/>
      <c r="AP10" s="354"/>
      <c r="AQ10" s="354"/>
    </row>
    <row r="11" spans="1:43" ht="30">
      <c r="A11" s="355" t="s">
        <v>917</v>
      </c>
      <c r="B11" s="355" t="s">
        <v>918</v>
      </c>
      <c r="C11" s="356"/>
      <c r="D11" s="355"/>
      <c r="E11" s="355"/>
      <c r="F11" s="357"/>
      <c r="G11" s="358">
        <f t="shared" ref="G11:G74" si="4">AH11/AH$157*100</f>
        <v>15.071250695986832</v>
      </c>
      <c r="H11" s="358"/>
      <c r="I11" s="359"/>
      <c r="J11" s="360"/>
      <c r="K11" s="360"/>
      <c r="L11" s="360"/>
      <c r="M11" s="361">
        <f>SUM(M12,M16,M21,M31,M39)</f>
        <v>600</v>
      </c>
      <c r="N11" s="361">
        <f t="shared" ref="N11:O11" si="5">SUM(N12,N16,N21,N31,N39)</f>
        <v>600</v>
      </c>
      <c r="O11" s="361">
        <f t="shared" si="5"/>
        <v>600</v>
      </c>
      <c r="P11" s="360"/>
      <c r="Q11" s="360"/>
      <c r="R11" s="360"/>
      <c r="S11" s="361">
        <f t="shared" ref="S11:U11" si="6">SUM(S12,S16,S21,S31,S39)</f>
        <v>67020</v>
      </c>
      <c r="T11" s="361">
        <f t="shared" si="6"/>
        <v>4720</v>
      </c>
      <c r="U11" s="361">
        <f t="shared" si="6"/>
        <v>145620</v>
      </c>
      <c r="V11" s="360"/>
      <c r="W11" s="360"/>
      <c r="X11" s="360"/>
      <c r="Y11" s="361">
        <f t="shared" ref="Y11:AA11" si="7">SUM(Y12,Y16,Y21,Y31,Y39)</f>
        <v>3120</v>
      </c>
      <c r="Z11" s="361">
        <f t="shared" si="7"/>
        <v>3120</v>
      </c>
      <c r="AA11" s="361">
        <f t="shared" si="7"/>
        <v>9870</v>
      </c>
      <c r="AB11" s="360"/>
      <c r="AC11" s="360"/>
      <c r="AD11" s="360"/>
      <c r="AE11" s="361">
        <f t="shared" ref="AE11:AI11" si="8">SUM(AE12,AE16,AE21,AE31,AE39)</f>
        <v>7350</v>
      </c>
      <c r="AF11" s="361">
        <f t="shared" si="8"/>
        <v>3100</v>
      </c>
      <c r="AG11" s="361">
        <f t="shared" si="8"/>
        <v>600</v>
      </c>
      <c r="AH11" s="361">
        <f t="shared" si="8"/>
        <v>246320</v>
      </c>
      <c r="AI11" s="361">
        <f t="shared" si="8"/>
        <v>31300</v>
      </c>
      <c r="AJ11" s="361"/>
      <c r="AK11" s="361"/>
      <c r="AL11" s="361"/>
      <c r="AM11" s="361">
        <f>SUM(AM12,AM16,AM21,AM31,AM39)</f>
        <v>215020</v>
      </c>
      <c r="AN11" s="361"/>
      <c r="AO11" s="362"/>
      <c r="AP11" s="362"/>
      <c r="AQ11" s="362"/>
    </row>
    <row r="12" spans="1:43" ht="30">
      <c r="A12" s="363" t="s">
        <v>919</v>
      </c>
      <c r="B12" s="363" t="s">
        <v>920</v>
      </c>
      <c r="C12" s="364"/>
      <c r="D12" s="363"/>
      <c r="E12" s="363"/>
      <c r="F12" s="365"/>
      <c r="G12" s="366">
        <f t="shared" si="4"/>
        <v>6.1185655634892949E-2</v>
      </c>
      <c r="H12" s="366">
        <f>G12</f>
        <v>6.1185655634892949E-2</v>
      </c>
      <c r="I12" s="367"/>
      <c r="J12" s="368"/>
      <c r="K12" s="368"/>
      <c r="L12" s="368"/>
      <c r="M12" s="369"/>
      <c r="N12" s="369"/>
      <c r="O12" s="369"/>
      <c r="P12" s="368"/>
      <c r="Q12" s="368"/>
      <c r="R12" s="368"/>
      <c r="S12" s="369"/>
      <c r="T12" s="369"/>
      <c r="U12" s="369">
        <f>SUM(U13)</f>
        <v>1000</v>
      </c>
      <c r="V12" s="368"/>
      <c r="W12" s="368"/>
      <c r="X12" s="368"/>
      <c r="Y12" s="369"/>
      <c r="Z12" s="369"/>
      <c r="AA12" s="369"/>
      <c r="AB12" s="368"/>
      <c r="AC12" s="368"/>
      <c r="AD12" s="368"/>
      <c r="AE12" s="369"/>
      <c r="AF12" s="369"/>
      <c r="AG12" s="369"/>
      <c r="AH12" s="369">
        <f>SUM(AH13)</f>
        <v>1000</v>
      </c>
      <c r="AI12" s="369">
        <f>SUM(AI13)</f>
        <v>1000</v>
      </c>
      <c r="AJ12" s="369"/>
      <c r="AK12" s="369"/>
      <c r="AL12" s="369"/>
      <c r="AM12" s="369"/>
      <c r="AN12" s="369"/>
      <c r="AO12" s="370"/>
      <c r="AP12" s="370"/>
      <c r="AQ12" s="370"/>
    </row>
    <row r="13" spans="1:43" ht="45">
      <c r="A13" s="371" t="s">
        <v>921</v>
      </c>
      <c r="B13" s="371" t="s">
        <v>922</v>
      </c>
      <c r="C13" s="372"/>
      <c r="D13" s="371" t="s">
        <v>661</v>
      </c>
      <c r="E13" s="18" t="s">
        <v>923</v>
      </c>
      <c r="F13" s="373"/>
      <c r="G13" s="374">
        <f t="shared" si="4"/>
        <v>6.1185655634892949E-2</v>
      </c>
      <c r="H13" s="374"/>
      <c r="I13" s="375"/>
      <c r="J13" s="376"/>
      <c r="K13" s="376"/>
      <c r="L13" s="376"/>
      <c r="M13" s="377"/>
      <c r="N13" s="377"/>
      <c r="O13" s="377"/>
      <c r="P13" s="376"/>
      <c r="Q13" s="376"/>
      <c r="R13" s="376"/>
      <c r="S13" s="377"/>
      <c r="T13" s="377"/>
      <c r="U13" s="377">
        <f>SUM(U14,U15)</f>
        <v>1000</v>
      </c>
      <c r="V13" s="376"/>
      <c r="W13" s="376"/>
      <c r="X13" s="376"/>
      <c r="Y13" s="377"/>
      <c r="Z13" s="377"/>
      <c r="AA13" s="377"/>
      <c r="AB13" s="376"/>
      <c r="AC13" s="376"/>
      <c r="AD13" s="376"/>
      <c r="AE13" s="377"/>
      <c r="AF13" s="377"/>
      <c r="AG13" s="377"/>
      <c r="AH13" s="377">
        <f>SUM(AH14,AH15)</f>
        <v>1000</v>
      </c>
      <c r="AI13" s="377">
        <f>SUM(AI14,AI15)</f>
        <v>1000</v>
      </c>
      <c r="AJ13" s="377"/>
      <c r="AK13" s="377"/>
      <c r="AL13" s="377"/>
      <c r="AM13" s="377"/>
      <c r="AN13" s="377"/>
      <c r="AO13" s="378"/>
      <c r="AP13" s="378"/>
      <c r="AQ13" s="378"/>
    </row>
    <row r="14" spans="1:43" ht="45">
      <c r="A14" s="379" t="s">
        <v>924</v>
      </c>
      <c r="B14" s="22" t="s">
        <v>925</v>
      </c>
      <c r="C14" s="23">
        <f>SUM(J14,K14,L14,P14,Q14,R14,V14,W14,X14,AB14,AC14,AD14)</f>
        <v>2500</v>
      </c>
      <c r="D14" s="22" t="s">
        <v>661</v>
      </c>
      <c r="E14" s="22" t="s">
        <v>926</v>
      </c>
      <c r="F14" s="380" t="s">
        <v>927</v>
      </c>
      <c r="G14" s="381">
        <f t="shared" si="4"/>
        <v>3.0592827817446475E-2</v>
      </c>
      <c r="H14" s="381"/>
      <c r="I14" s="382">
        <v>50</v>
      </c>
      <c r="J14" s="383"/>
      <c r="K14" s="383"/>
      <c r="L14" s="383"/>
      <c r="M14" s="384"/>
      <c r="N14" s="384"/>
      <c r="O14" s="384"/>
      <c r="P14" s="383"/>
      <c r="Q14" s="383"/>
      <c r="R14" s="383">
        <v>2500</v>
      </c>
      <c r="S14" s="384"/>
      <c r="T14" s="384"/>
      <c r="U14" s="384">
        <v>500</v>
      </c>
      <c r="V14" s="383"/>
      <c r="W14" s="383"/>
      <c r="X14" s="383"/>
      <c r="Y14" s="384"/>
      <c r="Z14" s="384"/>
      <c r="AA14" s="384"/>
      <c r="AB14" s="383"/>
      <c r="AC14" s="383"/>
      <c r="AD14" s="383"/>
      <c r="AE14" s="384"/>
      <c r="AF14" s="384"/>
      <c r="AG14" s="384"/>
      <c r="AH14" s="384">
        <v>500</v>
      </c>
      <c r="AI14" s="384">
        <v>500</v>
      </c>
      <c r="AJ14" s="384"/>
      <c r="AK14" s="384"/>
      <c r="AL14" s="384"/>
      <c r="AM14" s="384"/>
      <c r="AN14" s="384"/>
      <c r="AO14" s="385" t="s">
        <v>928</v>
      </c>
      <c r="AP14" s="385" t="s">
        <v>929</v>
      </c>
      <c r="AQ14" s="385"/>
    </row>
    <row r="15" spans="1:43" ht="45">
      <c r="A15" s="379" t="s">
        <v>930</v>
      </c>
      <c r="B15" s="22" t="s">
        <v>931</v>
      </c>
      <c r="C15" s="23">
        <f t="shared" ref="C15" si="9">SUM(J15,K15,L15,P15,Q15,R15,V15,W15,X15,AB15,AC15,AD15)</f>
        <v>6000</v>
      </c>
      <c r="D15" s="22" t="s">
        <v>661</v>
      </c>
      <c r="E15" s="22" t="s">
        <v>932</v>
      </c>
      <c r="F15" s="380" t="s">
        <v>927</v>
      </c>
      <c r="G15" s="381">
        <f t="shared" si="4"/>
        <v>3.0592827817446475E-2</v>
      </c>
      <c r="H15" s="381"/>
      <c r="I15" s="382">
        <v>50</v>
      </c>
      <c r="J15" s="383"/>
      <c r="K15" s="383"/>
      <c r="L15" s="383"/>
      <c r="M15" s="384"/>
      <c r="N15" s="384"/>
      <c r="O15" s="384"/>
      <c r="P15" s="383"/>
      <c r="Q15" s="383"/>
      <c r="R15" s="383">
        <v>6000</v>
      </c>
      <c r="S15" s="384"/>
      <c r="T15" s="384"/>
      <c r="U15" s="384">
        <v>500</v>
      </c>
      <c r="V15" s="383"/>
      <c r="W15" s="383"/>
      <c r="X15" s="383"/>
      <c r="Y15" s="384"/>
      <c r="Z15" s="384"/>
      <c r="AA15" s="384"/>
      <c r="AB15" s="383"/>
      <c r="AC15" s="383"/>
      <c r="AD15" s="383"/>
      <c r="AE15" s="384"/>
      <c r="AF15" s="384"/>
      <c r="AG15" s="384"/>
      <c r="AH15" s="384">
        <v>500</v>
      </c>
      <c r="AI15" s="384">
        <v>500</v>
      </c>
      <c r="AJ15" s="384"/>
      <c r="AK15" s="384"/>
      <c r="AL15" s="384"/>
      <c r="AM15" s="384"/>
      <c r="AN15" s="384"/>
      <c r="AO15" s="385" t="s">
        <v>928</v>
      </c>
      <c r="AP15" s="385" t="s">
        <v>929</v>
      </c>
      <c r="AQ15" s="385"/>
    </row>
    <row r="16" spans="1:43" ht="45">
      <c r="A16" s="363" t="s">
        <v>933</v>
      </c>
      <c r="B16" s="363" t="s">
        <v>934</v>
      </c>
      <c r="C16" s="364"/>
      <c r="D16" s="363"/>
      <c r="E16" s="363"/>
      <c r="F16" s="365"/>
      <c r="G16" s="366">
        <f t="shared" si="4"/>
        <v>1.1747645881899447</v>
      </c>
      <c r="H16" s="366">
        <f>G16</f>
        <v>1.1747645881899447</v>
      </c>
      <c r="I16" s="367"/>
      <c r="J16" s="368"/>
      <c r="K16" s="368"/>
      <c r="L16" s="368"/>
      <c r="M16" s="369">
        <f>SUM(M17,M19)</f>
        <v>600</v>
      </c>
      <c r="N16" s="369">
        <f t="shared" ref="N16:O16" si="10">SUM(N17,N19)</f>
        <v>600</v>
      </c>
      <c r="O16" s="369">
        <f t="shared" si="10"/>
        <v>600</v>
      </c>
      <c r="P16" s="368"/>
      <c r="Q16" s="368"/>
      <c r="R16" s="368"/>
      <c r="S16" s="369">
        <f t="shared" ref="S16:U16" si="11">SUM(S17,S19)</f>
        <v>2100</v>
      </c>
      <c r="T16" s="369">
        <f t="shared" si="11"/>
        <v>2700</v>
      </c>
      <c r="U16" s="369">
        <f t="shared" si="11"/>
        <v>2700</v>
      </c>
      <c r="V16" s="368"/>
      <c r="W16" s="368"/>
      <c r="X16" s="368"/>
      <c r="Y16" s="369">
        <f t="shared" ref="Y16:AA16" si="12">SUM(Y17,Y19)</f>
        <v>2700</v>
      </c>
      <c r="Z16" s="369">
        <f t="shared" si="12"/>
        <v>2700</v>
      </c>
      <c r="AA16" s="369">
        <f t="shared" si="12"/>
        <v>2700</v>
      </c>
      <c r="AB16" s="368"/>
      <c r="AC16" s="368"/>
      <c r="AD16" s="368"/>
      <c r="AE16" s="369">
        <f t="shared" ref="AE16:AI16" si="13">SUM(AE17,AE19)</f>
        <v>600</v>
      </c>
      <c r="AF16" s="369">
        <f t="shared" si="13"/>
        <v>600</v>
      </c>
      <c r="AG16" s="369">
        <f t="shared" si="13"/>
        <v>600</v>
      </c>
      <c r="AH16" s="369">
        <f t="shared" si="13"/>
        <v>19200</v>
      </c>
      <c r="AI16" s="369">
        <f t="shared" si="13"/>
        <v>10200</v>
      </c>
      <c r="AJ16" s="369"/>
      <c r="AK16" s="369"/>
      <c r="AL16" s="369"/>
      <c r="AM16" s="369">
        <f t="shared" ref="AM16" si="14">SUM(AM17,AM19)</f>
        <v>9000</v>
      </c>
      <c r="AN16" s="369"/>
      <c r="AO16" s="370"/>
      <c r="AP16" s="370"/>
      <c r="AQ16" s="370"/>
    </row>
    <row r="17" spans="1:43" ht="75">
      <c r="A17" s="371" t="s">
        <v>935</v>
      </c>
      <c r="B17" s="371" t="s">
        <v>936</v>
      </c>
      <c r="C17" s="372"/>
      <c r="D17" s="18" t="s">
        <v>937</v>
      </c>
      <c r="E17" s="18" t="s">
        <v>938</v>
      </c>
      <c r="F17" s="373"/>
      <c r="G17" s="374">
        <f t="shared" si="4"/>
        <v>0.62409368747590821</v>
      </c>
      <c r="H17" s="374"/>
      <c r="I17" s="375"/>
      <c r="J17" s="376"/>
      <c r="K17" s="376"/>
      <c r="L17" s="376"/>
      <c r="M17" s="377">
        <f>SUM(M18)</f>
        <v>600</v>
      </c>
      <c r="N17" s="377">
        <f t="shared" ref="N17:O17" si="15">SUM(N18)</f>
        <v>600</v>
      </c>
      <c r="O17" s="377">
        <f t="shared" si="15"/>
        <v>600</v>
      </c>
      <c r="P17" s="376"/>
      <c r="Q17" s="376"/>
      <c r="R17" s="376"/>
      <c r="S17" s="377">
        <f t="shared" ref="S17:U17" si="16">SUM(S18)</f>
        <v>600</v>
      </c>
      <c r="T17" s="377">
        <f t="shared" si="16"/>
        <v>1200</v>
      </c>
      <c r="U17" s="377">
        <f t="shared" si="16"/>
        <v>1200</v>
      </c>
      <c r="V17" s="376"/>
      <c r="W17" s="376"/>
      <c r="X17" s="376"/>
      <c r="Y17" s="377">
        <f t="shared" ref="Y17:AA17" si="17">SUM(Y18)</f>
        <v>1200</v>
      </c>
      <c r="Z17" s="377">
        <f t="shared" si="17"/>
        <v>1200</v>
      </c>
      <c r="AA17" s="377">
        <f t="shared" si="17"/>
        <v>1200</v>
      </c>
      <c r="AB17" s="376"/>
      <c r="AC17" s="376"/>
      <c r="AD17" s="376"/>
      <c r="AE17" s="377">
        <f t="shared" ref="AE17:AI17" si="18">SUM(AE18)</f>
        <v>600</v>
      </c>
      <c r="AF17" s="377">
        <f t="shared" si="18"/>
        <v>600</v>
      </c>
      <c r="AG17" s="377">
        <f t="shared" si="18"/>
        <v>600</v>
      </c>
      <c r="AH17" s="377">
        <f t="shared" si="18"/>
        <v>10200</v>
      </c>
      <c r="AI17" s="377">
        <f t="shared" si="18"/>
        <v>10200</v>
      </c>
      <c r="AJ17" s="377"/>
      <c r="AK17" s="377"/>
      <c r="AL17" s="377"/>
      <c r="AM17" s="377"/>
      <c r="AN17" s="377"/>
      <c r="AO17" s="378"/>
      <c r="AP17" s="378"/>
      <c r="AQ17" s="378"/>
    </row>
    <row r="18" spans="1:43" ht="75">
      <c r="A18" s="379" t="s">
        <v>939</v>
      </c>
      <c r="B18" s="22" t="s">
        <v>940</v>
      </c>
      <c r="C18" s="386">
        <f>SUM(J18,K18,L18,P18,Q18,R18,V18,W18,X18,AB18,AC18,AD18)</f>
        <v>45</v>
      </c>
      <c r="D18" s="22" t="s">
        <v>937</v>
      </c>
      <c r="E18" s="22" t="s">
        <v>938</v>
      </c>
      <c r="F18" s="380" t="s">
        <v>435</v>
      </c>
      <c r="G18" s="381">
        <f t="shared" si="4"/>
        <v>0.62409368747590821</v>
      </c>
      <c r="H18" s="381"/>
      <c r="I18" s="382">
        <v>100</v>
      </c>
      <c r="J18" s="383">
        <v>5</v>
      </c>
      <c r="K18" s="387">
        <v>5</v>
      </c>
      <c r="L18" s="387">
        <v>2</v>
      </c>
      <c r="M18" s="384">
        <v>600</v>
      </c>
      <c r="N18" s="384">
        <v>600</v>
      </c>
      <c r="O18" s="384">
        <v>600</v>
      </c>
      <c r="P18" s="387">
        <v>5</v>
      </c>
      <c r="Q18" s="387">
        <v>5</v>
      </c>
      <c r="R18" s="387">
        <v>5</v>
      </c>
      <c r="S18" s="384">
        <v>600</v>
      </c>
      <c r="T18" s="384">
        <v>1200</v>
      </c>
      <c r="U18" s="384">
        <v>1200</v>
      </c>
      <c r="V18" s="387">
        <v>5</v>
      </c>
      <c r="W18" s="387">
        <v>5</v>
      </c>
      <c r="X18" s="387">
        <v>5</v>
      </c>
      <c r="Y18" s="384">
        <v>1200</v>
      </c>
      <c r="Z18" s="384">
        <v>1200</v>
      </c>
      <c r="AA18" s="384">
        <v>1200</v>
      </c>
      <c r="AB18" s="387">
        <v>1</v>
      </c>
      <c r="AC18" s="387">
        <v>1</v>
      </c>
      <c r="AD18" s="387">
        <v>1</v>
      </c>
      <c r="AE18" s="384">
        <v>600</v>
      </c>
      <c r="AF18" s="384">
        <v>600</v>
      </c>
      <c r="AG18" s="384">
        <v>600</v>
      </c>
      <c r="AH18" s="384">
        <v>10200</v>
      </c>
      <c r="AI18" s="384">
        <v>10200</v>
      </c>
      <c r="AJ18" s="384"/>
      <c r="AK18" s="384"/>
      <c r="AL18" s="384"/>
      <c r="AM18" s="384"/>
      <c r="AN18" s="384"/>
      <c r="AO18" s="385" t="s">
        <v>928</v>
      </c>
      <c r="AP18" s="385" t="s">
        <v>941</v>
      </c>
      <c r="AQ18" s="385"/>
    </row>
    <row r="19" spans="1:43" ht="60">
      <c r="A19" s="371" t="s">
        <v>942</v>
      </c>
      <c r="B19" s="371" t="s">
        <v>943</v>
      </c>
      <c r="C19" s="372"/>
      <c r="D19" s="18" t="s">
        <v>944</v>
      </c>
      <c r="E19" s="18" t="s">
        <v>945</v>
      </c>
      <c r="F19" s="373"/>
      <c r="G19" s="374">
        <f t="shared" si="4"/>
        <v>0.55067090071403657</v>
      </c>
      <c r="H19" s="374"/>
      <c r="I19" s="375"/>
      <c r="J19" s="376"/>
      <c r="K19" s="376"/>
      <c r="L19" s="376"/>
      <c r="M19" s="377"/>
      <c r="N19" s="377"/>
      <c r="O19" s="377"/>
      <c r="P19" s="376"/>
      <c r="Q19" s="376"/>
      <c r="R19" s="376"/>
      <c r="S19" s="377">
        <f t="shared" ref="S19:U19" si="19">SUM(S20)</f>
        <v>1500</v>
      </c>
      <c r="T19" s="377">
        <f t="shared" si="19"/>
        <v>1500</v>
      </c>
      <c r="U19" s="377">
        <f t="shared" si="19"/>
        <v>1500</v>
      </c>
      <c r="V19" s="376"/>
      <c r="W19" s="376"/>
      <c r="X19" s="376"/>
      <c r="Y19" s="377">
        <f t="shared" ref="Y19:AA19" si="20">SUM(Y20)</f>
        <v>1500</v>
      </c>
      <c r="Z19" s="377">
        <f t="shared" si="20"/>
        <v>1500</v>
      </c>
      <c r="AA19" s="377">
        <f t="shared" si="20"/>
        <v>1500</v>
      </c>
      <c r="AB19" s="376"/>
      <c r="AC19" s="376"/>
      <c r="AD19" s="376"/>
      <c r="AE19" s="377"/>
      <c r="AF19" s="377"/>
      <c r="AG19" s="377"/>
      <c r="AH19" s="377">
        <f>SUM(AH20)</f>
        <v>9000</v>
      </c>
      <c r="AI19" s="377"/>
      <c r="AJ19" s="377"/>
      <c r="AK19" s="377"/>
      <c r="AL19" s="377"/>
      <c r="AM19" s="377">
        <f>SUM(AM20)</f>
        <v>9000</v>
      </c>
      <c r="AN19" s="377"/>
      <c r="AO19" s="378"/>
      <c r="AP19" s="378"/>
      <c r="AQ19" s="378"/>
    </row>
    <row r="20" spans="1:43" ht="60">
      <c r="A20" s="379" t="s">
        <v>946</v>
      </c>
      <c r="B20" s="22" t="s">
        <v>947</v>
      </c>
      <c r="C20" s="23">
        <f>SUM(J20,K20,L20,P20,Q20,R20,V20,W20,X20,AB20,AC20,AD20)</f>
        <v>6</v>
      </c>
      <c r="D20" s="22" t="s">
        <v>944</v>
      </c>
      <c r="E20" s="22" t="s">
        <v>945</v>
      </c>
      <c r="F20" s="380" t="s">
        <v>948</v>
      </c>
      <c r="G20" s="381">
        <f t="shared" si="4"/>
        <v>0.55067090071403657</v>
      </c>
      <c r="H20" s="381"/>
      <c r="I20" s="382">
        <v>100</v>
      </c>
      <c r="J20" s="383"/>
      <c r="K20" s="383"/>
      <c r="L20" s="383"/>
      <c r="M20" s="384"/>
      <c r="N20" s="384"/>
      <c r="O20" s="384"/>
      <c r="P20" s="383">
        <v>1</v>
      </c>
      <c r="Q20" s="383">
        <v>1</v>
      </c>
      <c r="R20" s="383">
        <v>1</v>
      </c>
      <c r="S20" s="384">
        <v>1500</v>
      </c>
      <c r="T20" s="384">
        <v>1500</v>
      </c>
      <c r="U20" s="384">
        <v>1500</v>
      </c>
      <c r="V20" s="383">
        <v>1</v>
      </c>
      <c r="W20" s="383">
        <v>1</v>
      </c>
      <c r="X20" s="383">
        <v>1</v>
      </c>
      <c r="Y20" s="384">
        <v>1500</v>
      </c>
      <c r="Z20" s="384">
        <v>1500</v>
      </c>
      <c r="AA20" s="384">
        <v>1500</v>
      </c>
      <c r="AB20" s="383"/>
      <c r="AC20" s="383"/>
      <c r="AD20" s="383"/>
      <c r="AE20" s="384"/>
      <c r="AF20" s="384"/>
      <c r="AG20" s="384"/>
      <c r="AH20" s="384">
        <v>9000</v>
      </c>
      <c r="AI20" s="384"/>
      <c r="AJ20" s="384"/>
      <c r="AK20" s="384"/>
      <c r="AL20" s="384"/>
      <c r="AM20" s="384">
        <v>9000</v>
      </c>
      <c r="AN20" s="384"/>
      <c r="AO20" s="385" t="s">
        <v>928</v>
      </c>
      <c r="AP20" s="385" t="s">
        <v>929</v>
      </c>
      <c r="AQ20" s="385"/>
    </row>
    <row r="21" spans="1:43" ht="30">
      <c r="A21" s="363" t="s">
        <v>949</v>
      </c>
      <c r="B21" s="363" t="s">
        <v>950</v>
      </c>
      <c r="C21" s="364"/>
      <c r="D21" s="363"/>
      <c r="E21" s="363"/>
      <c r="F21" s="365"/>
      <c r="G21" s="366">
        <f t="shared" si="4"/>
        <v>12.605468773900647</v>
      </c>
      <c r="H21" s="366">
        <f>G21</f>
        <v>12.605468773900647</v>
      </c>
      <c r="I21" s="367"/>
      <c r="J21" s="368"/>
      <c r="K21" s="368"/>
      <c r="L21" s="368"/>
      <c r="M21" s="369"/>
      <c r="N21" s="369"/>
      <c r="O21" s="369"/>
      <c r="P21" s="368"/>
      <c r="Q21" s="368"/>
      <c r="R21" s="368"/>
      <c r="S21" s="369">
        <f>SUM(S22,S26,S28)</f>
        <v>64920</v>
      </c>
      <c r="T21" s="369">
        <f t="shared" ref="T21:U21" si="21">SUM(T22,T26,T28)</f>
        <v>420</v>
      </c>
      <c r="U21" s="369">
        <f t="shared" si="21"/>
        <v>139420</v>
      </c>
      <c r="V21" s="368"/>
      <c r="W21" s="368"/>
      <c r="X21" s="368"/>
      <c r="Y21" s="369">
        <f t="shared" ref="Y21:AA21" si="22">SUM(Y22,Y26,Y28)</f>
        <v>420</v>
      </c>
      <c r="Z21" s="369">
        <f t="shared" si="22"/>
        <v>420</v>
      </c>
      <c r="AA21" s="369">
        <f t="shared" si="22"/>
        <v>420</v>
      </c>
      <c r="AB21" s="368"/>
      <c r="AC21" s="368"/>
      <c r="AD21" s="368"/>
      <c r="AE21" s="369"/>
      <c r="AF21" s="369"/>
      <c r="AG21" s="369"/>
      <c r="AH21" s="369">
        <f>SUM(AH22,AH26,AH28)</f>
        <v>206020</v>
      </c>
      <c r="AI21" s="369"/>
      <c r="AJ21" s="369"/>
      <c r="AK21" s="369"/>
      <c r="AL21" s="369"/>
      <c r="AM21" s="369">
        <f>SUM(AM22,AM26,AM28)</f>
        <v>206020</v>
      </c>
      <c r="AN21" s="369"/>
      <c r="AO21" s="370"/>
      <c r="AP21" s="370"/>
      <c r="AQ21" s="370"/>
    </row>
    <row r="22" spans="1:43" ht="60">
      <c r="A22" s="371" t="s">
        <v>951</v>
      </c>
      <c r="B22" s="371" t="s">
        <v>952</v>
      </c>
      <c r="C22" s="19"/>
      <c r="D22" s="371" t="s">
        <v>944</v>
      </c>
      <c r="E22" s="371" t="s">
        <v>953</v>
      </c>
      <c r="F22" s="373"/>
      <c r="G22" s="374">
        <f t="shared" si="4"/>
        <v>0.18478068001737674</v>
      </c>
      <c r="H22" s="374"/>
      <c r="I22" s="375"/>
      <c r="J22" s="376"/>
      <c r="K22" s="376"/>
      <c r="L22" s="376"/>
      <c r="M22" s="377"/>
      <c r="N22" s="377"/>
      <c r="O22" s="377"/>
      <c r="P22" s="376"/>
      <c r="Q22" s="376"/>
      <c r="R22" s="376"/>
      <c r="S22" s="377">
        <f>SUM(S23,S24,S25)</f>
        <v>920</v>
      </c>
      <c r="T22" s="377">
        <f t="shared" ref="T22:U22" si="23">SUM(T23,T24,T25)</f>
        <v>420</v>
      </c>
      <c r="U22" s="377">
        <f t="shared" si="23"/>
        <v>420</v>
      </c>
      <c r="V22" s="376"/>
      <c r="W22" s="376"/>
      <c r="X22" s="376"/>
      <c r="Y22" s="377">
        <f t="shared" ref="Y22:AA22" si="24">SUM(Y23,Y24,Y25)</f>
        <v>420</v>
      </c>
      <c r="Z22" s="377">
        <f t="shared" si="24"/>
        <v>420</v>
      </c>
      <c r="AA22" s="377">
        <f t="shared" si="24"/>
        <v>420</v>
      </c>
      <c r="AB22" s="376"/>
      <c r="AC22" s="376"/>
      <c r="AD22" s="376"/>
      <c r="AE22" s="377"/>
      <c r="AF22" s="377"/>
      <c r="AG22" s="377"/>
      <c r="AH22" s="377">
        <f>SUM(AH23,AH24,AH25)</f>
        <v>3020</v>
      </c>
      <c r="AI22" s="377"/>
      <c r="AJ22" s="377"/>
      <c r="AK22" s="377"/>
      <c r="AL22" s="377"/>
      <c r="AM22" s="377">
        <f>SUM(AM23,AM24,AM25)</f>
        <v>3020</v>
      </c>
      <c r="AN22" s="377"/>
      <c r="AO22" s="378"/>
      <c r="AP22" s="378"/>
      <c r="AQ22" s="378"/>
    </row>
    <row r="23" spans="1:43" ht="60">
      <c r="A23" s="379" t="s">
        <v>954</v>
      </c>
      <c r="B23" s="379" t="s">
        <v>955</v>
      </c>
      <c r="C23" s="23">
        <f t="shared" ref="C23:C25" si="25">SUM(J23,K23,L23,P23,Q23,R23,V23,W23,X23,AB23,AC23,AD23)</f>
        <v>12</v>
      </c>
      <c r="D23" s="379" t="s">
        <v>944</v>
      </c>
      <c r="E23" s="379" t="s">
        <v>956</v>
      </c>
      <c r="F23" s="388" t="s">
        <v>52</v>
      </c>
      <c r="G23" s="381">
        <f t="shared" si="4"/>
        <v>9.3614053121386223E-2</v>
      </c>
      <c r="H23" s="381"/>
      <c r="I23" s="389">
        <v>40</v>
      </c>
      <c r="J23" s="383"/>
      <c r="K23" s="383"/>
      <c r="L23" s="383"/>
      <c r="M23" s="384"/>
      <c r="N23" s="384"/>
      <c r="O23" s="384"/>
      <c r="P23" s="383">
        <v>2</v>
      </c>
      <c r="Q23" s="387">
        <v>2</v>
      </c>
      <c r="R23" s="387">
        <v>2</v>
      </c>
      <c r="S23" s="384">
        <v>255</v>
      </c>
      <c r="T23" s="384">
        <v>255</v>
      </c>
      <c r="U23" s="384">
        <v>255</v>
      </c>
      <c r="V23" s="387">
        <v>2</v>
      </c>
      <c r="W23" s="387">
        <v>2</v>
      </c>
      <c r="X23" s="387">
        <v>2</v>
      </c>
      <c r="Y23" s="384">
        <v>255</v>
      </c>
      <c r="Z23" s="384">
        <v>255</v>
      </c>
      <c r="AA23" s="384">
        <v>255</v>
      </c>
      <c r="AB23" s="383"/>
      <c r="AC23" s="383"/>
      <c r="AD23" s="383"/>
      <c r="AE23" s="384"/>
      <c r="AF23" s="384"/>
      <c r="AG23" s="384"/>
      <c r="AH23" s="384">
        <v>1530</v>
      </c>
      <c r="AI23" s="384"/>
      <c r="AJ23" s="384"/>
      <c r="AK23" s="384"/>
      <c r="AL23" s="384"/>
      <c r="AM23" s="384">
        <v>1530</v>
      </c>
      <c r="AN23" s="384"/>
      <c r="AO23" s="385" t="s">
        <v>928</v>
      </c>
      <c r="AP23" s="385" t="s">
        <v>957</v>
      </c>
      <c r="AQ23" s="385"/>
    </row>
    <row r="24" spans="1:43" ht="45">
      <c r="A24" s="379" t="s">
        <v>958</v>
      </c>
      <c r="B24" s="379" t="s">
        <v>959</v>
      </c>
      <c r="C24" s="23">
        <f t="shared" si="25"/>
        <v>6</v>
      </c>
      <c r="D24" s="379" t="s">
        <v>944</v>
      </c>
      <c r="E24" s="379" t="s">
        <v>960</v>
      </c>
      <c r="F24" s="388" t="s">
        <v>52</v>
      </c>
      <c r="G24" s="381">
        <f t="shared" si="4"/>
        <v>6.057379907854403E-2</v>
      </c>
      <c r="H24" s="381"/>
      <c r="I24" s="389">
        <v>40</v>
      </c>
      <c r="J24" s="383"/>
      <c r="K24" s="383"/>
      <c r="L24" s="383"/>
      <c r="M24" s="384"/>
      <c r="N24" s="384"/>
      <c r="O24" s="384"/>
      <c r="P24" s="390">
        <v>1</v>
      </c>
      <c r="Q24" s="391">
        <v>1</v>
      </c>
      <c r="R24" s="391">
        <v>1</v>
      </c>
      <c r="S24" s="384">
        <v>165</v>
      </c>
      <c r="T24" s="384">
        <v>165</v>
      </c>
      <c r="U24" s="384">
        <v>165</v>
      </c>
      <c r="V24" s="391">
        <v>1</v>
      </c>
      <c r="W24" s="391">
        <v>1</v>
      </c>
      <c r="X24" s="391">
        <v>1</v>
      </c>
      <c r="Y24" s="384">
        <v>165</v>
      </c>
      <c r="Z24" s="384">
        <v>165</v>
      </c>
      <c r="AA24" s="384">
        <v>165</v>
      </c>
      <c r="AB24" s="383"/>
      <c r="AC24" s="383"/>
      <c r="AD24" s="383"/>
      <c r="AE24" s="384"/>
      <c r="AF24" s="384"/>
      <c r="AG24" s="384"/>
      <c r="AH24" s="384">
        <v>990</v>
      </c>
      <c r="AI24" s="384"/>
      <c r="AJ24" s="384"/>
      <c r="AK24" s="384"/>
      <c r="AL24" s="384"/>
      <c r="AM24" s="384">
        <v>990</v>
      </c>
      <c r="AN24" s="384"/>
      <c r="AO24" s="385" t="s">
        <v>928</v>
      </c>
      <c r="AP24" s="385" t="s">
        <v>957</v>
      </c>
      <c r="AQ24" s="385"/>
    </row>
    <row r="25" spans="1:43" ht="30">
      <c r="A25" s="379" t="s">
        <v>961</v>
      </c>
      <c r="B25" s="379" t="s">
        <v>962</v>
      </c>
      <c r="C25" s="23">
        <f t="shared" si="25"/>
        <v>1</v>
      </c>
      <c r="D25" s="379" t="s">
        <v>963</v>
      </c>
      <c r="E25" s="379" t="s">
        <v>964</v>
      </c>
      <c r="F25" s="388" t="s">
        <v>965</v>
      </c>
      <c r="G25" s="381">
        <f t="shared" si="4"/>
        <v>3.0592827817446475E-2</v>
      </c>
      <c r="H25" s="381"/>
      <c r="I25" s="389">
        <v>20</v>
      </c>
      <c r="J25" s="383"/>
      <c r="K25" s="383"/>
      <c r="L25" s="383"/>
      <c r="M25" s="384"/>
      <c r="N25" s="384"/>
      <c r="O25" s="384"/>
      <c r="P25" s="392">
        <v>1</v>
      </c>
      <c r="Q25" s="383"/>
      <c r="R25" s="383"/>
      <c r="S25" s="384">
        <v>500</v>
      </c>
      <c r="T25" s="384"/>
      <c r="U25" s="384"/>
      <c r="V25" s="383"/>
      <c r="W25" s="383"/>
      <c r="X25" s="383"/>
      <c r="Y25" s="384"/>
      <c r="Z25" s="384"/>
      <c r="AA25" s="384"/>
      <c r="AB25" s="383"/>
      <c r="AC25" s="383"/>
      <c r="AD25" s="383"/>
      <c r="AE25" s="384"/>
      <c r="AF25" s="384"/>
      <c r="AG25" s="384"/>
      <c r="AH25" s="384">
        <v>500</v>
      </c>
      <c r="AI25" s="393"/>
      <c r="AJ25" s="393"/>
      <c r="AK25" s="393"/>
      <c r="AL25" s="393"/>
      <c r="AM25" s="384">
        <v>500</v>
      </c>
      <c r="AN25" s="384"/>
      <c r="AO25" s="385" t="s">
        <v>928</v>
      </c>
      <c r="AP25" s="385" t="s">
        <v>966</v>
      </c>
      <c r="AQ25" s="385"/>
    </row>
    <row r="26" spans="1:43" ht="60">
      <c r="A26" s="371" t="s">
        <v>967</v>
      </c>
      <c r="B26" s="371" t="s">
        <v>968</v>
      </c>
      <c r="C26" s="19"/>
      <c r="D26" s="18" t="s">
        <v>969</v>
      </c>
      <c r="E26" s="18" t="s">
        <v>970</v>
      </c>
      <c r="F26" s="373"/>
      <c r="G26" s="374">
        <f t="shared" si="4"/>
        <v>7.8317639212662975</v>
      </c>
      <c r="H26" s="374"/>
      <c r="I26" s="375"/>
      <c r="J26" s="376"/>
      <c r="K26" s="376"/>
      <c r="L26" s="376"/>
      <c r="M26" s="377"/>
      <c r="N26" s="377"/>
      <c r="O26" s="377"/>
      <c r="P26" s="376"/>
      <c r="Q26" s="376"/>
      <c r="R26" s="376"/>
      <c r="S26" s="377">
        <f>SUM(S27)</f>
        <v>64000</v>
      </c>
      <c r="T26" s="377"/>
      <c r="U26" s="377">
        <f>SUM(U27)</f>
        <v>64000</v>
      </c>
      <c r="V26" s="376"/>
      <c r="W26" s="376"/>
      <c r="X26" s="376"/>
      <c r="Y26" s="377"/>
      <c r="Z26" s="377"/>
      <c r="AA26" s="377"/>
      <c r="AB26" s="376"/>
      <c r="AC26" s="376"/>
      <c r="AD26" s="376"/>
      <c r="AE26" s="377"/>
      <c r="AF26" s="377"/>
      <c r="AG26" s="377"/>
      <c r="AH26" s="377">
        <f>SUM(AH27)</f>
        <v>128000</v>
      </c>
      <c r="AI26" s="377"/>
      <c r="AJ26" s="377"/>
      <c r="AK26" s="377"/>
      <c r="AL26" s="377"/>
      <c r="AM26" s="377">
        <f>SUM(AM27)</f>
        <v>128000</v>
      </c>
      <c r="AN26" s="377"/>
      <c r="AO26" s="378"/>
      <c r="AP26" s="378"/>
      <c r="AQ26" s="378"/>
    </row>
    <row r="27" spans="1:43" ht="60">
      <c r="A27" s="379" t="s">
        <v>971</v>
      </c>
      <c r="B27" s="22" t="s">
        <v>972</v>
      </c>
      <c r="C27" s="23">
        <f>SUM(J27,K27,L27,P27,Q27,R27,V27,W27,X27,AB27,AC27,AD27)</f>
        <v>2</v>
      </c>
      <c r="D27" s="22" t="s">
        <v>969</v>
      </c>
      <c r="E27" s="22" t="s">
        <v>970</v>
      </c>
      <c r="F27" s="380" t="s">
        <v>973</v>
      </c>
      <c r="G27" s="381">
        <f t="shared" si="4"/>
        <v>7.8317639212662975</v>
      </c>
      <c r="H27" s="381"/>
      <c r="I27" s="382">
        <v>100</v>
      </c>
      <c r="J27" s="383"/>
      <c r="K27" s="383"/>
      <c r="L27" s="383"/>
      <c r="M27" s="384"/>
      <c r="N27" s="384"/>
      <c r="O27" s="384"/>
      <c r="P27" s="383">
        <v>1</v>
      </c>
      <c r="Q27" s="383"/>
      <c r="R27" s="383">
        <v>1</v>
      </c>
      <c r="S27" s="384">
        <v>64000</v>
      </c>
      <c r="T27" s="384"/>
      <c r="U27" s="384">
        <v>64000</v>
      </c>
      <c r="V27" s="383"/>
      <c r="W27" s="383"/>
      <c r="X27" s="383"/>
      <c r="Y27" s="384"/>
      <c r="Z27" s="384"/>
      <c r="AA27" s="384"/>
      <c r="AB27" s="383"/>
      <c r="AC27" s="383"/>
      <c r="AD27" s="383"/>
      <c r="AE27" s="384"/>
      <c r="AF27" s="384"/>
      <c r="AG27" s="384"/>
      <c r="AH27" s="384">
        <v>128000</v>
      </c>
      <c r="AI27" s="384"/>
      <c r="AJ27" s="384"/>
      <c r="AK27" s="384"/>
      <c r="AL27" s="384"/>
      <c r="AM27" s="384">
        <v>128000</v>
      </c>
      <c r="AN27" s="384"/>
      <c r="AO27" s="385" t="s">
        <v>928</v>
      </c>
      <c r="AP27" s="385" t="s">
        <v>974</v>
      </c>
      <c r="AQ27" s="385"/>
    </row>
    <row r="28" spans="1:43" ht="45">
      <c r="A28" s="371" t="s">
        <v>975</v>
      </c>
      <c r="B28" s="371" t="s">
        <v>976</v>
      </c>
      <c r="C28" s="19"/>
      <c r="D28" s="18" t="s">
        <v>57</v>
      </c>
      <c r="E28" s="18" t="s">
        <v>977</v>
      </c>
      <c r="F28" s="373"/>
      <c r="G28" s="374">
        <f t="shared" si="4"/>
        <v>4.5889241726169718</v>
      </c>
      <c r="H28" s="374"/>
      <c r="I28" s="375"/>
      <c r="J28" s="376"/>
      <c r="K28" s="376"/>
      <c r="L28" s="376"/>
      <c r="M28" s="377"/>
      <c r="N28" s="377"/>
      <c r="O28" s="377"/>
      <c r="P28" s="376"/>
      <c r="Q28" s="376"/>
      <c r="R28" s="376"/>
      <c r="S28" s="377"/>
      <c r="T28" s="377"/>
      <c r="U28" s="377">
        <f>SUM(U29,U30)</f>
        <v>75000</v>
      </c>
      <c r="V28" s="376"/>
      <c r="W28" s="376"/>
      <c r="X28" s="376"/>
      <c r="Y28" s="377"/>
      <c r="Z28" s="377"/>
      <c r="AA28" s="377"/>
      <c r="AB28" s="376"/>
      <c r="AC28" s="376"/>
      <c r="AD28" s="376"/>
      <c r="AE28" s="377"/>
      <c r="AF28" s="377"/>
      <c r="AG28" s="377"/>
      <c r="AH28" s="377">
        <f>SUM(AH29,AH30)</f>
        <v>75000</v>
      </c>
      <c r="AI28" s="377"/>
      <c r="AJ28" s="377"/>
      <c r="AK28" s="377"/>
      <c r="AL28" s="377"/>
      <c r="AM28" s="377">
        <f>SUM(AM29,AM30)</f>
        <v>75000</v>
      </c>
      <c r="AN28" s="377"/>
      <c r="AO28" s="378"/>
      <c r="AP28" s="378"/>
      <c r="AQ28" s="378"/>
    </row>
    <row r="29" spans="1:43" ht="45">
      <c r="A29" s="379" t="s">
        <v>978</v>
      </c>
      <c r="B29" s="22" t="s">
        <v>979</v>
      </c>
      <c r="C29" s="23">
        <f t="shared" ref="C29:C30" si="26">SUM(J29,K29,L29,P29,Q29,R29,V29,W29,X29,AB29,AC29,AD29)</f>
        <v>1</v>
      </c>
      <c r="D29" s="22" t="s">
        <v>57</v>
      </c>
      <c r="E29" s="22" t="s">
        <v>977</v>
      </c>
      <c r="F29" s="380" t="s">
        <v>980</v>
      </c>
      <c r="G29" s="381">
        <f t="shared" si="4"/>
        <v>3.0592827817446477</v>
      </c>
      <c r="H29" s="381"/>
      <c r="I29" s="382">
        <v>50</v>
      </c>
      <c r="J29" s="383"/>
      <c r="K29" s="383"/>
      <c r="L29" s="383"/>
      <c r="M29" s="384"/>
      <c r="N29" s="384"/>
      <c r="O29" s="384"/>
      <c r="P29" s="383"/>
      <c r="Q29" s="383"/>
      <c r="R29" s="383">
        <v>1</v>
      </c>
      <c r="S29" s="384"/>
      <c r="T29" s="384"/>
      <c r="U29" s="384">
        <v>50000</v>
      </c>
      <c r="V29" s="383"/>
      <c r="W29" s="383"/>
      <c r="X29" s="383"/>
      <c r="Y29" s="384"/>
      <c r="Z29" s="384"/>
      <c r="AA29" s="384"/>
      <c r="AB29" s="383"/>
      <c r="AC29" s="383"/>
      <c r="AD29" s="383"/>
      <c r="AE29" s="384"/>
      <c r="AF29" s="384"/>
      <c r="AG29" s="384"/>
      <c r="AH29" s="384">
        <v>50000</v>
      </c>
      <c r="AI29" s="384"/>
      <c r="AJ29" s="384"/>
      <c r="AK29" s="384"/>
      <c r="AL29" s="384"/>
      <c r="AM29" s="384">
        <v>50000</v>
      </c>
      <c r="AN29" s="384"/>
      <c r="AO29" s="385" t="s">
        <v>928</v>
      </c>
      <c r="AP29" s="385" t="s">
        <v>981</v>
      </c>
      <c r="AQ29" s="385" t="s">
        <v>982</v>
      </c>
    </row>
    <row r="30" spans="1:43" ht="45">
      <c r="A30" s="379" t="s">
        <v>983</v>
      </c>
      <c r="B30" s="22" t="s">
        <v>984</v>
      </c>
      <c r="C30" s="23">
        <f t="shared" si="26"/>
        <v>1</v>
      </c>
      <c r="D30" s="22" t="s">
        <v>944</v>
      </c>
      <c r="E30" s="22" t="s">
        <v>985</v>
      </c>
      <c r="F30" s="380" t="s">
        <v>986</v>
      </c>
      <c r="G30" s="381">
        <f t="shared" si="4"/>
        <v>1.5296413908723239</v>
      </c>
      <c r="H30" s="381"/>
      <c r="I30" s="382">
        <v>50</v>
      </c>
      <c r="J30" s="383"/>
      <c r="K30" s="383"/>
      <c r="L30" s="383"/>
      <c r="M30" s="384"/>
      <c r="N30" s="384"/>
      <c r="O30" s="384"/>
      <c r="P30" s="383"/>
      <c r="Q30" s="383"/>
      <c r="R30" s="383">
        <v>1</v>
      </c>
      <c r="S30" s="384"/>
      <c r="T30" s="384"/>
      <c r="U30" s="384">
        <v>25000</v>
      </c>
      <c r="V30" s="383"/>
      <c r="W30" s="383"/>
      <c r="X30" s="383"/>
      <c r="Y30" s="384"/>
      <c r="Z30" s="384"/>
      <c r="AA30" s="384"/>
      <c r="AB30" s="383"/>
      <c r="AC30" s="383"/>
      <c r="AD30" s="383"/>
      <c r="AE30" s="384"/>
      <c r="AF30" s="384"/>
      <c r="AG30" s="384"/>
      <c r="AH30" s="384">
        <v>25000</v>
      </c>
      <c r="AI30" s="384"/>
      <c r="AJ30" s="384"/>
      <c r="AK30" s="384"/>
      <c r="AL30" s="384"/>
      <c r="AM30" s="384">
        <v>25000</v>
      </c>
      <c r="AN30" s="384"/>
      <c r="AO30" s="385" t="s">
        <v>928</v>
      </c>
      <c r="AP30" s="385" t="s">
        <v>974</v>
      </c>
      <c r="AQ30" s="385"/>
    </row>
    <row r="31" spans="1:43" ht="60">
      <c r="A31" s="363" t="s">
        <v>987</v>
      </c>
      <c r="B31" s="363" t="s">
        <v>988</v>
      </c>
      <c r="C31" s="364"/>
      <c r="D31" s="363"/>
      <c r="E31" s="363"/>
      <c r="F31" s="365"/>
      <c r="G31" s="366">
        <f t="shared" si="4"/>
        <v>1.1319346292455197</v>
      </c>
      <c r="H31" s="366">
        <f>G31</f>
        <v>1.1319346292455197</v>
      </c>
      <c r="I31" s="367"/>
      <c r="J31" s="368"/>
      <c r="K31" s="368"/>
      <c r="L31" s="368"/>
      <c r="M31" s="369"/>
      <c r="N31" s="369"/>
      <c r="O31" s="369"/>
      <c r="P31" s="368"/>
      <c r="Q31" s="368"/>
      <c r="R31" s="368"/>
      <c r="S31" s="369"/>
      <c r="T31" s="369"/>
      <c r="U31" s="369">
        <f>SUM(U32,U35,U37,)</f>
        <v>2500</v>
      </c>
      <c r="V31" s="368"/>
      <c r="W31" s="368"/>
      <c r="X31" s="368"/>
      <c r="Y31" s="369"/>
      <c r="Z31" s="369"/>
      <c r="AA31" s="369">
        <f>SUM(AA32,AA35,AA37,)</f>
        <v>6750</v>
      </c>
      <c r="AB31" s="368"/>
      <c r="AC31" s="368"/>
      <c r="AD31" s="368"/>
      <c r="AE31" s="369">
        <f>SUM(AE32,AE35,AE37,)</f>
        <v>6750</v>
      </c>
      <c r="AF31" s="369">
        <f>SUM(AF32,AF35,AF37,)</f>
        <v>2500</v>
      </c>
      <c r="AG31" s="369"/>
      <c r="AH31" s="369">
        <f t="shared" ref="AH31:AI31" si="27">SUM(AH32,AH35,AH37,)</f>
        <v>18500</v>
      </c>
      <c r="AI31" s="369">
        <f t="shared" si="27"/>
        <v>18500</v>
      </c>
      <c r="AJ31" s="369"/>
      <c r="AK31" s="369"/>
      <c r="AL31" s="369"/>
      <c r="AM31" s="369"/>
      <c r="AN31" s="369"/>
      <c r="AO31" s="370"/>
      <c r="AP31" s="370"/>
      <c r="AQ31" s="370"/>
    </row>
    <row r="32" spans="1:43" ht="60">
      <c r="A32" s="371" t="s">
        <v>989</v>
      </c>
      <c r="B32" s="371" t="s">
        <v>990</v>
      </c>
      <c r="C32" s="372"/>
      <c r="D32" s="371" t="s">
        <v>231</v>
      </c>
      <c r="E32" s="371" t="s">
        <v>991</v>
      </c>
      <c r="F32" s="373" t="s">
        <v>992</v>
      </c>
      <c r="G32" s="374">
        <f t="shared" si="4"/>
        <v>0.8260063510710548</v>
      </c>
      <c r="H32" s="374"/>
      <c r="I32" s="375"/>
      <c r="J32" s="376"/>
      <c r="K32" s="376"/>
      <c r="L32" s="376"/>
      <c r="M32" s="377"/>
      <c r="N32" s="377"/>
      <c r="O32" s="377"/>
      <c r="P32" s="376"/>
      <c r="Q32" s="376"/>
      <c r="R32" s="376"/>
      <c r="S32" s="377"/>
      <c r="T32" s="377"/>
      <c r="U32" s="377"/>
      <c r="V32" s="376"/>
      <c r="W32" s="376"/>
      <c r="X32" s="376"/>
      <c r="Y32" s="377"/>
      <c r="Z32" s="377"/>
      <c r="AA32" s="377">
        <f>SUM(AA33,AA34)</f>
        <v>6750</v>
      </c>
      <c r="AB32" s="376"/>
      <c r="AC32" s="376"/>
      <c r="AD32" s="376"/>
      <c r="AE32" s="377">
        <f>SUM(AE33,AE34)</f>
        <v>6750</v>
      </c>
      <c r="AF32" s="377"/>
      <c r="AG32" s="377"/>
      <c r="AH32" s="377">
        <f t="shared" ref="AH32:AI32" si="28">SUM(AH33,AH34)</f>
        <v>13500</v>
      </c>
      <c r="AI32" s="377">
        <f t="shared" si="28"/>
        <v>13500</v>
      </c>
      <c r="AJ32" s="377"/>
      <c r="AK32" s="377"/>
      <c r="AL32" s="377"/>
      <c r="AM32" s="377"/>
      <c r="AN32" s="377"/>
      <c r="AO32" s="378"/>
      <c r="AP32" s="378"/>
      <c r="AQ32" s="378"/>
    </row>
    <row r="33" spans="1:43" ht="60">
      <c r="A33" s="379" t="s">
        <v>993</v>
      </c>
      <c r="B33" s="379" t="s">
        <v>994</v>
      </c>
      <c r="C33" s="386">
        <f t="shared" ref="C33:C34" si="29">SUM(J33,K33,L33,P33,Q33,R33,V33,W33,X33,AB33,AC33,AD33)</f>
        <v>0</v>
      </c>
      <c r="D33" s="379" t="s">
        <v>995</v>
      </c>
      <c r="E33" s="379" t="s">
        <v>996</v>
      </c>
      <c r="F33" s="388" t="s">
        <v>997</v>
      </c>
      <c r="G33" s="381">
        <f t="shared" si="4"/>
        <v>0</v>
      </c>
      <c r="H33" s="381"/>
      <c r="I33" s="394"/>
      <c r="J33" s="395"/>
      <c r="K33" s="395"/>
      <c r="L33" s="395"/>
      <c r="M33" s="396"/>
      <c r="N33" s="396"/>
      <c r="O33" s="396"/>
      <c r="P33" s="395"/>
      <c r="Q33" s="395"/>
      <c r="R33" s="395"/>
      <c r="S33" s="396"/>
      <c r="T33" s="396"/>
      <c r="U33" s="396"/>
      <c r="V33" s="395"/>
      <c r="W33" s="395"/>
      <c r="X33" s="395"/>
      <c r="Y33" s="396"/>
      <c r="Z33" s="396"/>
      <c r="AA33" s="396"/>
      <c r="AB33" s="395"/>
      <c r="AC33" s="395"/>
      <c r="AD33" s="395"/>
      <c r="AE33" s="396"/>
      <c r="AF33" s="396"/>
      <c r="AG33" s="396"/>
      <c r="AH33" s="396"/>
      <c r="AI33" s="396"/>
      <c r="AJ33" s="396"/>
      <c r="AK33" s="396"/>
      <c r="AL33" s="396"/>
      <c r="AM33" s="396"/>
      <c r="AN33" s="396"/>
      <c r="AO33" s="397"/>
      <c r="AP33" s="397"/>
      <c r="AQ33" s="397"/>
    </row>
    <row r="34" spans="1:43" ht="45">
      <c r="A34" s="379" t="s">
        <v>998</v>
      </c>
      <c r="B34" s="379" t="s">
        <v>999</v>
      </c>
      <c r="C34" s="23">
        <f t="shared" si="29"/>
        <v>2</v>
      </c>
      <c r="D34" s="379" t="s">
        <v>1000</v>
      </c>
      <c r="E34" s="379" t="s">
        <v>1001</v>
      </c>
      <c r="F34" s="388" t="s">
        <v>1002</v>
      </c>
      <c r="G34" s="381">
        <f t="shared" si="4"/>
        <v>0.8260063510710548</v>
      </c>
      <c r="H34" s="381"/>
      <c r="I34" s="389">
        <v>100</v>
      </c>
      <c r="J34" s="383"/>
      <c r="K34" s="383"/>
      <c r="L34" s="383"/>
      <c r="M34" s="384"/>
      <c r="N34" s="384"/>
      <c r="O34" s="384"/>
      <c r="P34" s="383"/>
      <c r="Q34" s="383"/>
      <c r="R34" s="383"/>
      <c r="S34" s="384"/>
      <c r="T34" s="384"/>
      <c r="U34" s="384"/>
      <c r="V34" s="383"/>
      <c r="W34" s="383"/>
      <c r="X34" s="383">
        <v>1</v>
      </c>
      <c r="Y34" s="384"/>
      <c r="Z34" s="384"/>
      <c r="AA34" s="384">
        <v>6750</v>
      </c>
      <c r="AB34" s="383">
        <v>1</v>
      </c>
      <c r="AC34" s="383"/>
      <c r="AD34" s="383"/>
      <c r="AE34" s="384">
        <v>6750</v>
      </c>
      <c r="AF34" s="384"/>
      <c r="AG34" s="384"/>
      <c r="AH34" s="384">
        <v>13500</v>
      </c>
      <c r="AI34" s="384">
        <v>13500</v>
      </c>
      <c r="AJ34" s="384"/>
      <c r="AK34" s="384"/>
      <c r="AL34" s="384"/>
      <c r="AM34" s="384"/>
      <c r="AN34" s="384"/>
      <c r="AO34" s="385" t="s">
        <v>928</v>
      </c>
      <c r="AP34" s="385" t="s">
        <v>981</v>
      </c>
      <c r="AQ34" s="385"/>
    </row>
    <row r="35" spans="1:43" ht="90">
      <c r="A35" s="371" t="s">
        <v>1003</v>
      </c>
      <c r="B35" s="371" t="s">
        <v>1004</v>
      </c>
      <c r="C35" s="372"/>
      <c r="D35" s="371" t="s">
        <v>55</v>
      </c>
      <c r="E35" s="371" t="s">
        <v>1005</v>
      </c>
      <c r="F35" s="373"/>
      <c r="G35" s="374">
        <f t="shared" si="4"/>
        <v>0.15296413908723239</v>
      </c>
      <c r="H35" s="374"/>
      <c r="I35" s="375"/>
      <c r="J35" s="376"/>
      <c r="K35" s="376"/>
      <c r="L35" s="376"/>
      <c r="M35" s="377"/>
      <c r="N35" s="377"/>
      <c r="O35" s="377"/>
      <c r="P35" s="376"/>
      <c r="Q35" s="376"/>
      <c r="R35" s="376"/>
      <c r="S35" s="377"/>
      <c r="T35" s="377"/>
      <c r="U35" s="377"/>
      <c r="V35" s="376"/>
      <c r="W35" s="376"/>
      <c r="X35" s="376"/>
      <c r="Y35" s="377"/>
      <c r="Z35" s="377"/>
      <c r="AA35" s="377"/>
      <c r="AB35" s="376"/>
      <c r="AC35" s="376"/>
      <c r="AD35" s="376"/>
      <c r="AE35" s="377"/>
      <c r="AF35" s="377">
        <f>SUM(AF36)</f>
        <v>2500</v>
      </c>
      <c r="AG35" s="377"/>
      <c r="AH35" s="377">
        <f t="shared" ref="AH35:AI35" si="30">SUM(AH36)</f>
        <v>2500</v>
      </c>
      <c r="AI35" s="377">
        <f t="shared" si="30"/>
        <v>2500</v>
      </c>
      <c r="AJ35" s="377"/>
      <c r="AK35" s="377"/>
      <c r="AL35" s="377"/>
      <c r="AM35" s="377"/>
      <c r="AN35" s="377"/>
      <c r="AO35" s="378"/>
      <c r="AP35" s="378"/>
      <c r="AQ35" s="378"/>
    </row>
    <row r="36" spans="1:43" ht="75">
      <c r="A36" s="379" t="s">
        <v>1006</v>
      </c>
      <c r="B36" s="379" t="s">
        <v>1007</v>
      </c>
      <c r="C36" s="23">
        <f>SUM(J36,K36,L36,P36,Q36,R36,V36,W36,X36,AB36,AC36,AD36)</f>
        <v>1</v>
      </c>
      <c r="D36" s="379" t="s">
        <v>55</v>
      </c>
      <c r="E36" s="379" t="s">
        <v>1005</v>
      </c>
      <c r="F36" s="388" t="s">
        <v>1008</v>
      </c>
      <c r="G36" s="381">
        <f t="shared" si="4"/>
        <v>0.15296413908723239</v>
      </c>
      <c r="H36" s="381"/>
      <c r="I36" s="382">
        <v>100</v>
      </c>
      <c r="J36" s="383"/>
      <c r="K36" s="383"/>
      <c r="L36" s="383"/>
      <c r="M36" s="384"/>
      <c r="N36" s="384"/>
      <c r="O36" s="384"/>
      <c r="P36" s="383"/>
      <c r="Q36" s="383"/>
      <c r="R36" s="383"/>
      <c r="S36" s="384"/>
      <c r="T36" s="384"/>
      <c r="U36" s="384"/>
      <c r="V36" s="383"/>
      <c r="W36" s="383"/>
      <c r="X36" s="383"/>
      <c r="Y36" s="384"/>
      <c r="Z36" s="384"/>
      <c r="AA36" s="384"/>
      <c r="AB36" s="383"/>
      <c r="AC36" s="383">
        <v>1</v>
      </c>
      <c r="AD36" s="383"/>
      <c r="AE36" s="384"/>
      <c r="AF36" s="384">
        <v>2500</v>
      </c>
      <c r="AG36" s="384"/>
      <c r="AH36" s="384">
        <v>2500</v>
      </c>
      <c r="AI36" s="384">
        <v>2500</v>
      </c>
      <c r="AJ36" s="384"/>
      <c r="AK36" s="384"/>
      <c r="AL36" s="384"/>
      <c r="AM36" s="384"/>
      <c r="AN36" s="384"/>
      <c r="AO36" s="385" t="s">
        <v>928</v>
      </c>
      <c r="AP36" s="385" t="s">
        <v>974</v>
      </c>
      <c r="AQ36" s="385"/>
    </row>
    <row r="37" spans="1:43" ht="75">
      <c r="A37" s="371" t="s">
        <v>1009</v>
      </c>
      <c r="B37" s="371" t="s">
        <v>1010</v>
      </c>
      <c r="C37" s="372"/>
      <c r="D37" s="371" t="s">
        <v>55</v>
      </c>
      <c r="E37" s="371" t="s">
        <v>1011</v>
      </c>
      <c r="F37" s="373"/>
      <c r="G37" s="374">
        <f t="shared" si="4"/>
        <v>0.15296413908723239</v>
      </c>
      <c r="H37" s="374"/>
      <c r="I37" s="375"/>
      <c r="J37" s="376"/>
      <c r="K37" s="376"/>
      <c r="L37" s="376"/>
      <c r="M37" s="377"/>
      <c r="N37" s="377"/>
      <c r="O37" s="377"/>
      <c r="P37" s="376"/>
      <c r="Q37" s="376"/>
      <c r="R37" s="376"/>
      <c r="S37" s="377"/>
      <c r="T37" s="377"/>
      <c r="U37" s="377">
        <f>SUM(U38)</f>
        <v>2500</v>
      </c>
      <c r="V37" s="376"/>
      <c r="W37" s="376"/>
      <c r="X37" s="376"/>
      <c r="Y37" s="377"/>
      <c r="Z37" s="377"/>
      <c r="AA37" s="377"/>
      <c r="AB37" s="376"/>
      <c r="AC37" s="376"/>
      <c r="AD37" s="376"/>
      <c r="AE37" s="377"/>
      <c r="AF37" s="377"/>
      <c r="AG37" s="377"/>
      <c r="AH37" s="377">
        <f t="shared" ref="AH37:AI37" si="31">SUM(AH38)</f>
        <v>2500</v>
      </c>
      <c r="AI37" s="377">
        <f t="shared" si="31"/>
        <v>2500</v>
      </c>
      <c r="AJ37" s="377"/>
      <c r="AK37" s="377"/>
      <c r="AL37" s="377"/>
      <c r="AM37" s="377"/>
      <c r="AN37" s="377"/>
      <c r="AO37" s="378"/>
      <c r="AP37" s="378"/>
      <c r="AQ37" s="378"/>
    </row>
    <row r="38" spans="1:43" ht="105">
      <c r="A38" s="379" t="s">
        <v>1012</v>
      </c>
      <c r="B38" s="379" t="s">
        <v>1013</v>
      </c>
      <c r="C38" s="23">
        <f>SUM(J38,K38,L38,P38,Q38,R38,V38,W38,X38,AB38,AC38,AD38)</f>
        <v>1</v>
      </c>
      <c r="D38" s="379" t="s">
        <v>52</v>
      </c>
      <c r="E38" s="379" t="s">
        <v>1014</v>
      </c>
      <c r="F38" s="388" t="s">
        <v>1015</v>
      </c>
      <c r="G38" s="381">
        <f t="shared" si="4"/>
        <v>0.15296413908723239</v>
      </c>
      <c r="H38" s="381"/>
      <c r="I38" s="382">
        <v>100</v>
      </c>
      <c r="J38" s="383"/>
      <c r="K38" s="383"/>
      <c r="L38" s="383"/>
      <c r="M38" s="384"/>
      <c r="N38" s="384"/>
      <c r="O38" s="384"/>
      <c r="P38" s="383"/>
      <c r="Q38" s="383"/>
      <c r="R38" s="383">
        <v>1</v>
      </c>
      <c r="S38" s="384"/>
      <c r="T38" s="384"/>
      <c r="U38" s="384">
        <v>2500</v>
      </c>
      <c r="V38" s="383"/>
      <c r="W38" s="383"/>
      <c r="X38" s="383"/>
      <c r="Y38" s="384"/>
      <c r="Z38" s="384"/>
      <c r="AA38" s="384"/>
      <c r="AB38" s="383"/>
      <c r="AC38" s="383"/>
      <c r="AD38" s="383"/>
      <c r="AE38" s="384"/>
      <c r="AF38" s="384"/>
      <c r="AG38" s="384"/>
      <c r="AH38" s="384">
        <v>2500</v>
      </c>
      <c r="AI38" s="384">
        <v>2500</v>
      </c>
      <c r="AJ38" s="384"/>
      <c r="AK38" s="384"/>
      <c r="AL38" s="384"/>
      <c r="AM38" s="384"/>
      <c r="AN38" s="384"/>
      <c r="AO38" s="385" t="s">
        <v>928</v>
      </c>
      <c r="AP38" s="385" t="s">
        <v>1016</v>
      </c>
      <c r="AQ38" s="385"/>
    </row>
    <row r="39" spans="1:43" ht="45">
      <c r="A39" s="363" t="s">
        <v>1017</v>
      </c>
      <c r="B39" s="363" t="s">
        <v>1018</v>
      </c>
      <c r="C39" s="364"/>
      <c r="D39" s="363"/>
      <c r="E39" s="363"/>
      <c r="F39" s="365"/>
      <c r="G39" s="366">
        <f t="shared" si="4"/>
        <v>9.7897049015828727E-2</v>
      </c>
      <c r="H39" s="366">
        <f>G39</f>
        <v>9.7897049015828727E-2</v>
      </c>
      <c r="I39" s="367"/>
      <c r="J39" s="368"/>
      <c r="K39" s="368"/>
      <c r="L39" s="368"/>
      <c r="M39" s="369"/>
      <c r="N39" s="369"/>
      <c r="O39" s="369"/>
      <c r="P39" s="368"/>
      <c r="Q39" s="368"/>
      <c r="R39" s="368"/>
      <c r="S39" s="369"/>
      <c r="T39" s="369">
        <f>SUM(T40)</f>
        <v>1600</v>
      </c>
      <c r="U39" s="369"/>
      <c r="V39" s="368"/>
      <c r="W39" s="368"/>
      <c r="X39" s="368"/>
      <c r="Y39" s="369"/>
      <c r="Z39" s="369"/>
      <c r="AA39" s="369"/>
      <c r="AB39" s="368"/>
      <c r="AC39" s="368"/>
      <c r="AD39" s="368"/>
      <c r="AE39" s="369"/>
      <c r="AF39" s="369"/>
      <c r="AG39" s="369"/>
      <c r="AH39" s="369">
        <f t="shared" ref="AH39:AI40" si="32">SUM(AH40)</f>
        <v>1600</v>
      </c>
      <c r="AI39" s="369">
        <f t="shared" si="32"/>
        <v>1600</v>
      </c>
      <c r="AJ39" s="369"/>
      <c r="AK39" s="369"/>
      <c r="AL39" s="369"/>
      <c r="AM39" s="369"/>
      <c r="AN39" s="369"/>
      <c r="AO39" s="370"/>
      <c r="AP39" s="370"/>
      <c r="AQ39" s="370"/>
    </row>
    <row r="40" spans="1:43" ht="60">
      <c r="A40" s="371" t="s">
        <v>1019</v>
      </c>
      <c r="B40" s="371" t="s">
        <v>1020</v>
      </c>
      <c r="C40" s="372"/>
      <c r="D40" s="18" t="s">
        <v>1021</v>
      </c>
      <c r="E40" s="18" t="s">
        <v>1022</v>
      </c>
      <c r="F40" s="373"/>
      <c r="G40" s="374">
        <f t="shared" si="4"/>
        <v>9.7897049015828727E-2</v>
      </c>
      <c r="H40" s="374"/>
      <c r="I40" s="375"/>
      <c r="J40" s="376"/>
      <c r="K40" s="376"/>
      <c r="L40" s="376"/>
      <c r="M40" s="377"/>
      <c r="N40" s="377"/>
      <c r="O40" s="377"/>
      <c r="P40" s="376"/>
      <c r="Q40" s="376"/>
      <c r="R40" s="376"/>
      <c r="S40" s="377"/>
      <c r="T40" s="377">
        <f>SUM(T41)</f>
        <v>1600</v>
      </c>
      <c r="U40" s="377"/>
      <c r="V40" s="376"/>
      <c r="W40" s="376"/>
      <c r="X40" s="376"/>
      <c r="Y40" s="377"/>
      <c r="Z40" s="377"/>
      <c r="AA40" s="377"/>
      <c r="AB40" s="376"/>
      <c r="AC40" s="376"/>
      <c r="AD40" s="376"/>
      <c r="AE40" s="377"/>
      <c r="AF40" s="377"/>
      <c r="AG40" s="377"/>
      <c r="AH40" s="377">
        <f t="shared" si="32"/>
        <v>1600</v>
      </c>
      <c r="AI40" s="377">
        <f t="shared" si="32"/>
        <v>1600</v>
      </c>
      <c r="AJ40" s="377"/>
      <c r="AK40" s="377"/>
      <c r="AL40" s="377"/>
      <c r="AM40" s="377"/>
      <c r="AN40" s="377"/>
      <c r="AO40" s="378"/>
      <c r="AP40" s="378"/>
      <c r="AQ40" s="378"/>
    </row>
    <row r="41" spans="1:43" ht="75">
      <c r="A41" s="379" t="s">
        <v>1023</v>
      </c>
      <c r="B41" s="22" t="s">
        <v>1024</v>
      </c>
      <c r="C41" s="23">
        <f>SUM(J41,K41,L41,P41,Q41,R41,V41,W41,X41,AB41,AC41,AD41)</f>
        <v>1</v>
      </c>
      <c r="D41" s="22" t="s">
        <v>231</v>
      </c>
      <c r="E41" s="22" t="s">
        <v>1025</v>
      </c>
      <c r="F41" s="380" t="s">
        <v>1026</v>
      </c>
      <c r="G41" s="381">
        <f t="shared" si="4"/>
        <v>9.7897049015828727E-2</v>
      </c>
      <c r="H41" s="381"/>
      <c r="I41" s="382">
        <v>100</v>
      </c>
      <c r="J41" s="383"/>
      <c r="K41" s="383"/>
      <c r="L41" s="383"/>
      <c r="M41" s="384"/>
      <c r="N41" s="384"/>
      <c r="O41" s="384"/>
      <c r="P41" s="383"/>
      <c r="Q41" s="383">
        <v>1</v>
      </c>
      <c r="R41" s="383"/>
      <c r="S41" s="384"/>
      <c r="T41" s="384">
        <v>1600</v>
      </c>
      <c r="U41" s="384"/>
      <c r="V41" s="383"/>
      <c r="W41" s="383"/>
      <c r="X41" s="383"/>
      <c r="Y41" s="384"/>
      <c r="Z41" s="384"/>
      <c r="AA41" s="384"/>
      <c r="AB41" s="383"/>
      <c r="AC41" s="383"/>
      <c r="AD41" s="383"/>
      <c r="AE41" s="384"/>
      <c r="AF41" s="384"/>
      <c r="AG41" s="384"/>
      <c r="AH41" s="384">
        <v>1600</v>
      </c>
      <c r="AI41" s="384">
        <v>1600</v>
      </c>
      <c r="AJ41" s="384"/>
      <c r="AK41" s="384"/>
      <c r="AL41" s="384"/>
      <c r="AM41" s="384"/>
      <c r="AN41" s="384"/>
      <c r="AO41" s="385" t="s">
        <v>928</v>
      </c>
      <c r="AP41" s="385" t="s">
        <v>1027</v>
      </c>
      <c r="AQ41" s="385"/>
    </row>
    <row r="42" spans="1:43" ht="30">
      <c r="A42" s="47" t="s">
        <v>322</v>
      </c>
      <c r="B42" s="47" t="s">
        <v>323</v>
      </c>
      <c r="C42" s="349"/>
      <c r="D42" s="47"/>
      <c r="E42" s="47"/>
      <c r="F42" s="350"/>
      <c r="G42" s="398">
        <f t="shared" si="4"/>
        <v>6.1185655634892949E-2</v>
      </c>
      <c r="H42" s="398"/>
      <c r="I42" s="399"/>
      <c r="J42" s="400"/>
      <c r="K42" s="400"/>
      <c r="L42" s="400"/>
      <c r="M42" s="401"/>
      <c r="N42" s="401"/>
      <c r="O42" s="401"/>
      <c r="P42" s="400"/>
      <c r="Q42" s="400"/>
      <c r="R42" s="400"/>
      <c r="S42" s="401"/>
      <c r="T42" s="401"/>
      <c r="U42" s="401"/>
      <c r="V42" s="400"/>
      <c r="W42" s="400"/>
      <c r="X42" s="400"/>
      <c r="Y42" s="401">
        <f>SUM(Y43)</f>
        <v>335</v>
      </c>
      <c r="Z42" s="401">
        <f t="shared" ref="Z42:AA45" si="33">SUM(Z43)</f>
        <v>335</v>
      </c>
      <c r="AA42" s="401">
        <f t="shared" si="33"/>
        <v>330</v>
      </c>
      <c r="AB42" s="400"/>
      <c r="AC42" s="400"/>
      <c r="AD42" s="400"/>
      <c r="AE42" s="401"/>
      <c r="AF42" s="401"/>
      <c r="AG42" s="401"/>
      <c r="AH42" s="401">
        <f t="shared" ref="AH42:AI45" si="34">SUM(AH43)</f>
        <v>1000</v>
      </c>
      <c r="AI42" s="401">
        <f t="shared" si="34"/>
        <v>1000</v>
      </c>
      <c r="AJ42" s="401"/>
      <c r="AK42" s="401"/>
      <c r="AL42" s="401"/>
      <c r="AM42" s="401"/>
      <c r="AN42" s="401"/>
      <c r="AO42" s="402"/>
      <c r="AP42" s="402"/>
      <c r="AQ42" s="402"/>
    </row>
    <row r="43" spans="1:43" ht="90">
      <c r="A43" s="355" t="s">
        <v>324</v>
      </c>
      <c r="B43" s="355" t="s">
        <v>325</v>
      </c>
      <c r="C43" s="356"/>
      <c r="D43" s="355"/>
      <c r="E43" s="355"/>
      <c r="F43" s="357"/>
      <c r="G43" s="358">
        <f t="shared" si="4"/>
        <v>6.1185655634892949E-2</v>
      </c>
      <c r="H43" s="358"/>
      <c r="I43" s="359"/>
      <c r="J43" s="360"/>
      <c r="K43" s="360"/>
      <c r="L43" s="360"/>
      <c r="M43" s="361"/>
      <c r="N43" s="361"/>
      <c r="O43" s="361"/>
      <c r="P43" s="360"/>
      <c r="Q43" s="360"/>
      <c r="R43" s="360"/>
      <c r="S43" s="361"/>
      <c r="T43" s="361"/>
      <c r="U43" s="361"/>
      <c r="V43" s="360"/>
      <c r="W43" s="360"/>
      <c r="X43" s="360"/>
      <c r="Y43" s="361">
        <f>SUM(Y44)</f>
        <v>335</v>
      </c>
      <c r="Z43" s="361">
        <f t="shared" si="33"/>
        <v>335</v>
      </c>
      <c r="AA43" s="361">
        <f t="shared" si="33"/>
        <v>330</v>
      </c>
      <c r="AB43" s="360"/>
      <c r="AC43" s="360"/>
      <c r="AD43" s="360"/>
      <c r="AE43" s="361"/>
      <c r="AF43" s="361"/>
      <c r="AG43" s="361"/>
      <c r="AH43" s="361">
        <f t="shared" si="34"/>
        <v>1000</v>
      </c>
      <c r="AI43" s="361">
        <f t="shared" si="34"/>
        <v>1000</v>
      </c>
      <c r="AJ43" s="361"/>
      <c r="AK43" s="361"/>
      <c r="AL43" s="361"/>
      <c r="AM43" s="361"/>
      <c r="AN43" s="361"/>
      <c r="AO43" s="362"/>
      <c r="AP43" s="362"/>
      <c r="AQ43" s="362"/>
    </row>
    <row r="44" spans="1:43" ht="30">
      <c r="A44" s="363" t="s">
        <v>326</v>
      </c>
      <c r="B44" s="363" t="s">
        <v>327</v>
      </c>
      <c r="C44" s="364"/>
      <c r="D44" s="363"/>
      <c r="E44" s="363"/>
      <c r="F44" s="365"/>
      <c r="G44" s="366">
        <f t="shared" si="4"/>
        <v>6.1185655634892949E-2</v>
      </c>
      <c r="H44" s="366">
        <f>G44</f>
        <v>6.1185655634892949E-2</v>
      </c>
      <c r="I44" s="367"/>
      <c r="J44" s="368"/>
      <c r="K44" s="368"/>
      <c r="L44" s="368"/>
      <c r="M44" s="369"/>
      <c r="N44" s="369"/>
      <c r="O44" s="369"/>
      <c r="P44" s="368"/>
      <c r="Q44" s="368"/>
      <c r="R44" s="368"/>
      <c r="S44" s="369"/>
      <c r="T44" s="369"/>
      <c r="U44" s="369"/>
      <c r="V44" s="368"/>
      <c r="W44" s="368"/>
      <c r="X44" s="368"/>
      <c r="Y44" s="369">
        <f>SUM(Y45)</f>
        <v>335</v>
      </c>
      <c r="Z44" s="369">
        <f t="shared" si="33"/>
        <v>335</v>
      </c>
      <c r="AA44" s="369">
        <f t="shared" si="33"/>
        <v>330</v>
      </c>
      <c r="AB44" s="368"/>
      <c r="AC44" s="368"/>
      <c r="AD44" s="368"/>
      <c r="AE44" s="369"/>
      <c r="AF44" s="369"/>
      <c r="AG44" s="369"/>
      <c r="AH44" s="369">
        <f t="shared" si="34"/>
        <v>1000</v>
      </c>
      <c r="AI44" s="369">
        <f t="shared" si="34"/>
        <v>1000</v>
      </c>
      <c r="AJ44" s="369"/>
      <c r="AK44" s="369"/>
      <c r="AL44" s="369"/>
      <c r="AM44" s="369"/>
      <c r="AN44" s="369"/>
      <c r="AO44" s="370"/>
      <c r="AP44" s="370"/>
      <c r="AQ44" s="370"/>
    </row>
    <row r="45" spans="1:43" ht="60">
      <c r="A45" s="371" t="s">
        <v>1028</v>
      </c>
      <c r="B45" s="371" t="s">
        <v>1029</v>
      </c>
      <c r="C45" s="372"/>
      <c r="D45" s="371" t="s">
        <v>309</v>
      </c>
      <c r="E45" s="371" t="s">
        <v>1030</v>
      </c>
      <c r="F45" s="373" t="s">
        <v>1031</v>
      </c>
      <c r="G45" s="374">
        <f t="shared" si="4"/>
        <v>6.1185655634892949E-2</v>
      </c>
      <c r="H45" s="374"/>
      <c r="I45" s="375"/>
      <c r="J45" s="376"/>
      <c r="K45" s="376"/>
      <c r="L45" s="376"/>
      <c r="M45" s="377"/>
      <c r="N45" s="377"/>
      <c r="O45" s="377"/>
      <c r="P45" s="376"/>
      <c r="Q45" s="376"/>
      <c r="R45" s="376"/>
      <c r="S45" s="377"/>
      <c r="T45" s="377"/>
      <c r="U45" s="377"/>
      <c r="V45" s="376"/>
      <c r="W45" s="376"/>
      <c r="X45" s="376"/>
      <c r="Y45" s="377">
        <f>SUM(Y46)</f>
        <v>335</v>
      </c>
      <c r="Z45" s="377">
        <f t="shared" si="33"/>
        <v>335</v>
      </c>
      <c r="AA45" s="377">
        <f t="shared" si="33"/>
        <v>330</v>
      </c>
      <c r="AB45" s="376"/>
      <c r="AC45" s="376"/>
      <c r="AD45" s="376"/>
      <c r="AE45" s="377"/>
      <c r="AF45" s="377"/>
      <c r="AG45" s="377"/>
      <c r="AH45" s="377">
        <f t="shared" si="34"/>
        <v>1000</v>
      </c>
      <c r="AI45" s="377">
        <f t="shared" si="34"/>
        <v>1000</v>
      </c>
      <c r="AJ45" s="377"/>
      <c r="AK45" s="377"/>
      <c r="AL45" s="377"/>
      <c r="AM45" s="377"/>
      <c r="AN45" s="377"/>
      <c r="AO45" s="378"/>
      <c r="AP45" s="378"/>
      <c r="AQ45" s="378"/>
    </row>
    <row r="46" spans="1:43" ht="30">
      <c r="A46" s="379" t="s">
        <v>1032</v>
      </c>
      <c r="B46" s="403" t="s">
        <v>1033</v>
      </c>
      <c r="C46" s="23">
        <f>SUM(J46,K46,L46,P46,Q46,R46,V46,W46,X46,AB46,AC46,AD46)</f>
        <v>12</v>
      </c>
      <c r="D46" s="403" t="s">
        <v>52</v>
      </c>
      <c r="E46" s="403" t="s">
        <v>1034</v>
      </c>
      <c r="F46" s="404" t="s">
        <v>1031</v>
      </c>
      <c r="G46" s="381">
        <f t="shared" si="4"/>
        <v>6.1185655634892949E-2</v>
      </c>
      <c r="H46" s="381"/>
      <c r="I46" s="382">
        <v>100</v>
      </c>
      <c r="J46" s="405"/>
      <c r="K46" s="405"/>
      <c r="L46" s="405"/>
      <c r="M46" s="384"/>
      <c r="N46" s="384"/>
      <c r="O46" s="384"/>
      <c r="P46" s="405"/>
      <c r="Q46" s="405"/>
      <c r="R46" s="405"/>
      <c r="S46" s="384"/>
      <c r="T46" s="384"/>
      <c r="U46" s="384"/>
      <c r="V46" s="405">
        <v>4</v>
      </c>
      <c r="W46" s="406">
        <v>4</v>
      </c>
      <c r="X46" s="406">
        <v>4</v>
      </c>
      <c r="Y46" s="384">
        <v>335</v>
      </c>
      <c r="Z46" s="384">
        <v>335</v>
      </c>
      <c r="AA46" s="384">
        <v>330</v>
      </c>
      <c r="AB46" s="405"/>
      <c r="AC46" s="405"/>
      <c r="AD46" s="405"/>
      <c r="AE46" s="384"/>
      <c r="AF46" s="384"/>
      <c r="AG46" s="384"/>
      <c r="AH46" s="407">
        <v>1000</v>
      </c>
      <c r="AI46" s="384">
        <v>1000</v>
      </c>
      <c r="AJ46" s="407"/>
      <c r="AK46" s="407"/>
      <c r="AL46" s="407"/>
      <c r="AM46" s="407"/>
      <c r="AN46" s="408"/>
      <c r="AO46" s="409" t="s">
        <v>928</v>
      </c>
      <c r="AP46" s="409" t="s">
        <v>1027</v>
      </c>
      <c r="AQ46" s="409"/>
    </row>
    <row r="47" spans="1:43" ht="30">
      <c r="A47" s="47" t="s">
        <v>338</v>
      </c>
      <c r="B47" s="47" t="s">
        <v>339</v>
      </c>
      <c r="C47" s="349"/>
      <c r="D47" s="47"/>
      <c r="E47" s="47"/>
      <c r="F47" s="350"/>
      <c r="G47" s="398">
        <f t="shared" si="4"/>
        <v>0.36711393380935775</v>
      </c>
      <c r="H47" s="398"/>
      <c r="I47" s="399"/>
      <c r="J47" s="400"/>
      <c r="K47" s="400"/>
      <c r="L47" s="400"/>
      <c r="M47" s="401"/>
      <c r="N47" s="401"/>
      <c r="O47" s="401"/>
      <c r="P47" s="400"/>
      <c r="Q47" s="400"/>
      <c r="R47" s="400"/>
      <c r="S47" s="401"/>
      <c r="T47" s="401"/>
      <c r="U47" s="401">
        <f>SUM(U48,U52)</f>
        <v>2500</v>
      </c>
      <c r="V47" s="400"/>
      <c r="W47" s="400"/>
      <c r="X47" s="400"/>
      <c r="Y47" s="401"/>
      <c r="Z47" s="401"/>
      <c r="AA47" s="401">
        <f t="shared" ref="AA47" si="35">SUM(AA48,AA52)</f>
        <v>3500</v>
      </c>
      <c r="AB47" s="400"/>
      <c r="AC47" s="400"/>
      <c r="AD47" s="400"/>
      <c r="AE47" s="401"/>
      <c r="AF47" s="401"/>
      <c r="AG47" s="401"/>
      <c r="AH47" s="401">
        <f t="shared" ref="AH47:AI47" si="36">SUM(AH48,AH52)</f>
        <v>6000</v>
      </c>
      <c r="AI47" s="401">
        <f t="shared" si="36"/>
        <v>6000</v>
      </c>
      <c r="AJ47" s="401"/>
      <c r="AK47" s="401"/>
      <c r="AL47" s="401"/>
      <c r="AM47" s="401"/>
      <c r="AN47" s="401"/>
      <c r="AO47" s="402"/>
      <c r="AP47" s="402"/>
      <c r="AQ47" s="402"/>
    </row>
    <row r="48" spans="1:43" ht="30">
      <c r="A48" s="355" t="s">
        <v>1035</v>
      </c>
      <c r="B48" s="355" t="s">
        <v>1036</v>
      </c>
      <c r="C48" s="356"/>
      <c r="D48" s="355"/>
      <c r="E48" s="355"/>
      <c r="F48" s="357"/>
      <c r="G48" s="358">
        <f t="shared" si="4"/>
        <v>0.15296413908723239</v>
      </c>
      <c r="H48" s="358"/>
      <c r="I48" s="359"/>
      <c r="J48" s="360"/>
      <c r="K48" s="360"/>
      <c r="L48" s="360"/>
      <c r="M48" s="361"/>
      <c r="N48" s="361"/>
      <c r="O48" s="361"/>
      <c r="P48" s="360"/>
      <c r="Q48" s="360"/>
      <c r="R48" s="360"/>
      <c r="S48" s="361"/>
      <c r="T48" s="361"/>
      <c r="U48" s="361">
        <f>SUM(U49)</f>
        <v>2500</v>
      </c>
      <c r="V48" s="360"/>
      <c r="W48" s="360"/>
      <c r="X48" s="360"/>
      <c r="Y48" s="361"/>
      <c r="Z48" s="361"/>
      <c r="AA48" s="361"/>
      <c r="AB48" s="360"/>
      <c r="AC48" s="360"/>
      <c r="AD48" s="360"/>
      <c r="AE48" s="361"/>
      <c r="AF48" s="361"/>
      <c r="AG48" s="361"/>
      <c r="AH48" s="361">
        <f t="shared" ref="AH48:AI50" si="37">SUM(AH49)</f>
        <v>2500</v>
      </c>
      <c r="AI48" s="361">
        <f t="shared" si="37"/>
        <v>2500</v>
      </c>
      <c r="AJ48" s="361"/>
      <c r="AK48" s="361"/>
      <c r="AL48" s="361"/>
      <c r="AM48" s="361"/>
      <c r="AN48" s="361"/>
      <c r="AO48" s="362"/>
      <c r="AP48" s="362"/>
      <c r="AQ48" s="362"/>
    </row>
    <row r="49" spans="1:43" ht="45">
      <c r="A49" s="363" t="s">
        <v>1037</v>
      </c>
      <c r="B49" s="363" t="s">
        <v>1038</v>
      </c>
      <c r="C49" s="364"/>
      <c r="D49" s="363"/>
      <c r="E49" s="363"/>
      <c r="F49" s="365"/>
      <c r="G49" s="366">
        <f t="shared" si="4"/>
        <v>0.15296413908723239</v>
      </c>
      <c r="H49" s="366">
        <f>G49</f>
        <v>0.15296413908723239</v>
      </c>
      <c r="I49" s="367"/>
      <c r="J49" s="368"/>
      <c r="K49" s="368"/>
      <c r="L49" s="368"/>
      <c r="M49" s="369"/>
      <c r="N49" s="369"/>
      <c r="O49" s="369"/>
      <c r="P49" s="368"/>
      <c r="Q49" s="368"/>
      <c r="R49" s="368"/>
      <c r="S49" s="369"/>
      <c r="T49" s="369"/>
      <c r="U49" s="369">
        <f>SUM(U50)</f>
        <v>2500</v>
      </c>
      <c r="V49" s="368"/>
      <c r="W49" s="368"/>
      <c r="X49" s="368"/>
      <c r="Y49" s="369"/>
      <c r="Z49" s="369"/>
      <c r="AA49" s="369"/>
      <c r="AB49" s="368"/>
      <c r="AC49" s="368"/>
      <c r="AD49" s="368"/>
      <c r="AE49" s="369"/>
      <c r="AF49" s="369"/>
      <c r="AG49" s="369"/>
      <c r="AH49" s="369">
        <f t="shared" si="37"/>
        <v>2500</v>
      </c>
      <c r="AI49" s="369">
        <f t="shared" si="37"/>
        <v>2500</v>
      </c>
      <c r="AJ49" s="369"/>
      <c r="AK49" s="369"/>
      <c r="AL49" s="369"/>
      <c r="AM49" s="369"/>
      <c r="AN49" s="369"/>
      <c r="AO49" s="370"/>
      <c r="AP49" s="370"/>
      <c r="AQ49" s="370"/>
    </row>
    <row r="50" spans="1:43" ht="90">
      <c r="A50" s="371" t="s">
        <v>1039</v>
      </c>
      <c r="B50" s="371" t="s">
        <v>1040</v>
      </c>
      <c r="C50" s="410"/>
      <c r="D50" s="371" t="s">
        <v>57</v>
      </c>
      <c r="E50" s="371" t="s">
        <v>1041</v>
      </c>
      <c r="F50" s="373"/>
      <c r="G50" s="374">
        <f t="shared" si="4"/>
        <v>0.15296413908723239</v>
      </c>
      <c r="H50" s="374"/>
      <c r="I50" s="375"/>
      <c r="J50" s="376"/>
      <c r="K50" s="376"/>
      <c r="L50" s="376"/>
      <c r="M50" s="377"/>
      <c r="N50" s="377"/>
      <c r="O50" s="377"/>
      <c r="P50" s="376"/>
      <c r="Q50" s="376"/>
      <c r="R50" s="376"/>
      <c r="S50" s="377"/>
      <c r="T50" s="377"/>
      <c r="U50" s="377">
        <f>SUM(U51)</f>
        <v>2500</v>
      </c>
      <c r="V50" s="376"/>
      <c r="W50" s="376"/>
      <c r="X50" s="376"/>
      <c r="Y50" s="377"/>
      <c r="Z50" s="377"/>
      <c r="AA50" s="377"/>
      <c r="AB50" s="376"/>
      <c r="AC50" s="376"/>
      <c r="AD50" s="376"/>
      <c r="AE50" s="377"/>
      <c r="AF50" s="377"/>
      <c r="AG50" s="377"/>
      <c r="AH50" s="377">
        <f t="shared" si="37"/>
        <v>2500</v>
      </c>
      <c r="AI50" s="377">
        <f t="shared" si="37"/>
        <v>2500</v>
      </c>
      <c r="AJ50" s="377"/>
      <c r="AK50" s="377"/>
      <c r="AL50" s="377"/>
      <c r="AM50" s="377"/>
      <c r="AN50" s="377"/>
      <c r="AO50" s="378"/>
      <c r="AP50" s="378"/>
      <c r="AQ50" s="378"/>
    </row>
    <row r="51" spans="1:43" ht="60">
      <c r="A51" s="379" t="s">
        <v>1042</v>
      </c>
      <c r="B51" s="379" t="s">
        <v>1043</v>
      </c>
      <c r="C51" s="23">
        <f>SUM(J51,K51,L51,P51,Q51,R51,V51,W51,X51,AB51,AC51,AD51)</f>
        <v>1</v>
      </c>
      <c r="D51" s="379" t="s">
        <v>57</v>
      </c>
      <c r="E51" s="379" t="s">
        <v>1041</v>
      </c>
      <c r="F51" s="388" t="s">
        <v>52</v>
      </c>
      <c r="G51" s="381">
        <f t="shared" si="4"/>
        <v>0.15296413908723239</v>
      </c>
      <c r="H51" s="381"/>
      <c r="I51" s="382">
        <v>100</v>
      </c>
      <c r="J51" s="383"/>
      <c r="K51" s="383"/>
      <c r="L51" s="383"/>
      <c r="M51" s="384"/>
      <c r="N51" s="384"/>
      <c r="O51" s="384"/>
      <c r="P51" s="383"/>
      <c r="Q51" s="383"/>
      <c r="R51" s="383">
        <v>1</v>
      </c>
      <c r="S51" s="384"/>
      <c r="T51" s="384"/>
      <c r="U51" s="384">
        <v>2500</v>
      </c>
      <c r="V51" s="383"/>
      <c r="W51" s="383"/>
      <c r="X51" s="383"/>
      <c r="Y51" s="384"/>
      <c r="Z51" s="384"/>
      <c r="AA51" s="384"/>
      <c r="AB51" s="383"/>
      <c r="AC51" s="383"/>
      <c r="AD51" s="383"/>
      <c r="AE51" s="384"/>
      <c r="AF51" s="384"/>
      <c r="AG51" s="384"/>
      <c r="AH51" s="384">
        <v>2500</v>
      </c>
      <c r="AI51" s="384">
        <v>2500</v>
      </c>
      <c r="AJ51" s="384"/>
      <c r="AK51" s="384"/>
      <c r="AL51" s="384"/>
      <c r="AM51" s="384"/>
      <c r="AN51" s="384"/>
      <c r="AO51" s="409" t="s">
        <v>928</v>
      </c>
      <c r="AP51" s="385" t="s">
        <v>1044</v>
      </c>
      <c r="AQ51" s="385"/>
    </row>
    <row r="52" spans="1:43" ht="30">
      <c r="A52" s="355" t="s">
        <v>340</v>
      </c>
      <c r="B52" s="355" t="s">
        <v>341</v>
      </c>
      <c r="C52" s="356"/>
      <c r="D52" s="355"/>
      <c r="E52" s="355"/>
      <c r="F52" s="357"/>
      <c r="G52" s="358">
        <f t="shared" si="4"/>
        <v>0.21414979472212534</v>
      </c>
      <c r="H52" s="358"/>
      <c r="I52" s="359"/>
      <c r="J52" s="360"/>
      <c r="K52" s="360"/>
      <c r="L52" s="360"/>
      <c r="M52" s="361"/>
      <c r="N52" s="361"/>
      <c r="O52" s="361"/>
      <c r="P52" s="360"/>
      <c r="Q52" s="360"/>
      <c r="R52" s="360"/>
      <c r="S52" s="361"/>
      <c r="T52" s="361"/>
      <c r="U52" s="361"/>
      <c r="V52" s="360"/>
      <c r="W52" s="360"/>
      <c r="X52" s="360"/>
      <c r="Y52" s="361"/>
      <c r="Z52" s="361"/>
      <c r="AA52" s="361">
        <f t="shared" ref="AA52:AA54" si="38">SUM(AA53)</f>
        <v>3500</v>
      </c>
      <c r="AB52" s="360"/>
      <c r="AC52" s="360"/>
      <c r="AD52" s="360"/>
      <c r="AE52" s="361"/>
      <c r="AF52" s="361"/>
      <c r="AG52" s="361"/>
      <c r="AH52" s="361">
        <f t="shared" ref="AH52:AI54" si="39">SUM(AH53)</f>
        <v>3500</v>
      </c>
      <c r="AI52" s="361">
        <f t="shared" si="39"/>
        <v>3500</v>
      </c>
      <c r="AJ52" s="361"/>
      <c r="AK52" s="361"/>
      <c r="AL52" s="361"/>
      <c r="AM52" s="361"/>
      <c r="AN52" s="361"/>
      <c r="AO52" s="362"/>
      <c r="AP52" s="362"/>
      <c r="AQ52" s="362"/>
    </row>
    <row r="53" spans="1:43" ht="45">
      <c r="A53" s="363" t="s">
        <v>342</v>
      </c>
      <c r="B53" s="363" t="s">
        <v>343</v>
      </c>
      <c r="C53" s="364"/>
      <c r="D53" s="363"/>
      <c r="E53" s="363"/>
      <c r="F53" s="365"/>
      <c r="G53" s="366">
        <f t="shared" si="4"/>
        <v>0.21414979472212534</v>
      </c>
      <c r="H53" s="366">
        <f>G53</f>
        <v>0.21414979472212534</v>
      </c>
      <c r="I53" s="367"/>
      <c r="J53" s="368"/>
      <c r="K53" s="368"/>
      <c r="L53" s="368"/>
      <c r="M53" s="369"/>
      <c r="N53" s="369"/>
      <c r="O53" s="369"/>
      <c r="P53" s="368"/>
      <c r="Q53" s="368"/>
      <c r="R53" s="368"/>
      <c r="S53" s="369"/>
      <c r="T53" s="369"/>
      <c r="U53" s="369"/>
      <c r="V53" s="368"/>
      <c r="W53" s="368"/>
      <c r="X53" s="368"/>
      <c r="Y53" s="369"/>
      <c r="Z53" s="369"/>
      <c r="AA53" s="369">
        <f t="shared" si="38"/>
        <v>3500</v>
      </c>
      <c r="AB53" s="368"/>
      <c r="AC53" s="368"/>
      <c r="AD53" s="368"/>
      <c r="AE53" s="369"/>
      <c r="AF53" s="369"/>
      <c r="AG53" s="369"/>
      <c r="AH53" s="369">
        <f t="shared" si="39"/>
        <v>3500</v>
      </c>
      <c r="AI53" s="369">
        <f t="shared" si="39"/>
        <v>3500</v>
      </c>
      <c r="AJ53" s="369"/>
      <c r="AK53" s="369"/>
      <c r="AL53" s="369"/>
      <c r="AM53" s="369"/>
      <c r="AN53" s="369"/>
      <c r="AO53" s="370"/>
      <c r="AP53" s="370"/>
      <c r="AQ53" s="370"/>
    </row>
    <row r="54" spans="1:43" ht="105">
      <c r="A54" s="371" t="s">
        <v>1045</v>
      </c>
      <c r="B54" s="371" t="s">
        <v>1046</v>
      </c>
      <c r="C54" s="372"/>
      <c r="D54" s="371" t="s">
        <v>52</v>
      </c>
      <c r="E54" s="371" t="s">
        <v>1047</v>
      </c>
      <c r="F54" s="373"/>
      <c r="G54" s="374">
        <f t="shared" si="4"/>
        <v>0.21414979472212534</v>
      </c>
      <c r="H54" s="374"/>
      <c r="I54" s="375"/>
      <c r="J54" s="376"/>
      <c r="K54" s="376"/>
      <c r="L54" s="376"/>
      <c r="M54" s="377"/>
      <c r="N54" s="377"/>
      <c r="O54" s="377"/>
      <c r="P54" s="376"/>
      <c r="Q54" s="376"/>
      <c r="R54" s="376"/>
      <c r="S54" s="377"/>
      <c r="T54" s="377"/>
      <c r="U54" s="377"/>
      <c r="V54" s="376"/>
      <c r="W54" s="376"/>
      <c r="X54" s="376"/>
      <c r="Y54" s="377"/>
      <c r="Z54" s="377"/>
      <c r="AA54" s="377">
        <f t="shared" si="38"/>
        <v>3500</v>
      </c>
      <c r="AB54" s="376"/>
      <c r="AC54" s="376"/>
      <c r="AD54" s="376"/>
      <c r="AE54" s="377"/>
      <c r="AF54" s="377"/>
      <c r="AG54" s="377"/>
      <c r="AH54" s="377">
        <f t="shared" si="39"/>
        <v>3500</v>
      </c>
      <c r="AI54" s="377">
        <f t="shared" si="39"/>
        <v>3500</v>
      </c>
      <c r="AJ54" s="377"/>
      <c r="AK54" s="377"/>
      <c r="AL54" s="377"/>
      <c r="AM54" s="377"/>
      <c r="AN54" s="377"/>
      <c r="AO54" s="378"/>
      <c r="AP54" s="378"/>
      <c r="AQ54" s="378"/>
    </row>
    <row r="55" spans="1:43" ht="105">
      <c r="A55" s="379" t="s">
        <v>1048</v>
      </c>
      <c r="B55" s="379" t="s">
        <v>1049</v>
      </c>
      <c r="C55" s="23">
        <f>SUM(J55,K55,L55,P55,Q55,R55,V55,W55,X55,AB55,AC55,AD55)</f>
        <v>1</v>
      </c>
      <c r="D55" s="379" t="s">
        <v>52</v>
      </c>
      <c r="E55" s="379" t="s">
        <v>1047</v>
      </c>
      <c r="F55" s="388" t="s">
        <v>52</v>
      </c>
      <c r="G55" s="381">
        <f t="shared" si="4"/>
        <v>0.21414979472212534</v>
      </c>
      <c r="H55" s="381"/>
      <c r="I55" s="382">
        <v>100</v>
      </c>
      <c r="J55" s="383"/>
      <c r="K55" s="383"/>
      <c r="L55" s="383"/>
      <c r="M55" s="384"/>
      <c r="N55" s="384"/>
      <c r="O55" s="384"/>
      <c r="P55" s="383"/>
      <c r="Q55" s="383"/>
      <c r="R55" s="383"/>
      <c r="S55" s="384"/>
      <c r="T55" s="384"/>
      <c r="U55" s="384"/>
      <c r="V55" s="383"/>
      <c r="W55" s="383"/>
      <c r="X55" s="383">
        <v>1</v>
      </c>
      <c r="Y55" s="384"/>
      <c r="Z55" s="384"/>
      <c r="AA55" s="384">
        <v>3500</v>
      </c>
      <c r="AB55" s="383"/>
      <c r="AC55" s="383"/>
      <c r="AD55" s="383"/>
      <c r="AE55" s="384"/>
      <c r="AF55" s="384"/>
      <c r="AG55" s="384"/>
      <c r="AH55" s="384">
        <v>3500</v>
      </c>
      <c r="AI55" s="384">
        <v>3500</v>
      </c>
      <c r="AJ55" s="384"/>
      <c r="AK55" s="384"/>
      <c r="AL55" s="384"/>
      <c r="AM55" s="384"/>
      <c r="AN55" s="384"/>
      <c r="AO55" s="385" t="s">
        <v>928</v>
      </c>
      <c r="AP55" s="385" t="s">
        <v>966</v>
      </c>
      <c r="AQ55" s="385"/>
    </row>
    <row r="56" spans="1:43" ht="15">
      <c r="A56" s="47" t="s">
        <v>349</v>
      </c>
      <c r="B56" s="47" t="s">
        <v>350</v>
      </c>
      <c r="C56" s="349"/>
      <c r="D56" s="47"/>
      <c r="E56" s="47"/>
      <c r="F56" s="350"/>
      <c r="G56" s="398">
        <f t="shared" si="4"/>
        <v>0.43931300745853141</v>
      </c>
      <c r="H56" s="398"/>
      <c r="I56" s="399"/>
      <c r="J56" s="400"/>
      <c r="K56" s="400"/>
      <c r="L56" s="400"/>
      <c r="M56" s="401">
        <f>SUM(M57,M63,)</f>
        <v>2590</v>
      </c>
      <c r="N56" s="401"/>
      <c r="O56" s="401">
        <f>SUM(O57,O63,)</f>
        <v>3590</v>
      </c>
      <c r="P56" s="400"/>
      <c r="Q56" s="400"/>
      <c r="R56" s="400"/>
      <c r="S56" s="401"/>
      <c r="T56" s="401"/>
      <c r="U56" s="401">
        <f>SUM(U57,U63,)</f>
        <v>1000</v>
      </c>
      <c r="V56" s="400"/>
      <c r="W56" s="400"/>
      <c r="X56" s="400"/>
      <c r="Y56" s="401"/>
      <c r="Z56" s="401"/>
      <c r="AA56" s="401">
        <f t="shared" ref="AA56" si="40">SUM(AA57,AA63,)</f>
        <v>0</v>
      </c>
      <c r="AB56" s="400"/>
      <c r="AC56" s="400"/>
      <c r="AD56" s="400"/>
      <c r="AE56" s="401"/>
      <c r="AF56" s="401"/>
      <c r="AG56" s="401">
        <f t="shared" ref="AG56:AI56" si="41">SUM(AG57,AG63,)</f>
        <v>0</v>
      </c>
      <c r="AH56" s="401">
        <f t="shared" si="41"/>
        <v>7180</v>
      </c>
      <c r="AI56" s="401">
        <f t="shared" si="41"/>
        <v>7180</v>
      </c>
      <c r="AJ56" s="401"/>
      <c r="AK56" s="401"/>
      <c r="AL56" s="401"/>
      <c r="AM56" s="401"/>
      <c r="AN56" s="401"/>
      <c r="AO56" s="402"/>
      <c r="AP56" s="402"/>
      <c r="AQ56" s="402"/>
    </row>
    <row r="57" spans="1:43" ht="30">
      <c r="A57" s="355" t="s">
        <v>1050</v>
      </c>
      <c r="B57" s="355" t="s">
        <v>1051</v>
      </c>
      <c r="C57" s="356"/>
      <c r="D57" s="355"/>
      <c r="E57" s="355"/>
      <c r="F57" s="357"/>
      <c r="G57" s="358">
        <f t="shared" si="4"/>
        <v>0.31694169618874551</v>
      </c>
      <c r="H57" s="358"/>
      <c r="I57" s="359"/>
      <c r="J57" s="360"/>
      <c r="K57" s="360"/>
      <c r="L57" s="360"/>
      <c r="M57" s="361">
        <f>SUM(M58)</f>
        <v>2590</v>
      </c>
      <c r="N57" s="361"/>
      <c r="O57" s="361">
        <f>SUM(O58)</f>
        <v>2590</v>
      </c>
      <c r="P57" s="360"/>
      <c r="Q57" s="360"/>
      <c r="R57" s="360"/>
      <c r="S57" s="361"/>
      <c r="T57" s="361"/>
      <c r="U57" s="361"/>
      <c r="V57" s="360"/>
      <c r="W57" s="360"/>
      <c r="X57" s="360"/>
      <c r="Y57" s="361"/>
      <c r="Z57" s="361"/>
      <c r="AA57" s="361"/>
      <c r="AB57" s="360"/>
      <c r="AC57" s="360"/>
      <c r="AD57" s="360"/>
      <c r="AE57" s="361"/>
      <c r="AF57" s="361"/>
      <c r="AG57" s="361"/>
      <c r="AH57" s="361">
        <f t="shared" ref="AH57:AI57" si="42">SUM(AH58)</f>
        <v>5180</v>
      </c>
      <c r="AI57" s="361">
        <f t="shared" si="42"/>
        <v>5180</v>
      </c>
      <c r="AJ57" s="361"/>
      <c r="AK57" s="361"/>
      <c r="AL57" s="361"/>
      <c r="AM57" s="361"/>
      <c r="AN57" s="361"/>
      <c r="AO57" s="362"/>
      <c r="AP57" s="362"/>
      <c r="AQ57" s="362"/>
    </row>
    <row r="58" spans="1:43" ht="30">
      <c r="A58" s="363" t="s">
        <v>1052</v>
      </c>
      <c r="B58" s="363" t="s">
        <v>1053</v>
      </c>
      <c r="C58" s="364"/>
      <c r="D58" s="363"/>
      <c r="E58" s="363"/>
      <c r="F58" s="365"/>
      <c r="G58" s="366">
        <f t="shared" si="4"/>
        <v>0.31694169618874551</v>
      </c>
      <c r="H58" s="366">
        <f>G58</f>
        <v>0.31694169618874551</v>
      </c>
      <c r="I58" s="367"/>
      <c r="J58" s="368"/>
      <c r="K58" s="368"/>
      <c r="L58" s="368"/>
      <c r="M58" s="369">
        <f>SUM(M59,M61)</f>
        <v>2590</v>
      </c>
      <c r="N58" s="369"/>
      <c r="O58" s="369">
        <f>SUM(O59,O61)</f>
        <v>2590</v>
      </c>
      <c r="P58" s="368"/>
      <c r="Q58" s="368"/>
      <c r="R58" s="368"/>
      <c r="S58" s="369"/>
      <c r="T58" s="369"/>
      <c r="U58" s="369"/>
      <c r="V58" s="368"/>
      <c r="W58" s="368"/>
      <c r="X58" s="368"/>
      <c r="Y58" s="369"/>
      <c r="Z58" s="369"/>
      <c r="AA58" s="369"/>
      <c r="AB58" s="368"/>
      <c r="AC58" s="368"/>
      <c r="AD58" s="368"/>
      <c r="AE58" s="369"/>
      <c r="AF58" s="369"/>
      <c r="AG58" s="369"/>
      <c r="AH58" s="369">
        <f t="shared" ref="AH58:AI58" si="43">SUM(AH59,AH61)</f>
        <v>5180</v>
      </c>
      <c r="AI58" s="369">
        <f t="shared" si="43"/>
        <v>5180</v>
      </c>
      <c r="AJ58" s="369"/>
      <c r="AK58" s="369"/>
      <c r="AL58" s="369"/>
      <c r="AM58" s="369"/>
      <c r="AN58" s="369"/>
      <c r="AO58" s="370"/>
      <c r="AP58" s="370"/>
      <c r="AQ58" s="370"/>
    </row>
    <row r="59" spans="1:43" ht="45">
      <c r="A59" s="371" t="s">
        <v>1054</v>
      </c>
      <c r="B59" s="371" t="s">
        <v>1055</v>
      </c>
      <c r="C59" s="372"/>
      <c r="D59" s="371" t="s">
        <v>95</v>
      </c>
      <c r="E59" s="371" t="s">
        <v>1056</v>
      </c>
      <c r="F59" s="373" t="s">
        <v>1057</v>
      </c>
      <c r="G59" s="374">
        <f t="shared" si="4"/>
        <v>0.15847084809437276</v>
      </c>
      <c r="H59" s="374"/>
      <c r="I59" s="375"/>
      <c r="J59" s="376"/>
      <c r="K59" s="376"/>
      <c r="L59" s="376"/>
      <c r="M59" s="377">
        <f>SUM(M60)</f>
        <v>2590</v>
      </c>
      <c r="N59" s="377"/>
      <c r="O59" s="377"/>
      <c r="P59" s="376"/>
      <c r="Q59" s="376"/>
      <c r="R59" s="376"/>
      <c r="S59" s="377"/>
      <c r="T59" s="377"/>
      <c r="U59" s="377"/>
      <c r="V59" s="376"/>
      <c r="W59" s="376"/>
      <c r="X59" s="376"/>
      <c r="Y59" s="377"/>
      <c r="Z59" s="377"/>
      <c r="AA59" s="377"/>
      <c r="AB59" s="376"/>
      <c r="AC59" s="376"/>
      <c r="AD59" s="376"/>
      <c r="AE59" s="377"/>
      <c r="AF59" s="377"/>
      <c r="AG59" s="377"/>
      <c r="AH59" s="377">
        <f t="shared" ref="AH59:AI59" si="44">SUM(AH60)</f>
        <v>2590</v>
      </c>
      <c r="AI59" s="377">
        <f t="shared" si="44"/>
        <v>2590</v>
      </c>
      <c r="AJ59" s="377"/>
      <c r="AK59" s="377"/>
      <c r="AL59" s="377"/>
      <c r="AM59" s="377"/>
      <c r="AN59" s="377"/>
      <c r="AO59" s="378"/>
      <c r="AP59" s="378"/>
      <c r="AQ59" s="378"/>
    </row>
    <row r="60" spans="1:43" ht="30">
      <c r="A60" s="379" t="s">
        <v>1058</v>
      </c>
      <c r="B60" s="22" t="s">
        <v>1059</v>
      </c>
      <c r="C60" s="23">
        <f>SUM(J60,K60,L60,P60,Q60,R60,V60,W60,X60,AB60,AC60,AD60)</f>
        <v>1</v>
      </c>
      <c r="D60" s="22" t="s">
        <v>55</v>
      </c>
      <c r="E60" s="22" t="s">
        <v>1060</v>
      </c>
      <c r="F60" s="380" t="s">
        <v>1061</v>
      </c>
      <c r="G60" s="381">
        <f t="shared" si="4"/>
        <v>0.15847084809437276</v>
      </c>
      <c r="H60" s="381"/>
      <c r="I60" s="382">
        <v>100</v>
      </c>
      <c r="J60" s="383">
        <v>1</v>
      </c>
      <c r="K60" s="383"/>
      <c r="L60" s="383"/>
      <c r="M60" s="384">
        <v>2590</v>
      </c>
      <c r="N60" s="384"/>
      <c r="O60" s="384"/>
      <c r="P60" s="383"/>
      <c r="Q60" s="383"/>
      <c r="R60" s="383"/>
      <c r="S60" s="384"/>
      <c r="T60" s="384"/>
      <c r="U60" s="384"/>
      <c r="V60" s="383"/>
      <c r="W60" s="383"/>
      <c r="X60" s="383"/>
      <c r="Y60" s="384"/>
      <c r="Z60" s="384"/>
      <c r="AA60" s="384"/>
      <c r="AB60" s="383"/>
      <c r="AC60" s="383"/>
      <c r="AD60" s="383"/>
      <c r="AE60" s="384"/>
      <c r="AF60" s="384"/>
      <c r="AG60" s="384"/>
      <c r="AH60" s="384">
        <v>2590</v>
      </c>
      <c r="AI60" s="384">
        <v>2590</v>
      </c>
      <c r="AJ60" s="384"/>
      <c r="AK60" s="384"/>
      <c r="AL60" s="384"/>
      <c r="AM60" s="384"/>
      <c r="AN60" s="384"/>
      <c r="AO60" s="411" t="s">
        <v>928</v>
      </c>
      <c r="AP60" s="385" t="s">
        <v>1062</v>
      </c>
      <c r="AQ60" s="385"/>
    </row>
    <row r="61" spans="1:43" ht="30">
      <c r="A61" s="371" t="s">
        <v>1063</v>
      </c>
      <c r="B61" s="371" t="s">
        <v>1064</v>
      </c>
      <c r="C61" s="372"/>
      <c r="D61" s="371" t="s">
        <v>55</v>
      </c>
      <c r="E61" s="371" t="s">
        <v>1065</v>
      </c>
      <c r="F61" s="373"/>
      <c r="G61" s="374">
        <f t="shared" si="4"/>
        <v>0.15847084809437276</v>
      </c>
      <c r="H61" s="374"/>
      <c r="I61" s="375"/>
      <c r="J61" s="376"/>
      <c r="K61" s="376"/>
      <c r="L61" s="376"/>
      <c r="M61" s="377"/>
      <c r="N61" s="377"/>
      <c r="O61" s="377">
        <f>SUM(O62)</f>
        <v>2590</v>
      </c>
      <c r="P61" s="376"/>
      <c r="Q61" s="376"/>
      <c r="R61" s="376"/>
      <c r="S61" s="377"/>
      <c r="T61" s="377"/>
      <c r="U61" s="377"/>
      <c r="V61" s="376"/>
      <c r="W61" s="376"/>
      <c r="X61" s="376"/>
      <c r="Y61" s="377"/>
      <c r="Z61" s="377"/>
      <c r="AA61" s="377"/>
      <c r="AB61" s="376"/>
      <c r="AC61" s="376"/>
      <c r="AD61" s="376"/>
      <c r="AE61" s="377"/>
      <c r="AF61" s="377"/>
      <c r="AG61" s="377"/>
      <c r="AH61" s="377">
        <f t="shared" ref="AH61:AI61" si="45">SUM(AH62)</f>
        <v>2590</v>
      </c>
      <c r="AI61" s="377">
        <f t="shared" si="45"/>
        <v>2590</v>
      </c>
      <c r="AJ61" s="377"/>
      <c r="AK61" s="377"/>
      <c r="AL61" s="377"/>
      <c r="AM61" s="377"/>
      <c r="AN61" s="377"/>
      <c r="AO61" s="378"/>
      <c r="AP61" s="378"/>
      <c r="AQ61" s="378"/>
    </row>
    <row r="62" spans="1:43" ht="30">
      <c r="A62" s="379" t="s">
        <v>1066</v>
      </c>
      <c r="B62" s="22" t="s">
        <v>1067</v>
      </c>
      <c r="C62" s="23">
        <f>SUM(J62,K62,L62,P62,Q62,R62,V62,W62,X62,AB62,AC62,AD62)</f>
        <v>1</v>
      </c>
      <c r="D62" s="22" t="s">
        <v>55</v>
      </c>
      <c r="E62" s="22" t="s">
        <v>1068</v>
      </c>
      <c r="F62" s="380" t="s">
        <v>1069</v>
      </c>
      <c r="G62" s="381">
        <f t="shared" si="4"/>
        <v>0.15847084809437276</v>
      </c>
      <c r="H62" s="381"/>
      <c r="I62" s="382">
        <v>100</v>
      </c>
      <c r="J62" s="383"/>
      <c r="K62" s="383"/>
      <c r="L62" s="383">
        <v>1</v>
      </c>
      <c r="M62" s="384"/>
      <c r="N62" s="384"/>
      <c r="O62" s="384">
        <v>2590</v>
      </c>
      <c r="P62" s="383"/>
      <c r="Q62" s="383"/>
      <c r="R62" s="383"/>
      <c r="S62" s="384"/>
      <c r="T62" s="384"/>
      <c r="U62" s="384"/>
      <c r="V62" s="383"/>
      <c r="W62" s="383"/>
      <c r="X62" s="383"/>
      <c r="Y62" s="384"/>
      <c r="Z62" s="384"/>
      <c r="AA62" s="384"/>
      <c r="AB62" s="383"/>
      <c r="AC62" s="383"/>
      <c r="AD62" s="383"/>
      <c r="AE62" s="384"/>
      <c r="AF62" s="384"/>
      <c r="AG62" s="384"/>
      <c r="AH62" s="384">
        <v>2590</v>
      </c>
      <c r="AI62" s="384">
        <v>2590</v>
      </c>
      <c r="AJ62" s="384"/>
      <c r="AK62" s="384"/>
      <c r="AL62" s="384"/>
      <c r="AM62" s="384"/>
      <c r="AN62" s="384"/>
      <c r="AO62" s="411" t="s">
        <v>928</v>
      </c>
      <c r="AP62" s="385" t="s">
        <v>1062</v>
      </c>
      <c r="AQ62" s="385"/>
    </row>
    <row r="63" spans="1:43" ht="15">
      <c r="A63" s="355" t="s">
        <v>1070</v>
      </c>
      <c r="B63" s="355" t="s">
        <v>1071</v>
      </c>
      <c r="C63" s="356"/>
      <c r="D63" s="355"/>
      <c r="E63" s="355"/>
      <c r="F63" s="357"/>
      <c r="G63" s="358">
        <f t="shared" si="4"/>
        <v>0.1223713112697859</v>
      </c>
      <c r="H63" s="358"/>
      <c r="I63" s="359"/>
      <c r="J63" s="360"/>
      <c r="K63" s="360"/>
      <c r="L63" s="360"/>
      <c r="M63" s="361"/>
      <c r="N63" s="361"/>
      <c r="O63" s="361">
        <f>SUM(O64)</f>
        <v>1000</v>
      </c>
      <c r="P63" s="360"/>
      <c r="Q63" s="360"/>
      <c r="R63" s="360"/>
      <c r="S63" s="361"/>
      <c r="T63" s="361"/>
      <c r="U63" s="361">
        <f>SUM(U64)</f>
        <v>1000</v>
      </c>
      <c r="V63" s="360"/>
      <c r="W63" s="360"/>
      <c r="X63" s="360"/>
      <c r="Y63" s="361"/>
      <c r="Z63" s="361"/>
      <c r="AA63" s="361">
        <f>SUM(AA64)</f>
        <v>0</v>
      </c>
      <c r="AB63" s="360"/>
      <c r="AC63" s="360"/>
      <c r="AD63" s="360"/>
      <c r="AE63" s="361"/>
      <c r="AF63" s="361"/>
      <c r="AG63" s="361">
        <f t="shared" ref="AG63:AI63" si="46">SUM(AG64)</f>
        <v>0</v>
      </c>
      <c r="AH63" s="361">
        <f t="shared" si="46"/>
        <v>2000</v>
      </c>
      <c r="AI63" s="361">
        <f t="shared" si="46"/>
        <v>2000</v>
      </c>
      <c r="AJ63" s="361"/>
      <c r="AK63" s="361"/>
      <c r="AL63" s="361"/>
      <c r="AM63" s="361"/>
      <c r="AN63" s="361"/>
      <c r="AO63" s="362"/>
      <c r="AP63" s="362"/>
      <c r="AQ63" s="362"/>
    </row>
    <row r="64" spans="1:43" ht="15">
      <c r="A64" s="363" t="s">
        <v>1072</v>
      </c>
      <c r="B64" s="363" t="s">
        <v>1073</v>
      </c>
      <c r="C64" s="364"/>
      <c r="D64" s="363"/>
      <c r="E64" s="363"/>
      <c r="F64" s="365"/>
      <c r="G64" s="366">
        <f t="shared" si="4"/>
        <v>0.1223713112697859</v>
      </c>
      <c r="H64" s="366">
        <f>G64</f>
        <v>0.1223713112697859</v>
      </c>
      <c r="I64" s="367"/>
      <c r="J64" s="368"/>
      <c r="K64" s="368"/>
      <c r="L64" s="368"/>
      <c r="M64" s="369"/>
      <c r="N64" s="369"/>
      <c r="O64" s="369">
        <f>SUM(O65,O67)</f>
        <v>1000</v>
      </c>
      <c r="P64" s="368"/>
      <c r="Q64" s="368"/>
      <c r="R64" s="368"/>
      <c r="S64" s="369"/>
      <c r="T64" s="369"/>
      <c r="U64" s="369">
        <f>SUM(U65,U67)</f>
        <v>1000</v>
      </c>
      <c r="V64" s="368"/>
      <c r="W64" s="368"/>
      <c r="X64" s="368"/>
      <c r="Y64" s="369"/>
      <c r="Z64" s="369"/>
      <c r="AA64" s="369">
        <f>SUM(AA65,AA67)</f>
        <v>0</v>
      </c>
      <c r="AB64" s="368"/>
      <c r="AC64" s="368"/>
      <c r="AD64" s="368"/>
      <c r="AE64" s="369"/>
      <c r="AF64" s="369"/>
      <c r="AG64" s="369">
        <f t="shared" ref="AG64:AI64" si="47">SUM(AG65,AG67)</f>
        <v>0</v>
      </c>
      <c r="AH64" s="369">
        <f t="shared" si="47"/>
        <v>2000</v>
      </c>
      <c r="AI64" s="369">
        <f t="shared" si="47"/>
        <v>2000</v>
      </c>
      <c r="AJ64" s="369"/>
      <c r="AK64" s="369"/>
      <c r="AL64" s="369"/>
      <c r="AM64" s="369"/>
      <c r="AN64" s="369"/>
      <c r="AO64" s="370"/>
      <c r="AP64" s="370"/>
      <c r="AQ64" s="370"/>
    </row>
    <row r="65" spans="1:43" ht="75">
      <c r="A65" s="371" t="s">
        <v>1074</v>
      </c>
      <c r="B65" s="371" t="s">
        <v>1075</v>
      </c>
      <c r="C65" s="372"/>
      <c r="D65" s="371" t="s">
        <v>52</v>
      </c>
      <c r="E65" s="371" t="s">
        <v>1076</v>
      </c>
      <c r="F65" s="373"/>
      <c r="G65" s="374">
        <f t="shared" si="4"/>
        <v>6.1185655634892949E-2</v>
      </c>
      <c r="H65" s="374"/>
      <c r="I65" s="375"/>
      <c r="J65" s="376"/>
      <c r="K65" s="376"/>
      <c r="L65" s="376"/>
      <c r="M65" s="377"/>
      <c r="N65" s="377"/>
      <c r="O65" s="377">
        <f>SUM(O66)</f>
        <v>500</v>
      </c>
      <c r="P65" s="376"/>
      <c r="Q65" s="376"/>
      <c r="R65" s="376"/>
      <c r="S65" s="377"/>
      <c r="T65" s="377"/>
      <c r="U65" s="377">
        <f>SUM(U66)</f>
        <v>500</v>
      </c>
      <c r="V65" s="376"/>
      <c r="W65" s="376"/>
      <c r="X65" s="376"/>
      <c r="Y65" s="377"/>
      <c r="Z65" s="377"/>
      <c r="AA65" s="377">
        <f>SUM(AA66)</f>
        <v>0</v>
      </c>
      <c r="AB65" s="376"/>
      <c r="AC65" s="376"/>
      <c r="AD65" s="376"/>
      <c r="AE65" s="377"/>
      <c r="AF65" s="377"/>
      <c r="AG65" s="377">
        <f t="shared" ref="AG65:AI65" si="48">SUM(AG66)</f>
        <v>0</v>
      </c>
      <c r="AH65" s="377">
        <f t="shared" si="48"/>
        <v>1000</v>
      </c>
      <c r="AI65" s="377">
        <f t="shared" si="48"/>
        <v>1000</v>
      </c>
      <c r="AJ65" s="377"/>
      <c r="AK65" s="377"/>
      <c r="AL65" s="377"/>
      <c r="AM65" s="377"/>
      <c r="AN65" s="377"/>
      <c r="AO65" s="378"/>
      <c r="AP65" s="378"/>
      <c r="AQ65" s="378"/>
    </row>
    <row r="66" spans="1:43" ht="45">
      <c r="A66" s="379" t="s">
        <v>1077</v>
      </c>
      <c r="B66" s="22" t="s">
        <v>1078</v>
      </c>
      <c r="C66" s="386">
        <f>SUM(J66,K66,L66,P66,Q66,R66,V66,W66,X66,AB66,AC66,AD66)</f>
        <v>2</v>
      </c>
      <c r="D66" s="22" t="s">
        <v>52</v>
      </c>
      <c r="E66" s="22" t="s">
        <v>1079</v>
      </c>
      <c r="F66" s="380" t="s">
        <v>1080</v>
      </c>
      <c r="G66" s="381">
        <f t="shared" si="4"/>
        <v>6.1185655634892949E-2</v>
      </c>
      <c r="H66" s="381"/>
      <c r="I66" s="389">
        <v>100</v>
      </c>
      <c r="J66" s="383"/>
      <c r="K66" s="383"/>
      <c r="L66" s="383">
        <v>1</v>
      </c>
      <c r="M66" s="384"/>
      <c r="N66" s="384"/>
      <c r="O66" s="384">
        <v>500</v>
      </c>
      <c r="P66" s="383"/>
      <c r="Q66" s="383"/>
      <c r="R66" s="383">
        <v>1</v>
      </c>
      <c r="S66" s="384"/>
      <c r="T66" s="384"/>
      <c r="U66" s="384">
        <v>500</v>
      </c>
      <c r="V66" s="383"/>
      <c r="W66" s="383"/>
      <c r="X66" s="383"/>
      <c r="Y66" s="384"/>
      <c r="Z66" s="384"/>
      <c r="AA66" s="384"/>
      <c r="AB66" s="383"/>
      <c r="AC66" s="383"/>
      <c r="AD66" s="383"/>
      <c r="AE66" s="384"/>
      <c r="AF66" s="384"/>
      <c r="AG66" s="384"/>
      <c r="AH66" s="384">
        <v>1000</v>
      </c>
      <c r="AI66" s="384">
        <v>1000</v>
      </c>
      <c r="AJ66" s="393"/>
      <c r="AK66" s="393"/>
      <c r="AL66" s="393"/>
      <c r="AM66" s="393"/>
      <c r="AN66" s="384"/>
      <c r="AO66" s="411" t="s">
        <v>928</v>
      </c>
      <c r="AP66" s="385" t="s">
        <v>1062</v>
      </c>
      <c r="AQ66" s="385"/>
    </row>
    <row r="67" spans="1:43" ht="45">
      <c r="A67" s="371" t="s">
        <v>1081</v>
      </c>
      <c r="B67" s="371" t="s">
        <v>1082</v>
      </c>
      <c r="C67" s="19"/>
      <c r="D67" s="371" t="s">
        <v>52</v>
      </c>
      <c r="E67" s="371" t="s">
        <v>1083</v>
      </c>
      <c r="F67" s="373"/>
      <c r="G67" s="374">
        <f t="shared" si="4"/>
        <v>6.1185655634892949E-2</v>
      </c>
      <c r="H67" s="374"/>
      <c r="I67" s="375"/>
      <c r="J67" s="376"/>
      <c r="K67" s="376"/>
      <c r="L67" s="376"/>
      <c r="M67" s="377"/>
      <c r="N67" s="377"/>
      <c r="O67" s="377">
        <f>SUM(O68)</f>
        <v>500</v>
      </c>
      <c r="P67" s="376"/>
      <c r="Q67" s="376"/>
      <c r="R67" s="376"/>
      <c r="S67" s="377"/>
      <c r="T67" s="377"/>
      <c r="U67" s="377">
        <f>SUM(U68)</f>
        <v>500</v>
      </c>
      <c r="V67" s="376"/>
      <c r="W67" s="376"/>
      <c r="X67" s="376"/>
      <c r="Y67" s="377"/>
      <c r="Z67" s="377"/>
      <c r="AA67" s="377">
        <f>SUM(AA68)</f>
        <v>0</v>
      </c>
      <c r="AB67" s="376"/>
      <c r="AC67" s="376"/>
      <c r="AD67" s="376"/>
      <c r="AE67" s="377"/>
      <c r="AF67" s="377"/>
      <c r="AG67" s="377">
        <f t="shared" ref="AG67:AI67" si="49">SUM(AG68)</f>
        <v>0</v>
      </c>
      <c r="AH67" s="377">
        <f t="shared" si="49"/>
        <v>1000</v>
      </c>
      <c r="AI67" s="377">
        <f t="shared" si="49"/>
        <v>1000</v>
      </c>
      <c r="AJ67" s="377"/>
      <c r="AK67" s="377"/>
      <c r="AL67" s="377"/>
      <c r="AM67" s="377"/>
      <c r="AN67" s="377"/>
      <c r="AO67" s="378"/>
      <c r="AP67" s="378"/>
      <c r="AQ67" s="378"/>
    </row>
    <row r="68" spans="1:43" ht="30">
      <c r="A68" s="379" t="s">
        <v>1084</v>
      </c>
      <c r="B68" s="22" t="s">
        <v>1085</v>
      </c>
      <c r="C68" s="386">
        <f>SUM(J68,K68,L68,P68,Q68,R68,V68,W68,X68,AB68,AC68,AD68)</f>
        <v>2</v>
      </c>
      <c r="D68" s="22" t="s">
        <v>52</v>
      </c>
      <c r="E68" s="22" t="s">
        <v>1086</v>
      </c>
      <c r="F68" s="380" t="s">
        <v>1080</v>
      </c>
      <c r="G68" s="381">
        <f t="shared" si="4"/>
        <v>6.1185655634892949E-2</v>
      </c>
      <c r="H68" s="381"/>
      <c r="I68" s="382">
        <v>100</v>
      </c>
      <c r="J68" s="383"/>
      <c r="K68" s="383"/>
      <c r="L68" s="383">
        <v>1</v>
      </c>
      <c r="M68" s="384"/>
      <c r="N68" s="384"/>
      <c r="O68" s="384">
        <v>500</v>
      </c>
      <c r="P68" s="383"/>
      <c r="Q68" s="383"/>
      <c r="R68" s="383">
        <v>1</v>
      </c>
      <c r="S68" s="384"/>
      <c r="T68" s="384"/>
      <c r="U68" s="384">
        <v>500</v>
      </c>
      <c r="V68" s="383"/>
      <c r="W68" s="383"/>
      <c r="X68" s="383"/>
      <c r="Y68" s="384"/>
      <c r="Z68" s="384"/>
      <c r="AA68" s="384"/>
      <c r="AB68" s="383"/>
      <c r="AC68" s="383"/>
      <c r="AD68" s="383"/>
      <c r="AE68" s="384"/>
      <c r="AF68" s="384"/>
      <c r="AG68" s="384"/>
      <c r="AH68" s="384">
        <v>1000</v>
      </c>
      <c r="AI68" s="384">
        <v>1000</v>
      </c>
      <c r="AJ68" s="393"/>
      <c r="AK68" s="393"/>
      <c r="AL68" s="393"/>
      <c r="AM68" s="393"/>
      <c r="AN68" s="384"/>
      <c r="AO68" s="411" t="s">
        <v>928</v>
      </c>
      <c r="AP68" s="385" t="s">
        <v>1062</v>
      </c>
      <c r="AQ68" s="385"/>
    </row>
    <row r="69" spans="1:43" ht="15">
      <c r="A69" s="412" t="s">
        <v>379</v>
      </c>
      <c r="B69" s="413" t="s">
        <v>808</v>
      </c>
      <c r="C69" s="414"/>
      <c r="D69" s="415"/>
      <c r="E69" s="413"/>
      <c r="F69" s="413"/>
      <c r="G69" s="416">
        <f t="shared" si="4"/>
        <v>84.061136707110379</v>
      </c>
      <c r="H69" s="416"/>
      <c r="I69" s="416"/>
      <c r="J69" s="417"/>
      <c r="K69" s="417"/>
      <c r="L69" s="417"/>
      <c r="M69" s="418">
        <f>SUM(M70)</f>
        <v>54865</v>
      </c>
      <c r="N69" s="418">
        <f t="shared" ref="N69:O70" si="50">SUM(N70)</f>
        <v>65950</v>
      </c>
      <c r="O69" s="418">
        <f t="shared" si="50"/>
        <v>119205</v>
      </c>
      <c r="P69" s="417"/>
      <c r="Q69" s="417"/>
      <c r="R69" s="417"/>
      <c r="S69" s="418">
        <f t="shared" ref="S69:U70" si="51">SUM(S70)</f>
        <v>131945</v>
      </c>
      <c r="T69" s="418">
        <f t="shared" si="51"/>
        <v>79460</v>
      </c>
      <c r="U69" s="418">
        <f t="shared" si="51"/>
        <v>207935</v>
      </c>
      <c r="V69" s="417"/>
      <c r="W69" s="417"/>
      <c r="X69" s="417"/>
      <c r="Y69" s="418">
        <f t="shared" ref="Y69:AA70" si="52">SUM(Y70)</f>
        <v>116035</v>
      </c>
      <c r="Z69" s="418">
        <f t="shared" si="52"/>
        <v>103245</v>
      </c>
      <c r="AA69" s="418">
        <f t="shared" si="52"/>
        <v>174620</v>
      </c>
      <c r="AB69" s="417"/>
      <c r="AC69" s="417"/>
      <c r="AD69" s="417"/>
      <c r="AE69" s="418">
        <f t="shared" ref="AE69:AI70" si="53">SUM(AE70)</f>
        <v>103475</v>
      </c>
      <c r="AF69" s="418">
        <f t="shared" si="53"/>
        <v>108040</v>
      </c>
      <c r="AG69" s="418">
        <f t="shared" si="53"/>
        <v>109095</v>
      </c>
      <c r="AH69" s="418">
        <f t="shared" si="53"/>
        <v>1373870</v>
      </c>
      <c r="AI69" s="418">
        <f t="shared" si="53"/>
        <v>957520</v>
      </c>
      <c r="AJ69" s="418"/>
      <c r="AK69" s="418"/>
      <c r="AL69" s="418">
        <f>SUM(AL70)</f>
        <v>416350</v>
      </c>
      <c r="AM69" s="418"/>
      <c r="AN69" s="418"/>
      <c r="AO69" s="419"/>
      <c r="AP69" s="419"/>
      <c r="AQ69" s="419"/>
    </row>
    <row r="70" spans="1:43" ht="15">
      <c r="A70" s="420" t="s">
        <v>1087</v>
      </c>
      <c r="B70" s="421" t="s">
        <v>1088</v>
      </c>
      <c r="C70" s="422"/>
      <c r="D70" s="423"/>
      <c r="E70" s="421"/>
      <c r="F70" s="421"/>
      <c r="G70" s="424">
        <f t="shared" si="4"/>
        <v>84.061136707110379</v>
      </c>
      <c r="H70" s="424"/>
      <c r="I70" s="424"/>
      <c r="J70" s="425"/>
      <c r="K70" s="425"/>
      <c r="L70" s="425"/>
      <c r="M70" s="426">
        <f>SUM(M71)</f>
        <v>54865</v>
      </c>
      <c r="N70" s="426">
        <f t="shared" si="50"/>
        <v>65950</v>
      </c>
      <c r="O70" s="426">
        <f t="shared" si="50"/>
        <v>119205</v>
      </c>
      <c r="P70" s="425"/>
      <c r="Q70" s="425"/>
      <c r="R70" s="425"/>
      <c r="S70" s="426">
        <f t="shared" si="51"/>
        <v>131945</v>
      </c>
      <c r="T70" s="426">
        <f t="shared" si="51"/>
        <v>79460</v>
      </c>
      <c r="U70" s="426">
        <f t="shared" si="51"/>
        <v>207935</v>
      </c>
      <c r="V70" s="425"/>
      <c r="W70" s="425"/>
      <c r="X70" s="425"/>
      <c r="Y70" s="426">
        <f t="shared" si="52"/>
        <v>116035</v>
      </c>
      <c r="Z70" s="426">
        <f t="shared" si="52"/>
        <v>103245</v>
      </c>
      <c r="AA70" s="426">
        <f t="shared" si="52"/>
        <v>174620</v>
      </c>
      <c r="AB70" s="425"/>
      <c r="AC70" s="425"/>
      <c r="AD70" s="425"/>
      <c r="AE70" s="426">
        <f t="shared" si="53"/>
        <v>103475</v>
      </c>
      <c r="AF70" s="426">
        <f t="shared" si="53"/>
        <v>108040</v>
      </c>
      <c r="AG70" s="426">
        <f t="shared" si="53"/>
        <v>109095</v>
      </c>
      <c r="AH70" s="426">
        <f t="shared" si="53"/>
        <v>1373870</v>
      </c>
      <c r="AI70" s="426">
        <f t="shared" si="53"/>
        <v>957520</v>
      </c>
      <c r="AJ70" s="426"/>
      <c r="AK70" s="426"/>
      <c r="AL70" s="426">
        <f>SUM(AL71)</f>
        <v>416350</v>
      </c>
      <c r="AM70" s="426"/>
      <c r="AN70" s="426"/>
      <c r="AO70" s="427"/>
      <c r="AP70" s="427"/>
      <c r="AQ70" s="427"/>
    </row>
    <row r="71" spans="1:43" ht="15">
      <c r="A71" s="363" t="s">
        <v>1089</v>
      </c>
      <c r="B71" s="363" t="s">
        <v>1090</v>
      </c>
      <c r="C71" s="364"/>
      <c r="D71" s="363"/>
      <c r="E71" s="363"/>
      <c r="F71" s="365"/>
      <c r="G71" s="366">
        <f t="shared" si="4"/>
        <v>84.061136707110379</v>
      </c>
      <c r="H71" s="366">
        <f>G71</f>
        <v>84.061136707110379</v>
      </c>
      <c r="I71" s="367"/>
      <c r="J71" s="368"/>
      <c r="K71" s="368"/>
      <c r="L71" s="368"/>
      <c r="M71" s="369">
        <f>SUM(M72,M77,M82,M86,M90,M95,M103,M107,M112,M115,M119,M125,M132,M140,M147)</f>
        <v>54865</v>
      </c>
      <c r="N71" s="369">
        <f t="shared" ref="N71:O71" si="54">SUM(N72,N77,N82,N86,N90,N95,N103,N107,N112,N115,N119,N125,N132,N140,N147)</f>
        <v>65950</v>
      </c>
      <c r="O71" s="369">
        <f t="shared" si="54"/>
        <v>119205</v>
      </c>
      <c r="P71" s="368"/>
      <c r="Q71" s="368"/>
      <c r="R71" s="368"/>
      <c r="S71" s="369">
        <f t="shared" ref="S71:U71" si="55">SUM(S72,S77,S82,S86,S90,S95,S103,S107,S112,S115,S119,S125,S132,S140,S147)</f>
        <v>131945</v>
      </c>
      <c r="T71" s="369">
        <f t="shared" si="55"/>
        <v>79460</v>
      </c>
      <c r="U71" s="369">
        <f t="shared" si="55"/>
        <v>207935</v>
      </c>
      <c r="V71" s="368"/>
      <c r="W71" s="368"/>
      <c r="X71" s="368"/>
      <c r="Y71" s="369">
        <f t="shared" ref="Y71:AA71" si="56">SUM(Y72,Y77,Y82,Y86,Y90,Y95,Y103,Y107,Y112,Y115,Y119,Y125,Y132,Y140,Y147)</f>
        <v>116035</v>
      </c>
      <c r="Z71" s="369">
        <f t="shared" si="56"/>
        <v>103245</v>
      </c>
      <c r="AA71" s="369">
        <f t="shared" si="56"/>
        <v>174620</v>
      </c>
      <c r="AB71" s="368"/>
      <c r="AC71" s="368"/>
      <c r="AD71" s="368"/>
      <c r="AE71" s="369">
        <f t="shared" ref="AE71:AI71" si="57">SUM(AE72,AE77,AE82,AE86,AE90,AE95,AE103,AE107,AE112,AE115,AE119,AE125,AE132,AE140,AE147)</f>
        <v>103475</v>
      </c>
      <c r="AF71" s="369">
        <f t="shared" si="57"/>
        <v>108040</v>
      </c>
      <c r="AG71" s="369">
        <f t="shared" si="57"/>
        <v>109095</v>
      </c>
      <c r="AH71" s="369">
        <f t="shared" si="57"/>
        <v>1373870</v>
      </c>
      <c r="AI71" s="369">
        <f t="shared" si="57"/>
        <v>957520</v>
      </c>
      <c r="AJ71" s="369"/>
      <c r="AK71" s="369"/>
      <c r="AL71" s="369">
        <f>SUM(AL72,AL77,AL82,AL86,AL90,AL95,AL103,AL107,AL112,AL115,AL119,AL125,AL132,AL140,AL147)</f>
        <v>416350</v>
      </c>
      <c r="AM71" s="369"/>
      <c r="AN71" s="369"/>
      <c r="AO71" s="370"/>
      <c r="AP71" s="370"/>
      <c r="AQ71" s="370"/>
    </row>
    <row r="72" spans="1:43" ht="15">
      <c r="A72" s="428" t="s">
        <v>1091</v>
      </c>
      <c r="B72" s="429" t="s">
        <v>1092</v>
      </c>
      <c r="C72" s="430"/>
      <c r="D72" s="431"/>
      <c r="E72" s="429"/>
      <c r="F72" s="432"/>
      <c r="G72" s="433">
        <f t="shared" si="4"/>
        <v>7.0302318324492008</v>
      </c>
      <c r="H72" s="433"/>
      <c r="I72" s="433"/>
      <c r="J72" s="434"/>
      <c r="K72" s="434"/>
      <c r="L72" s="434"/>
      <c r="M72" s="435">
        <f>SUM(M73,M74,M75,M76)</f>
        <v>7185</v>
      </c>
      <c r="N72" s="435">
        <f t="shared" ref="N72:O72" si="58">SUM(N73,N74,N75,N76)</f>
        <v>7185</v>
      </c>
      <c r="O72" s="435">
        <f t="shared" si="58"/>
        <v>7185</v>
      </c>
      <c r="P72" s="434"/>
      <c r="Q72" s="434"/>
      <c r="R72" s="434"/>
      <c r="S72" s="435">
        <f t="shared" ref="S72:U72" si="59">SUM(S73,S74,S75,S76)</f>
        <v>7185</v>
      </c>
      <c r="T72" s="435">
        <f t="shared" si="59"/>
        <v>7185</v>
      </c>
      <c r="U72" s="435">
        <f t="shared" si="59"/>
        <v>35910</v>
      </c>
      <c r="V72" s="434"/>
      <c r="W72" s="434"/>
      <c r="X72" s="434"/>
      <c r="Y72" s="435">
        <f t="shared" ref="Y72:AA72" si="60">SUM(Y73,Y74,Y75,Y76)</f>
        <v>7185</v>
      </c>
      <c r="Z72" s="435">
        <f t="shared" si="60"/>
        <v>7185</v>
      </c>
      <c r="AA72" s="435">
        <f t="shared" si="60"/>
        <v>7185</v>
      </c>
      <c r="AB72" s="434"/>
      <c r="AC72" s="434"/>
      <c r="AD72" s="434"/>
      <c r="AE72" s="435">
        <f t="shared" ref="AE72:AI72" si="61">SUM(AE73,AE74,AE75,AE76)</f>
        <v>7185</v>
      </c>
      <c r="AF72" s="435">
        <f t="shared" si="61"/>
        <v>7185</v>
      </c>
      <c r="AG72" s="435">
        <f t="shared" si="61"/>
        <v>7140</v>
      </c>
      <c r="AH72" s="435">
        <f t="shared" si="61"/>
        <v>114900</v>
      </c>
      <c r="AI72" s="435">
        <f t="shared" si="61"/>
        <v>102760</v>
      </c>
      <c r="AJ72" s="435"/>
      <c r="AK72" s="435"/>
      <c r="AL72" s="435">
        <f>SUM(AL73,AL74,AL75,AL76)</f>
        <v>12140</v>
      </c>
      <c r="AM72" s="435"/>
      <c r="AN72" s="435"/>
      <c r="AO72" s="436"/>
      <c r="AP72" s="436"/>
      <c r="AQ72" s="436"/>
    </row>
    <row r="73" spans="1:43" ht="45">
      <c r="A73" s="437" t="s">
        <v>1093</v>
      </c>
      <c r="B73" s="438" t="s">
        <v>1094</v>
      </c>
      <c r="C73" s="23">
        <f t="shared" ref="C73:C76" si="62">SUM(J73,K73,L73,P73,Q73,R73,V73,W73,X73,AB73,AC73,AD73)</f>
        <v>12</v>
      </c>
      <c r="D73" s="439" t="s">
        <v>52</v>
      </c>
      <c r="E73" s="438" t="s">
        <v>1095</v>
      </c>
      <c r="F73" s="440" t="s">
        <v>1096</v>
      </c>
      <c r="G73" s="441">
        <f t="shared" si="4"/>
        <v>1.7575579581123002</v>
      </c>
      <c r="H73" s="441"/>
      <c r="I73" s="441">
        <v>25</v>
      </c>
      <c r="J73" s="442">
        <v>1</v>
      </c>
      <c r="K73" s="442">
        <v>1</v>
      </c>
      <c r="L73" s="442">
        <v>1</v>
      </c>
      <c r="M73" s="384">
        <v>2395</v>
      </c>
      <c r="N73" s="384">
        <v>2395</v>
      </c>
      <c r="O73" s="384">
        <v>2395</v>
      </c>
      <c r="P73" s="442">
        <v>1</v>
      </c>
      <c r="Q73" s="442">
        <v>1</v>
      </c>
      <c r="R73" s="442">
        <v>1</v>
      </c>
      <c r="S73" s="384">
        <v>2395</v>
      </c>
      <c r="T73" s="384">
        <v>2395</v>
      </c>
      <c r="U73" s="384">
        <v>2395</v>
      </c>
      <c r="V73" s="442">
        <v>1</v>
      </c>
      <c r="W73" s="442">
        <v>1</v>
      </c>
      <c r="X73" s="442">
        <v>1</v>
      </c>
      <c r="Y73" s="384">
        <v>2395</v>
      </c>
      <c r="Z73" s="384">
        <v>2395</v>
      </c>
      <c r="AA73" s="384">
        <v>2395</v>
      </c>
      <c r="AB73" s="442">
        <v>1</v>
      </c>
      <c r="AC73" s="442">
        <v>1</v>
      </c>
      <c r="AD73" s="442">
        <v>1</v>
      </c>
      <c r="AE73" s="384">
        <v>2395</v>
      </c>
      <c r="AF73" s="384">
        <v>2395</v>
      </c>
      <c r="AG73" s="384">
        <v>2380</v>
      </c>
      <c r="AH73" s="443">
        <v>28725</v>
      </c>
      <c r="AI73" s="384">
        <v>25690</v>
      </c>
      <c r="AJ73" s="444"/>
      <c r="AK73" s="444"/>
      <c r="AL73" s="384">
        <v>3035</v>
      </c>
      <c r="AM73" s="444"/>
      <c r="AN73" s="444"/>
      <c r="AO73" s="445" t="s">
        <v>928</v>
      </c>
      <c r="AP73" s="438" t="s">
        <v>1044</v>
      </c>
      <c r="AQ73" s="438"/>
    </row>
    <row r="74" spans="1:43" ht="30">
      <c r="A74" s="437" t="s">
        <v>1097</v>
      </c>
      <c r="B74" s="446" t="s">
        <v>1098</v>
      </c>
      <c r="C74" s="23">
        <f t="shared" si="62"/>
        <v>12</v>
      </c>
      <c r="D74" s="447" t="s">
        <v>52</v>
      </c>
      <c r="E74" s="446" t="s">
        <v>1099</v>
      </c>
      <c r="F74" s="440" t="s">
        <v>57</v>
      </c>
      <c r="G74" s="448">
        <f t="shared" si="4"/>
        <v>1.7575579581123002</v>
      </c>
      <c r="H74" s="448"/>
      <c r="I74" s="382">
        <v>25</v>
      </c>
      <c r="J74" s="442">
        <v>1</v>
      </c>
      <c r="K74" s="442">
        <v>1</v>
      </c>
      <c r="L74" s="442">
        <v>1</v>
      </c>
      <c r="M74" s="384">
        <v>2395</v>
      </c>
      <c r="N74" s="384">
        <v>2395</v>
      </c>
      <c r="O74" s="384">
        <v>2395</v>
      </c>
      <c r="P74" s="442">
        <v>1</v>
      </c>
      <c r="Q74" s="442">
        <v>1</v>
      </c>
      <c r="R74" s="442">
        <v>1</v>
      </c>
      <c r="S74" s="384">
        <v>2395</v>
      </c>
      <c r="T74" s="384">
        <v>2395</v>
      </c>
      <c r="U74" s="384">
        <v>2395</v>
      </c>
      <c r="V74" s="442">
        <v>1</v>
      </c>
      <c r="W74" s="442">
        <v>1</v>
      </c>
      <c r="X74" s="442">
        <v>1</v>
      </c>
      <c r="Y74" s="384">
        <v>2395</v>
      </c>
      <c r="Z74" s="384">
        <v>2395</v>
      </c>
      <c r="AA74" s="384">
        <v>2395</v>
      </c>
      <c r="AB74" s="442">
        <v>1</v>
      </c>
      <c r="AC74" s="442">
        <v>1</v>
      </c>
      <c r="AD74" s="442">
        <v>1</v>
      </c>
      <c r="AE74" s="384">
        <v>2395</v>
      </c>
      <c r="AF74" s="384">
        <v>2395</v>
      </c>
      <c r="AG74" s="384">
        <v>2380</v>
      </c>
      <c r="AH74" s="443">
        <v>28725</v>
      </c>
      <c r="AI74" s="384">
        <v>25690</v>
      </c>
      <c r="AJ74" s="444"/>
      <c r="AK74" s="444"/>
      <c r="AL74" s="384">
        <v>3035</v>
      </c>
      <c r="AM74" s="384"/>
      <c r="AN74" s="384"/>
      <c r="AO74" s="445" t="s">
        <v>928</v>
      </c>
      <c r="AP74" s="438" t="s">
        <v>1044</v>
      </c>
      <c r="AQ74" s="385"/>
    </row>
    <row r="75" spans="1:43" ht="45">
      <c r="A75" s="437" t="s">
        <v>1100</v>
      </c>
      <c r="B75" s="446" t="s">
        <v>1101</v>
      </c>
      <c r="C75" s="23">
        <f t="shared" si="62"/>
        <v>12</v>
      </c>
      <c r="D75" s="447" t="s">
        <v>52</v>
      </c>
      <c r="E75" s="446" t="s">
        <v>1102</v>
      </c>
      <c r="F75" s="440" t="s">
        <v>52</v>
      </c>
      <c r="G75" s="448">
        <f t="shared" ref="G75:G138" si="63">AH75/AH$157*100</f>
        <v>1.7575579581123002</v>
      </c>
      <c r="H75" s="448"/>
      <c r="I75" s="382">
        <v>25</v>
      </c>
      <c r="J75" s="442">
        <v>1</v>
      </c>
      <c r="K75" s="442">
        <v>1</v>
      </c>
      <c r="L75" s="442">
        <v>1</v>
      </c>
      <c r="M75" s="384">
        <v>2395</v>
      </c>
      <c r="N75" s="384">
        <v>2395</v>
      </c>
      <c r="O75" s="384">
        <v>2395</v>
      </c>
      <c r="P75" s="442">
        <v>1</v>
      </c>
      <c r="Q75" s="442">
        <v>1</v>
      </c>
      <c r="R75" s="442">
        <v>1</v>
      </c>
      <c r="S75" s="384">
        <v>2395</v>
      </c>
      <c r="T75" s="384">
        <v>2395</v>
      </c>
      <c r="U75" s="384">
        <v>2395</v>
      </c>
      <c r="V75" s="442">
        <v>1</v>
      </c>
      <c r="W75" s="442">
        <v>1</v>
      </c>
      <c r="X75" s="442">
        <v>1</v>
      </c>
      <c r="Y75" s="384">
        <v>2395</v>
      </c>
      <c r="Z75" s="384">
        <v>2395</v>
      </c>
      <c r="AA75" s="384">
        <v>2395</v>
      </c>
      <c r="AB75" s="442">
        <v>1</v>
      </c>
      <c r="AC75" s="442">
        <v>1</v>
      </c>
      <c r="AD75" s="442">
        <v>1</v>
      </c>
      <c r="AE75" s="384">
        <v>2395</v>
      </c>
      <c r="AF75" s="384">
        <v>2395</v>
      </c>
      <c r="AG75" s="384">
        <v>2380</v>
      </c>
      <c r="AH75" s="443">
        <v>28725</v>
      </c>
      <c r="AI75" s="384">
        <v>25690</v>
      </c>
      <c r="AJ75" s="444"/>
      <c r="AK75" s="444"/>
      <c r="AL75" s="384">
        <v>3035</v>
      </c>
      <c r="AM75" s="384"/>
      <c r="AN75" s="384"/>
      <c r="AO75" s="445" t="s">
        <v>928</v>
      </c>
      <c r="AP75" s="438" t="s">
        <v>1044</v>
      </c>
      <c r="AQ75" s="385"/>
    </row>
    <row r="76" spans="1:43" ht="45">
      <c r="A76" s="437" t="s">
        <v>1103</v>
      </c>
      <c r="B76" s="446" t="s">
        <v>1104</v>
      </c>
      <c r="C76" s="23">
        <f t="shared" si="62"/>
        <v>1</v>
      </c>
      <c r="D76" s="447" t="s">
        <v>57</v>
      </c>
      <c r="E76" s="449" t="s">
        <v>1105</v>
      </c>
      <c r="F76" s="440" t="s">
        <v>52</v>
      </c>
      <c r="G76" s="448">
        <f t="shared" si="63"/>
        <v>1.7575579581123002</v>
      </c>
      <c r="H76" s="448"/>
      <c r="I76" s="382">
        <v>25</v>
      </c>
      <c r="J76" s="383"/>
      <c r="K76" s="383"/>
      <c r="L76" s="383"/>
      <c r="M76" s="384"/>
      <c r="N76" s="384"/>
      <c r="O76" s="384"/>
      <c r="P76" s="383"/>
      <c r="Q76" s="383"/>
      <c r="R76" s="383">
        <v>1</v>
      </c>
      <c r="S76" s="384"/>
      <c r="T76" s="384"/>
      <c r="U76" s="384">
        <v>28725</v>
      </c>
      <c r="V76" s="383"/>
      <c r="W76" s="383"/>
      <c r="X76" s="383"/>
      <c r="Y76" s="384"/>
      <c r="Z76" s="384"/>
      <c r="AA76" s="384"/>
      <c r="AB76" s="383"/>
      <c r="AC76" s="383"/>
      <c r="AD76" s="383"/>
      <c r="AE76" s="384"/>
      <c r="AF76" s="384"/>
      <c r="AG76" s="384"/>
      <c r="AH76" s="443">
        <v>28725</v>
      </c>
      <c r="AI76" s="384">
        <v>25690</v>
      </c>
      <c r="AJ76" s="444"/>
      <c r="AK76" s="444"/>
      <c r="AL76" s="384">
        <v>3035</v>
      </c>
      <c r="AM76" s="384"/>
      <c r="AN76" s="384"/>
      <c r="AO76" s="445" t="s">
        <v>928</v>
      </c>
      <c r="AP76" s="438" t="s">
        <v>1044</v>
      </c>
      <c r="AQ76" s="385"/>
    </row>
    <row r="77" spans="1:43" ht="15">
      <c r="A77" s="428" t="s">
        <v>1106</v>
      </c>
      <c r="B77" s="429" t="s">
        <v>1107</v>
      </c>
      <c r="C77" s="430"/>
      <c r="D77" s="450"/>
      <c r="E77" s="429"/>
      <c r="F77" s="432"/>
      <c r="G77" s="433">
        <f t="shared" si="63"/>
        <v>2.2182859450430441</v>
      </c>
      <c r="H77" s="433"/>
      <c r="I77" s="451"/>
      <c r="J77" s="430"/>
      <c r="K77" s="430"/>
      <c r="L77" s="430"/>
      <c r="M77" s="452"/>
      <c r="N77" s="452"/>
      <c r="O77" s="452">
        <v>13595</v>
      </c>
      <c r="P77" s="430"/>
      <c r="Q77" s="430"/>
      <c r="R77" s="430"/>
      <c r="S77" s="452"/>
      <c r="T77" s="452"/>
      <c r="U77" s="452">
        <v>9065</v>
      </c>
      <c r="V77" s="430"/>
      <c r="W77" s="430"/>
      <c r="X77" s="430"/>
      <c r="Y77" s="452"/>
      <c r="Z77" s="452"/>
      <c r="AA77" s="452">
        <v>4530</v>
      </c>
      <c r="AB77" s="430"/>
      <c r="AC77" s="430"/>
      <c r="AD77" s="430"/>
      <c r="AE77" s="452">
        <v>4530</v>
      </c>
      <c r="AF77" s="452"/>
      <c r="AG77" s="452">
        <v>4535</v>
      </c>
      <c r="AH77" s="452">
        <v>36255</v>
      </c>
      <c r="AI77" s="452">
        <v>35820</v>
      </c>
      <c r="AJ77" s="452"/>
      <c r="AK77" s="452"/>
      <c r="AL77" s="452">
        <v>435</v>
      </c>
      <c r="AM77" s="452"/>
      <c r="AN77" s="452"/>
      <c r="AO77" s="453"/>
      <c r="AP77" s="454"/>
      <c r="AQ77" s="454"/>
    </row>
    <row r="78" spans="1:43" ht="45">
      <c r="A78" s="437" t="s">
        <v>1108</v>
      </c>
      <c r="B78" s="455" t="s">
        <v>1109</v>
      </c>
      <c r="C78" s="23">
        <f t="shared" ref="C78:C81" si="64">SUM(J78,K78,L78,P78,Q78,R78,V78,W78,X78,AB78,AC78,AD78)</f>
        <v>2</v>
      </c>
      <c r="D78" s="447" t="s">
        <v>52</v>
      </c>
      <c r="E78" s="455" t="s">
        <v>1110</v>
      </c>
      <c r="F78" s="440" t="s">
        <v>52</v>
      </c>
      <c r="G78" s="448">
        <f t="shared" si="63"/>
        <v>0.55464796833030461</v>
      </c>
      <c r="H78" s="448"/>
      <c r="I78" s="389">
        <v>25</v>
      </c>
      <c r="J78" s="456"/>
      <c r="K78" s="457"/>
      <c r="L78" s="457"/>
      <c r="M78" s="384"/>
      <c r="N78" s="384"/>
      <c r="O78" s="384"/>
      <c r="P78" s="457"/>
      <c r="Q78" s="457"/>
      <c r="R78" s="457">
        <v>1</v>
      </c>
      <c r="S78" s="384"/>
      <c r="T78" s="384"/>
      <c r="U78" s="384">
        <v>4535</v>
      </c>
      <c r="V78" s="457"/>
      <c r="W78" s="457"/>
      <c r="X78" s="457"/>
      <c r="Y78" s="384"/>
      <c r="Z78" s="384"/>
      <c r="AA78" s="384"/>
      <c r="AB78" s="457">
        <v>1</v>
      </c>
      <c r="AC78" s="457"/>
      <c r="AD78" s="457"/>
      <c r="AE78" s="384">
        <v>4530</v>
      </c>
      <c r="AF78" s="384"/>
      <c r="AG78" s="384"/>
      <c r="AH78" s="443">
        <v>9065</v>
      </c>
      <c r="AI78" s="384">
        <v>8955</v>
      </c>
      <c r="AJ78" s="393"/>
      <c r="AK78" s="393"/>
      <c r="AL78" s="384">
        <v>110</v>
      </c>
      <c r="AM78" s="393"/>
      <c r="AN78" s="393"/>
      <c r="AO78" s="458" t="s">
        <v>928</v>
      </c>
      <c r="AP78" s="459" t="s">
        <v>1111</v>
      </c>
      <c r="AQ78" s="459"/>
    </row>
    <row r="79" spans="1:43" ht="75">
      <c r="A79" s="437" t="s">
        <v>1112</v>
      </c>
      <c r="B79" s="455" t="s">
        <v>1113</v>
      </c>
      <c r="C79" s="23">
        <f t="shared" si="64"/>
        <v>4</v>
      </c>
      <c r="D79" s="447" t="s">
        <v>57</v>
      </c>
      <c r="E79" s="455" t="s">
        <v>1114</v>
      </c>
      <c r="F79" s="440" t="s">
        <v>1115</v>
      </c>
      <c r="G79" s="448">
        <f t="shared" si="63"/>
        <v>0.77614004172861717</v>
      </c>
      <c r="H79" s="448"/>
      <c r="I79" s="460">
        <v>35</v>
      </c>
      <c r="J79" s="461"/>
      <c r="K79" s="462"/>
      <c r="L79" s="462">
        <v>1</v>
      </c>
      <c r="M79" s="384"/>
      <c r="N79" s="384"/>
      <c r="O79" s="384">
        <v>3170</v>
      </c>
      <c r="P79" s="462"/>
      <c r="Q79" s="462"/>
      <c r="R79" s="462">
        <v>1</v>
      </c>
      <c r="S79" s="384"/>
      <c r="T79" s="384"/>
      <c r="U79" s="384">
        <v>3170</v>
      </c>
      <c r="V79" s="462"/>
      <c r="W79" s="462"/>
      <c r="X79" s="462">
        <v>1</v>
      </c>
      <c r="Y79" s="384"/>
      <c r="Z79" s="384"/>
      <c r="AA79" s="384">
        <v>3170</v>
      </c>
      <c r="AB79" s="462"/>
      <c r="AC79" s="462"/>
      <c r="AD79" s="462">
        <v>1</v>
      </c>
      <c r="AE79" s="384"/>
      <c r="AF79" s="384"/>
      <c r="AG79" s="384">
        <v>3175</v>
      </c>
      <c r="AH79" s="443">
        <v>12685</v>
      </c>
      <c r="AI79" s="384">
        <v>12535</v>
      </c>
      <c r="AJ79" s="393"/>
      <c r="AK79" s="393"/>
      <c r="AL79" s="384">
        <v>150</v>
      </c>
      <c r="AM79" s="393"/>
      <c r="AN79" s="393"/>
      <c r="AO79" s="458" t="s">
        <v>928</v>
      </c>
      <c r="AP79" s="459" t="s">
        <v>1111</v>
      </c>
      <c r="AQ79" s="459"/>
    </row>
    <row r="80" spans="1:43" ht="30">
      <c r="A80" s="437" t="s">
        <v>1116</v>
      </c>
      <c r="B80" s="455" t="s">
        <v>1117</v>
      </c>
      <c r="C80" s="23">
        <f t="shared" si="64"/>
        <v>1</v>
      </c>
      <c r="D80" s="447" t="s">
        <v>57</v>
      </c>
      <c r="E80" s="455" t="s">
        <v>1118</v>
      </c>
      <c r="F80" s="440" t="s">
        <v>1119</v>
      </c>
      <c r="G80" s="448">
        <f t="shared" si="63"/>
        <v>0.55464796833030461</v>
      </c>
      <c r="H80" s="448"/>
      <c r="I80" s="460">
        <v>25</v>
      </c>
      <c r="J80" s="461"/>
      <c r="K80" s="462"/>
      <c r="L80" s="462">
        <v>1</v>
      </c>
      <c r="M80" s="384"/>
      <c r="N80" s="384"/>
      <c r="O80" s="384">
        <v>9065</v>
      </c>
      <c r="P80" s="462"/>
      <c r="Q80" s="462"/>
      <c r="R80" s="462"/>
      <c r="S80" s="384"/>
      <c r="T80" s="384"/>
      <c r="U80" s="384"/>
      <c r="V80" s="462"/>
      <c r="W80" s="462"/>
      <c r="X80" s="462"/>
      <c r="Y80" s="384"/>
      <c r="Z80" s="384"/>
      <c r="AA80" s="384"/>
      <c r="AB80" s="462"/>
      <c r="AC80" s="462"/>
      <c r="AD80" s="462"/>
      <c r="AE80" s="384"/>
      <c r="AF80" s="384"/>
      <c r="AG80" s="384"/>
      <c r="AH80" s="443">
        <v>9065</v>
      </c>
      <c r="AI80" s="384">
        <v>8955</v>
      </c>
      <c r="AJ80" s="393"/>
      <c r="AK80" s="393"/>
      <c r="AL80" s="384">
        <v>110</v>
      </c>
      <c r="AM80" s="393"/>
      <c r="AN80" s="393"/>
      <c r="AO80" s="458" t="s">
        <v>928</v>
      </c>
      <c r="AP80" s="459" t="s">
        <v>1111</v>
      </c>
      <c r="AQ80" s="459"/>
    </row>
    <row r="81" spans="1:43" ht="30">
      <c r="A81" s="437" t="s">
        <v>1120</v>
      </c>
      <c r="B81" s="455" t="s">
        <v>1121</v>
      </c>
      <c r="C81" s="23">
        <f t="shared" si="64"/>
        <v>4</v>
      </c>
      <c r="D81" s="447" t="s">
        <v>1122</v>
      </c>
      <c r="E81" s="455" t="s">
        <v>1123</v>
      </c>
      <c r="F81" s="440" t="s">
        <v>1124</v>
      </c>
      <c r="G81" s="448">
        <f t="shared" si="63"/>
        <v>0.33284996665381766</v>
      </c>
      <c r="H81" s="448"/>
      <c r="I81" s="460">
        <v>15</v>
      </c>
      <c r="J81" s="461"/>
      <c r="K81" s="462"/>
      <c r="L81" s="462">
        <v>1</v>
      </c>
      <c r="M81" s="384"/>
      <c r="N81" s="384"/>
      <c r="O81" s="384">
        <v>1360</v>
      </c>
      <c r="P81" s="462"/>
      <c r="Q81" s="462"/>
      <c r="R81" s="462">
        <v>1</v>
      </c>
      <c r="S81" s="384"/>
      <c r="T81" s="384"/>
      <c r="U81" s="384">
        <v>1360</v>
      </c>
      <c r="V81" s="462"/>
      <c r="W81" s="462"/>
      <c r="X81" s="462">
        <v>1</v>
      </c>
      <c r="Y81" s="384"/>
      <c r="Z81" s="384"/>
      <c r="AA81" s="384">
        <v>1360</v>
      </c>
      <c r="AB81" s="462"/>
      <c r="AC81" s="462"/>
      <c r="AD81" s="462">
        <v>1</v>
      </c>
      <c r="AE81" s="384"/>
      <c r="AF81" s="384"/>
      <c r="AG81" s="384">
        <v>1360</v>
      </c>
      <c r="AH81" s="443">
        <v>5440</v>
      </c>
      <c r="AI81" s="384">
        <v>5375</v>
      </c>
      <c r="AJ81" s="393"/>
      <c r="AK81" s="393"/>
      <c r="AL81" s="384">
        <v>65</v>
      </c>
      <c r="AM81" s="393"/>
      <c r="AN81" s="393"/>
      <c r="AO81" s="458" t="s">
        <v>928</v>
      </c>
      <c r="AP81" s="459" t="s">
        <v>1111</v>
      </c>
      <c r="AQ81" s="459"/>
    </row>
    <row r="82" spans="1:43" ht="15">
      <c r="A82" s="428" t="s">
        <v>1125</v>
      </c>
      <c r="B82" s="429" t="s">
        <v>1126</v>
      </c>
      <c r="C82" s="463"/>
      <c r="D82" s="450"/>
      <c r="E82" s="429"/>
      <c r="F82" s="464"/>
      <c r="G82" s="433">
        <f t="shared" si="63"/>
        <v>7.8537907572948598</v>
      </c>
      <c r="H82" s="433"/>
      <c r="I82" s="451"/>
      <c r="J82" s="430"/>
      <c r="K82" s="430"/>
      <c r="L82" s="430"/>
      <c r="M82" s="452"/>
      <c r="N82" s="452">
        <v>4815</v>
      </c>
      <c r="O82" s="452">
        <v>4815</v>
      </c>
      <c r="P82" s="430"/>
      <c r="Q82" s="430"/>
      <c r="R82" s="430"/>
      <c r="S82" s="452"/>
      <c r="T82" s="452">
        <v>4815</v>
      </c>
      <c r="U82" s="452">
        <v>49745</v>
      </c>
      <c r="V82" s="430"/>
      <c r="W82" s="430"/>
      <c r="X82" s="430"/>
      <c r="Y82" s="452"/>
      <c r="Z82" s="452">
        <v>4815</v>
      </c>
      <c r="AA82" s="452">
        <v>49735</v>
      </c>
      <c r="AB82" s="430"/>
      <c r="AC82" s="430"/>
      <c r="AD82" s="430"/>
      <c r="AE82" s="452"/>
      <c r="AF82" s="452">
        <v>4815</v>
      </c>
      <c r="AG82" s="452">
        <v>4805</v>
      </c>
      <c r="AH82" s="452">
        <v>128360</v>
      </c>
      <c r="AI82" s="452">
        <v>108315</v>
      </c>
      <c r="AJ82" s="452"/>
      <c r="AK82" s="452"/>
      <c r="AL82" s="452">
        <v>20045</v>
      </c>
      <c r="AM82" s="452"/>
      <c r="AN82" s="452"/>
      <c r="AO82" s="453"/>
      <c r="AP82" s="454"/>
      <c r="AQ82" s="454"/>
    </row>
    <row r="83" spans="1:43" ht="45">
      <c r="A83" s="2031" t="s">
        <v>1127</v>
      </c>
      <c r="B83" s="2033" t="s">
        <v>1128</v>
      </c>
      <c r="C83" s="23">
        <f t="shared" ref="C83:C85" si="65">SUM(J83,K83,L83,P83,Q83,R83,V83,W83,X83,AB83,AC83,AD83)</f>
        <v>2</v>
      </c>
      <c r="D83" s="465" t="s">
        <v>1129</v>
      </c>
      <c r="E83" s="2033" t="s">
        <v>1130</v>
      </c>
      <c r="F83" s="466" t="s">
        <v>1131</v>
      </c>
      <c r="G83" s="448">
        <f t="shared" si="63"/>
        <v>2.7487655793975661</v>
      </c>
      <c r="H83" s="448"/>
      <c r="I83" s="382">
        <v>35</v>
      </c>
      <c r="J83" s="383"/>
      <c r="K83" s="383"/>
      <c r="L83" s="383"/>
      <c r="M83" s="384"/>
      <c r="N83" s="384"/>
      <c r="O83" s="384"/>
      <c r="P83" s="383"/>
      <c r="Q83" s="383"/>
      <c r="R83" s="383">
        <v>1</v>
      </c>
      <c r="S83" s="384"/>
      <c r="T83" s="384"/>
      <c r="U83" s="384">
        <v>22465</v>
      </c>
      <c r="V83" s="383"/>
      <c r="W83" s="383"/>
      <c r="X83" s="383">
        <v>1</v>
      </c>
      <c r="Y83" s="384"/>
      <c r="Z83" s="384"/>
      <c r="AA83" s="384">
        <v>22460</v>
      </c>
      <c r="AB83" s="383"/>
      <c r="AC83" s="383"/>
      <c r="AD83" s="383"/>
      <c r="AE83" s="384"/>
      <c r="AF83" s="384"/>
      <c r="AG83" s="384"/>
      <c r="AH83" s="443">
        <v>44925</v>
      </c>
      <c r="AI83" s="384">
        <v>37910</v>
      </c>
      <c r="AJ83" s="384"/>
      <c r="AK83" s="384"/>
      <c r="AL83" s="384">
        <v>7015</v>
      </c>
      <c r="AM83" s="384"/>
      <c r="AN83" s="384"/>
      <c r="AO83" s="411" t="s">
        <v>928</v>
      </c>
      <c r="AP83" s="385" t="s">
        <v>966</v>
      </c>
      <c r="AQ83" s="385"/>
    </row>
    <row r="84" spans="1:43" ht="30">
      <c r="A84" s="2032"/>
      <c r="B84" s="2034"/>
      <c r="C84" s="23">
        <f t="shared" si="65"/>
        <v>2</v>
      </c>
      <c r="D84" s="467" t="s">
        <v>1132</v>
      </c>
      <c r="E84" s="2034"/>
      <c r="F84" s="466" t="s">
        <v>1133</v>
      </c>
      <c r="G84" s="448">
        <f t="shared" si="63"/>
        <v>2.7487655793975661</v>
      </c>
      <c r="H84" s="448"/>
      <c r="I84" s="382">
        <v>35</v>
      </c>
      <c r="J84" s="383"/>
      <c r="K84" s="383"/>
      <c r="L84" s="383"/>
      <c r="M84" s="384"/>
      <c r="N84" s="384"/>
      <c r="O84" s="384"/>
      <c r="P84" s="383"/>
      <c r="Q84" s="383"/>
      <c r="R84" s="383">
        <v>1</v>
      </c>
      <c r="S84" s="384"/>
      <c r="T84" s="384"/>
      <c r="U84" s="384">
        <v>22465</v>
      </c>
      <c r="V84" s="383"/>
      <c r="W84" s="383"/>
      <c r="X84" s="383">
        <v>1</v>
      </c>
      <c r="Y84" s="384"/>
      <c r="Z84" s="384"/>
      <c r="AA84" s="384">
        <v>22460</v>
      </c>
      <c r="AB84" s="383"/>
      <c r="AC84" s="383"/>
      <c r="AD84" s="383"/>
      <c r="AE84" s="384"/>
      <c r="AF84" s="384"/>
      <c r="AG84" s="384"/>
      <c r="AH84" s="443">
        <v>44925</v>
      </c>
      <c r="AI84" s="384">
        <v>37910</v>
      </c>
      <c r="AJ84" s="384"/>
      <c r="AK84" s="384"/>
      <c r="AL84" s="384">
        <v>7015</v>
      </c>
      <c r="AM84" s="384"/>
      <c r="AN84" s="384"/>
      <c r="AO84" s="411" t="s">
        <v>928</v>
      </c>
      <c r="AP84" s="385" t="s">
        <v>966</v>
      </c>
      <c r="AQ84" s="385"/>
    </row>
    <row r="85" spans="1:43" ht="60">
      <c r="A85" s="437" t="s">
        <v>1134</v>
      </c>
      <c r="B85" s="455" t="s">
        <v>1135</v>
      </c>
      <c r="C85" s="23">
        <f t="shared" si="65"/>
        <v>8</v>
      </c>
      <c r="D85" s="447" t="s">
        <v>52</v>
      </c>
      <c r="E85" s="455" t="s">
        <v>1136</v>
      </c>
      <c r="F85" s="468" t="s">
        <v>1137</v>
      </c>
      <c r="G85" s="448">
        <f t="shared" si="63"/>
        <v>2.3562595984997277</v>
      </c>
      <c r="H85" s="448"/>
      <c r="I85" s="382">
        <v>30</v>
      </c>
      <c r="J85" s="383"/>
      <c r="K85" s="383">
        <v>1</v>
      </c>
      <c r="L85" s="383">
        <v>1</v>
      </c>
      <c r="M85" s="384"/>
      <c r="N85" s="384">
        <v>4815</v>
      </c>
      <c r="O85" s="384">
        <v>4815</v>
      </c>
      <c r="P85" s="383"/>
      <c r="Q85" s="383">
        <v>1</v>
      </c>
      <c r="R85" s="383">
        <v>1</v>
      </c>
      <c r="S85" s="384"/>
      <c r="T85" s="384">
        <v>4815</v>
      </c>
      <c r="U85" s="384">
        <v>4815</v>
      </c>
      <c r="V85" s="383"/>
      <c r="W85" s="383">
        <v>1</v>
      </c>
      <c r="X85" s="383">
        <v>1</v>
      </c>
      <c r="Y85" s="384"/>
      <c r="Z85" s="384">
        <v>4815</v>
      </c>
      <c r="AA85" s="384">
        <v>4815</v>
      </c>
      <c r="AB85" s="383"/>
      <c r="AC85" s="383">
        <v>1</v>
      </c>
      <c r="AD85" s="383">
        <v>1</v>
      </c>
      <c r="AE85" s="384"/>
      <c r="AF85" s="384">
        <v>4815</v>
      </c>
      <c r="AG85" s="384">
        <v>4805</v>
      </c>
      <c r="AH85" s="443">
        <v>38510</v>
      </c>
      <c r="AI85" s="384">
        <v>32495</v>
      </c>
      <c r="AJ85" s="384"/>
      <c r="AK85" s="384"/>
      <c r="AL85" s="384">
        <v>6015</v>
      </c>
      <c r="AM85" s="384"/>
      <c r="AN85" s="384"/>
      <c r="AO85" s="411" t="s">
        <v>928</v>
      </c>
      <c r="AP85" s="385" t="s">
        <v>966</v>
      </c>
      <c r="AQ85" s="385"/>
    </row>
    <row r="86" spans="1:43" ht="15">
      <c r="A86" s="428" t="s">
        <v>1138</v>
      </c>
      <c r="B86" s="429" t="s">
        <v>1139</v>
      </c>
      <c r="C86" s="430"/>
      <c r="D86" s="450"/>
      <c r="E86" s="429"/>
      <c r="F86" s="432"/>
      <c r="G86" s="433">
        <f t="shared" si="63"/>
        <v>2.2363357134553374</v>
      </c>
      <c r="H86" s="433"/>
      <c r="I86" s="451"/>
      <c r="J86" s="430"/>
      <c r="K86" s="430"/>
      <c r="L86" s="430"/>
      <c r="M86" s="452">
        <v>2440</v>
      </c>
      <c r="N86" s="452">
        <v>2440</v>
      </c>
      <c r="O86" s="452">
        <v>2440</v>
      </c>
      <c r="P86" s="430"/>
      <c r="Q86" s="430"/>
      <c r="R86" s="430"/>
      <c r="S86" s="452">
        <v>2440</v>
      </c>
      <c r="T86" s="452">
        <v>3900</v>
      </c>
      <c r="U86" s="452">
        <v>3900</v>
      </c>
      <c r="V86" s="430"/>
      <c r="W86" s="430"/>
      <c r="X86" s="430"/>
      <c r="Y86" s="452">
        <v>2440</v>
      </c>
      <c r="Z86" s="452">
        <v>3900</v>
      </c>
      <c r="AA86" s="452">
        <v>3900</v>
      </c>
      <c r="AB86" s="430"/>
      <c r="AC86" s="430"/>
      <c r="AD86" s="430"/>
      <c r="AE86" s="452">
        <v>2440</v>
      </c>
      <c r="AF86" s="452">
        <v>2440</v>
      </c>
      <c r="AG86" s="452">
        <v>3870</v>
      </c>
      <c r="AH86" s="452">
        <v>36550</v>
      </c>
      <c r="AI86" s="452">
        <v>35825</v>
      </c>
      <c r="AJ86" s="452"/>
      <c r="AK86" s="452"/>
      <c r="AL86" s="452">
        <v>725</v>
      </c>
      <c r="AM86" s="452"/>
      <c r="AN86" s="452"/>
      <c r="AO86" s="453"/>
      <c r="AP86" s="454"/>
      <c r="AQ86" s="454"/>
    </row>
    <row r="87" spans="1:43" ht="45">
      <c r="A87" s="437" t="s">
        <v>1140</v>
      </c>
      <c r="B87" s="455" t="s">
        <v>1141</v>
      </c>
      <c r="C87" s="23">
        <f t="shared" ref="C87:C89" si="66">SUM(J87,K87,L87,P87,Q87,R87,V87,W87,X87,AB87,AC87,AD87)</f>
        <v>5</v>
      </c>
      <c r="D87" s="447" t="s">
        <v>57</v>
      </c>
      <c r="E87" s="455" t="s">
        <v>1142</v>
      </c>
      <c r="F87" s="440" t="s">
        <v>57</v>
      </c>
      <c r="G87" s="448">
        <f t="shared" si="63"/>
        <v>0.44726714269106754</v>
      </c>
      <c r="H87" s="448"/>
      <c r="I87" s="389">
        <v>20</v>
      </c>
      <c r="J87" s="392"/>
      <c r="K87" s="392"/>
      <c r="L87" s="392"/>
      <c r="M87" s="384"/>
      <c r="N87" s="384"/>
      <c r="O87" s="384"/>
      <c r="P87" s="392"/>
      <c r="Q87" s="392">
        <v>1</v>
      </c>
      <c r="R87" s="392">
        <v>1</v>
      </c>
      <c r="S87" s="384"/>
      <c r="T87" s="384">
        <v>1460</v>
      </c>
      <c r="U87" s="384">
        <v>1460</v>
      </c>
      <c r="V87" s="392"/>
      <c r="W87" s="392">
        <v>1</v>
      </c>
      <c r="X87" s="392">
        <v>1</v>
      </c>
      <c r="Y87" s="384"/>
      <c r="Z87" s="384">
        <v>1460</v>
      </c>
      <c r="AA87" s="384">
        <v>1460</v>
      </c>
      <c r="AB87" s="392"/>
      <c r="AC87" s="392"/>
      <c r="AD87" s="392">
        <v>1</v>
      </c>
      <c r="AE87" s="384"/>
      <c r="AF87" s="384"/>
      <c r="AG87" s="384">
        <v>1470</v>
      </c>
      <c r="AH87" s="443">
        <v>7310</v>
      </c>
      <c r="AI87" s="384">
        <v>7165</v>
      </c>
      <c r="AJ87" s="384"/>
      <c r="AK87" s="384"/>
      <c r="AL87" s="384">
        <v>145</v>
      </c>
      <c r="AM87" s="384"/>
      <c r="AN87" s="384"/>
      <c r="AO87" s="411" t="s">
        <v>928</v>
      </c>
      <c r="AP87" s="385" t="s">
        <v>1143</v>
      </c>
      <c r="AQ87" s="385"/>
    </row>
    <row r="88" spans="1:43" ht="60">
      <c r="A88" s="437" t="s">
        <v>1144</v>
      </c>
      <c r="B88" s="455" t="s">
        <v>1145</v>
      </c>
      <c r="C88" s="23">
        <f t="shared" si="66"/>
        <v>120</v>
      </c>
      <c r="D88" s="447" t="s">
        <v>1146</v>
      </c>
      <c r="E88" s="455" t="s">
        <v>1147</v>
      </c>
      <c r="F88" s="440" t="s">
        <v>1146</v>
      </c>
      <c r="G88" s="448">
        <f t="shared" si="63"/>
        <v>0.89453428538213509</v>
      </c>
      <c r="H88" s="448"/>
      <c r="I88" s="389">
        <v>40</v>
      </c>
      <c r="J88" s="392">
        <v>10</v>
      </c>
      <c r="K88" s="392">
        <v>10</v>
      </c>
      <c r="L88" s="392">
        <v>10</v>
      </c>
      <c r="M88" s="384">
        <v>1220</v>
      </c>
      <c r="N88" s="384">
        <v>1220</v>
      </c>
      <c r="O88" s="384">
        <v>1220</v>
      </c>
      <c r="P88" s="392">
        <v>10</v>
      </c>
      <c r="Q88" s="392">
        <v>10</v>
      </c>
      <c r="R88" s="392">
        <v>10</v>
      </c>
      <c r="S88" s="384">
        <v>1220</v>
      </c>
      <c r="T88" s="384">
        <v>1220</v>
      </c>
      <c r="U88" s="384">
        <v>1220</v>
      </c>
      <c r="V88" s="392">
        <v>10</v>
      </c>
      <c r="W88" s="392">
        <v>10</v>
      </c>
      <c r="X88" s="392">
        <v>10</v>
      </c>
      <c r="Y88" s="384">
        <v>1220</v>
      </c>
      <c r="Z88" s="384">
        <v>1220</v>
      </c>
      <c r="AA88" s="384">
        <v>1220</v>
      </c>
      <c r="AB88" s="392">
        <v>10</v>
      </c>
      <c r="AC88" s="392">
        <v>10</v>
      </c>
      <c r="AD88" s="392">
        <v>10</v>
      </c>
      <c r="AE88" s="384">
        <v>1220</v>
      </c>
      <c r="AF88" s="384">
        <v>1220</v>
      </c>
      <c r="AG88" s="384">
        <v>1200</v>
      </c>
      <c r="AH88" s="443">
        <v>14620</v>
      </c>
      <c r="AI88" s="384">
        <v>14330</v>
      </c>
      <c r="AJ88" s="384"/>
      <c r="AK88" s="384"/>
      <c r="AL88" s="384">
        <v>290</v>
      </c>
      <c r="AM88" s="384"/>
      <c r="AN88" s="384"/>
      <c r="AO88" s="411" t="s">
        <v>928</v>
      </c>
      <c r="AP88" s="385" t="s">
        <v>1143</v>
      </c>
      <c r="AQ88" s="385"/>
    </row>
    <row r="89" spans="1:43" ht="45">
      <c r="A89" s="437" t="s">
        <v>1148</v>
      </c>
      <c r="B89" s="455" t="s">
        <v>1149</v>
      </c>
      <c r="C89" s="23">
        <f t="shared" si="66"/>
        <v>120</v>
      </c>
      <c r="D89" s="447" t="s">
        <v>57</v>
      </c>
      <c r="E89" s="455" t="s">
        <v>1150</v>
      </c>
      <c r="F89" s="440" t="s">
        <v>57</v>
      </c>
      <c r="G89" s="448">
        <f t="shared" si="63"/>
        <v>0.89453428538213509</v>
      </c>
      <c r="H89" s="448"/>
      <c r="I89" s="389">
        <v>40</v>
      </c>
      <c r="J89" s="392">
        <v>10</v>
      </c>
      <c r="K89" s="392">
        <v>10</v>
      </c>
      <c r="L89" s="392">
        <v>10</v>
      </c>
      <c r="M89" s="384">
        <v>1220</v>
      </c>
      <c r="N89" s="384">
        <v>1220</v>
      </c>
      <c r="O89" s="384">
        <v>1220</v>
      </c>
      <c r="P89" s="392">
        <v>10</v>
      </c>
      <c r="Q89" s="392">
        <v>10</v>
      </c>
      <c r="R89" s="392">
        <v>10</v>
      </c>
      <c r="S89" s="384">
        <v>1220</v>
      </c>
      <c r="T89" s="384">
        <v>1220</v>
      </c>
      <c r="U89" s="384">
        <v>1220</v>
      </c>
      <c r="V89" s="392">
        <v>10</v>
      </c>
      <c r="W89" s="392">
        <v>10</v>
      </c>
      <c r="X89" s="392">
        <v>10</v>
      </c>
      <c r="Y89" s="384">
        <v>1220</v>
      </c>
      <c r="Z89" s="384">
        <v>1220</v>
      </c>
      <c r="AA89" s="384">
        <v>1220</v>
      </c>
      <c r="AB89" s="392">
        <v>10</v>
      </c>
      <c r="AC89" s="392">
        <v>10</v>
      </c>
      <c r="AD89" s="392">
        <v>10</v>
      </c>
      <c r="AE89" s="384">
        <v>1220</v>
      </c>
      <c r="AF89" s="384">
        <v>1220</v>
      </c>
      <c r="AG89" s="384">
        <v>1200</v>
      </c>
      <c r="AH89" s="443">
        <v>14620</v>
      </c>
      <c r="AI89" s="384">
        <v>14330</v>
      </c>
      <c r="AJ89" s="384"/>
      <c r="AK89" s="384"/>
      <c r="AL89" s="384">
        <v>290</v>
      </c>
      <c r="AM89" s="384"/>
      <c r="AN89" s="384"/>
      <c r="AO89" s="411" t="s">
        <v>928</v>
      </c>
      <c r="AP89" s="385" t="s">
        <v>1143</v>
      </c>
      <c r="AQ89" s="385"/>
    </row>
    <row r="90" spans="1:43" ht="30">
      <c r="A90" s="428" t="s">
        <v>1151</v>
      </c>
      <c r="B90" s="429" t="s">
        <v>1152</v>
      </c>
      <c r="C90" s="430"/>
      <c r="D90" s="450"/>
      <c r="E90" s="429"/>
      <c r="F90" s="432"/>
      <c r="G90" s="433">
        <f t="shared" si="63"/>
        <v>1.1533496087177322</v>
      </c>
      <c r="H90" s="433"/>
      <c r="I90" s="451"/>
      <c r="J90" s="430"/>
      <c r="K90" s="430"/>
      <c r="L90" s="430"/>
      <c r="M90" s="452">
        <v>3775</v>
      </c>
      <c r="N90" s="452">
        <v>470</v>
      </c>
      <c r="O90" s="452">
        <v>470</v>
      </c>
      <c r="P90" s="430"/>
      <c r="Q90" s="430"/>
      <c r="R90" s="430"/>
      <c r="S90" s="452">
        <v>3775</v>
      </c>
      <c r="T90" s="452">
        <v>470</v>
      </c>
      <c r="U90" s="452">
        <v>470</v>
      </c>
      <c r="V90" s="430"/>
      <c r="W90" s="430"/>
      <c r="X90" s="430"/>
      <c r="Y90" s="452">
        <v>3775</v>
      </c>
      <c r="Z90" s="452">
        <v>470</v>
      </c>
      <c r="AA90" s="452">
        <v>470</v>
      </c>
      <c r="AB90" s="430"/>
      <c r="AC90" s="430"/>
      <c r="AD90" s="430"/>
      <c r="AE90" s="452">
        <v>3750</v>
      </c>
      <c r="AF90" s="452">
        <v>470</v>
      </c>
      <c r="AG90" s="452">
        <v>485</v>
      </c>
      <c r="AH90" s="452">
        <v>18850</v>
      </c>
      <c r="AI90" s="452">
        <v>18850</v>
      </c>
      <c r="AJ90" s="452"/>
      <c r="AK90" s="452"/>
      <c r="AL90" s="452"/>
      <c r="AM90" s="452"/>
      <c r="AN90" s="452"/>
      <c r="AO90" s="453"/>
      <c r="AP90" s="454"/>
      <c r="AQ90" s="454"/>
    </row>
    <row r="91" spans="1:43" ht="75">
      <c r="A91" s="437" t="s">
        <v>1153</v>
      </c>
      <c r="B91" s="469" t="s">
        <v>1154</v>
      </c>
      <c r="C91" s="23">
        <f t="shared" ref="C91:C94" si="67">SUM(J91,K91,L91,P91,Q91,R91,V91,W91,X91,AB91,AC91,AD91)</f>
        <v>120</v>
      </c>
      <c r="D91" s="447" t="s">
        <v>52</v>
      </c>
      <c r="E91" s="469" t="s">
        <v>1155</v>
      </c>
      <c r="F91" s="440" t="s">
        <v>1156</v>
      </c>
      <c r="G91" s="448">
        <f t="shared" si="63"/>
        <v>0.34600488261531964</v>
      </c>
      <c r="H91" s="448"/>
      <c r="I91" s="382">
        <v>30</v>
      </c>
      <c r="J91" s="383">
        <v>10</v>
      </c>
      <c r="K91" s="383">
        <v>10</v>
      </c>
      <c r="L91" s="383">
        <v>10</v>
      </c>
      <c r="M91" s="384">
        <v>470</v>
      </c>
      <c r="N91" s="384">
        <v>470</v>
      </c>
      <c r="O91" s="384">
        <v>470</v>
      </c>
      <c r="P91" s="383">
        <v>10</v>
      </c>
      <c r="Q91" s="383">
        <v>10</v>
      </c>
      <c r="R91" s="383">
        <v>10</v>
      </c>
      <c r="S91" s="384">
        <v>470</v>
      </c>
      <c r="T91" s="384">
        <v>470</v>
      </c>
      <c r="U91" s="384">
        <v>470</v>
      </c>
      <c r="V91" s="383">
        <v>10</v>
      </c>
      <c r="W91" s="383">
        <v>10</v>
      </c>
      <c r="X91" s="383">
        <v>10</v>
      </c>
      <c r="Y91" s="384">
        <v>470</v>
      </c>
      <c r="Z91" s="384">
        <v>470</v>
      </c>
      <c r="AA91" s="384">
        <v>470</v>
      </c>
      <c r="AB91" s="383">
        <v>10</v>
      </c>
      <c r="AC91" s="383">
        <v>10</v>
      </c>
      <c r="AD91" s="383">
        <v>10</v>
      </c>
      <c r="AE91" s="384">
        <v>470</v>
      </c>
      <c r="AF91" s="384">
        <v>470</v>
      </c>
      <c r="AG91" s="384">
        <v>485</v>
      </c>
      <c r="AH91" s="443">
        <v>5655</v>
      </c>
      <c r="AI91" s="384">
        <v>5655</v>
      </c>
      <c r="AJ91" s="384"/>
      <c r="AK91" s="384"/>
      <c r="AL91" s="444"/>
      <c r="AM91" s="384"/>
      <c r="AN91" s="384"/>
      <c r="AO91" s="411" t="s">
        <v>928</v>
      </c>
      <c r="AP91" s="385" t="s">
        <v>1157</v>
      </c>
      <c r="AQ91" s="385"/>
    </row>
    <row r="92" spans="1:43" ht="90">
      <c r="A92" s="437" t="s">
        <v>1158</v>
      </c>
      <c r="B92" s="455" t="s">
        <v>1159</v>
      </c>
      <c r="C92" s="23">
        <f t="shared" si="67"/>
        <v>4</v>
      </c>
      <c r="D92" s="447" t="s">
        <v>52</v>
      </c>
      <c r="E92" s="469" t="s">
        <v>1160</v>
      </c>
      <c r="F92" s="440" t="s">
        <v>1161</v>
      </c>
      <c r="G92" s="448">
        <f t="shared" si="63"/>
        <v>0.23066992174354645</v>
      </c>
      <c r="H92" s="448"/>
      <c r="I92" s="382">
        <v>20</v>
      </c>
      <c r="J92" s="383">
        <v>1</v>
      </c>
      <c r="K92" s="383"/>
      <c r="L92" s="383"/>
      <c r="M92" s="384">
        <v>945</v>
      </c>
      <c r="N92" s="384"/>
      <c r="O92" s="384"/>
      <c r="P92" s="383">
        <v>1</v>
      </c>
      <c r="Q92" s="383"/>
      <c r="R92" s="383"/>
      <c r="S92" s="384">
        <v>945</v>
      </c>
      <c r="T92" s="384"/>
      <c r="U92" s="384"/>
      <c r="V92" s="383">
        <v>1</v>
      </c>
      <c r="W92" s="383"/>
      <c r="X92" s="383"/>
      <c r="Y92" s="384">
        <v>945</v>
      </c>
      <c r="Z92" s="384"/>
      <c r="AA92" s="384"/>
      <c r="AB92" s="383">
        <v>1</v>
      </c>
      <c r="AC92" s="383"/>
      <c r="AD92" s="383"/>
      <c r="AE92" s="384">
        <v>935</v>
      </c>
      <c r="AF92" s="384"/>
      <c r="AG92" s="384"/>
      <c r="AH92" s="443">
        <v>3770</v>
      </c>
      <c r="AI92" s="384">
        <v>3770</v>
      </c>
      <c r="AJ92" s="384"/>
      <c r="AK92" s="384"/>
      <c r="AL92" s="444"/>
      <c r="AM92" s="384"/>
      <c r="AN92" s="384"/>
      <c r="AO92" s="411" t="s">
        <v>928</v>
      </c>
      <c r="AP92" s="385" t="s">
        <v>1157</v>
      </c>
      <c r="AQ92" s="385"/>
    </row>
    <row r="93" spans="1:43" ht="45">
      <c r="A93" s="437" t="s">
        <v>1162</v>
      </c>
      <c r="B93" s="469" t="s">
        <v>1163</v>
      </c>
      <c r="C93" s="23">
        <f t="shared" si="67"/>
        <v>4</v>
      </c>
      <c r="D93" s="447" t="s">
        <v>52</v>
      </c>
      <c r="E93" s="469" t="s">
        <v>1164</v>
      </c>
      <c r="F93" s="440" t="s">
        <v>1165</v>
      </c>
      <c r="G93" s="448">
        <f t="shared" si="63"/>
        <v>0.23066992174354645</v>
      </c>
      <c r="H93" s="448"/>
      <c r="I93" s="382">
        <v>20</v>
      </c>
      <c r="J93" s="383">
        <v>1</v>
      </c>
      <c r="K93" s="383"/>
      <c r="L93" s="383"/>
      <c r="M93" s="384">
        <v>945</v>
      </c>
      <c r="N93" s="384"/>
      <c r="O93" s="384"/>
      <c r="P93" s="383">
        <v>1</v>
      </c>
      <c r="Q93" s="383"/>
      <c r="R93" s="383"/>
      <c r="S93" s="384">
        <v>945</v>
      </c>
      <c r="T93" s="384"/>
      <c r="U93" s="384"/>
      <c r="V93" s="383">
        <v>1</v>
      </c>
      <c r="W93" s="383"/>
      <c r="X93" s="383"/>
      <c r="Y93" s="384">
        <v>945</v>
      </c>
      <c r="Z93" s="384"/>
      <c r="AA93" s="384"/>
      <c r="AB93" s="383">
        <v>1</v>
      </c>
      <c r="AC93" s="383"/>
      <c r="AD93" s="383"/>
      <c r="AE93" s="384">
        <v>935</v>
      </c>
      <c r="AF93" s="384"/>
      <c r="AG93" s="384"/>
      <c r="AH93" s="443">
        <v>3770</v>
      </c>
      <c r="AI93" s="384">
        <v>3770</v>
      </c>
      <c r="AJ93" s="384"/>
      <c r="AK93" s="384"/>
      <c r="AL93" s="444"/>
      <c r="AM93" s="384"/>
      <c r="AN93" s="384"/>
      <c r="AO93" s="411" t="s">
        <v>928</v>
      </c>
      <c r="AP93" s="385" t="s">
        <v>1157</v>
      </c>
      <c r="AQ93" s="385"/>
    </row>
    <row r="94" spans="1:43" ht="30">
      <c r="A94" s="437" t="s">
        <v>1166</v>
      </c>
      <c r="B94" s="470" t="s">
        <v>1167</v>
      </c>
      <c r="C94" s="23">
        <f t="shared" si="67"/>
        <v>4</v>
      </c>
      <c r="D94" s="447" t="s">
        <v>52</v>
      </c>
      <c r="E94" s="455" t="s">
        <v>1168</v>
      </c>
      <c r="F94" s="440" t="s">
        <v>52</v>
      </c>
      <c r="G94" s="448">
        <f t="shared" si="63"/>
        <v>0.34600488261531964</v>
      </c>
      <c r="H94" s="448"/>
      <c r="I94" s="382">
        <v>30</v>
      </c>
      <c r="J94" s="383">
        <v>1</v>
      </c>
      <c r="K94" s="383"/>
      <c r="L94" s="383"/>
      <c r="M94" s="384">
        <v>1415</v>
      </c>
      <c r="N94" s="384"/>
      <c r="O94" s="384"/>
      <c r="P94" s="383">
        <v>1</v>
      </c>
      <c r="Q94" s="383"/>
      <c r="R94" s="383"/>
      <c r="S94" s="384">
        <v>1415</v>
      </c>
      <c r="T94" s="384"/>
      <c r="U94" s="384"/>
      <c r="V94" s="383">
        <v>1</v>
      </c>
      <c r="W94" s="383"/>
      <c r="X94" s="383"/>
      <c r="Y94" s="384">
        <v>1415</v>
      </c>
      <c r="Z94" s="384"/>
      <c r="AA94" s="384"/>
      <c r="AB94" s="383">
        <v>1</v>
      </c>
      <c r="AC94" s="383"/>
      <c r="AD94" s="383"/>
      <c r="AE94" s="384">
        <v>1410</v>
      </c>
      <c r="AF94" s="384"/>
      <c r="AG94" s="384"/>
      <c r="AH94" s="443">
        <v>5655</v>
      </c>
      <c r="AI94" s="384">
        <v>5655</v>
      </c>
      <c r="AJ94" s="384"/>
      <c r="AK94" s="384"/>
      <c r="AL94" s="444"/>
      <c r="AM94" s="384"/>
      <c r="AN94" s="384"/>
      <c r="AO94" s="411" t="s">
        <v>928</v>
      </c>
      <c r="AP94" s="385" t="s">
        <v>1157</v>
      </c>
      <c r="AQ94" s="385"/>
    </row>
    <row r="95" spans="1:43" ht="30">
      <c r="A95" s="428" t="s">
        <v>1169</v>
      </c>
      <c r="B95" s="429" t="s">
        <v>1170</v>
      </c>
      <c r="C95" s="430"/>
      <c r="D95" s="450"/>
      <c r="E95" s="429"/>
      <c r="F95" s="432"/>
      <c r="G95" s="433">
        <f t="shared" si="63"/>
        <v>3.853166663607384</v>
      </c>
      <c r="H95" s="433"/>
      <c r="I95" s="451"/>
      <c r="J95" s="430"/>
      <c r="K95" s="430"/>
      <c r="L95" s="430"/>
      <c r="M95" s="452">
        <v>2100</v>
      </c>
      <c r="N95" s="452">
        <v>2100</v>
      </c>
      <c r="O95" s="452">
        <v>20995</v>
      </c>
      <c r="P95" s="430"/>
      <c r="Q95" s="430"/>
      <c r="R95" s="430"/>
      <c r="S95" s="452">
        <v>2100</v>
      </c>
      <c r="T95" s="452">
        <v>2100</v>
      </c>
      <c r="U95" s="452">
        <v>10285</v>
      </c>
      <c r="V95" s="430"/>
      <c r="W95" s="430"/>
      <c r="X95" s="430"/>
      <c r="Y95" s="452">
        <v>2100</v>
      </c>
      <c r="Z95" s="452">
        <v>2100</v>
      </c>
      <c r="AA95" s="452">
        <v>2100</v>
      </c>
      <c r="AB95" s="430"/>
      <c r="AC95" s="430"/>
      <c r="AD95" s="430"/>
      <c r="AE95" s="452">
        <v>2100</v>
      </c>
      <c r="AF95" s="452">
        <v>2100</v>
      </c>
      <c r="AG95" s="452">
        <v>12795</v>
      </c>
      <c r="AH95" s="452">
        <v>62975</v>
      </c>
      <c r="AI95" s="452">
        <v>54540</v>
      </c>
      <c r="AJ95" s="452"/>
      <c r="AK95" s="452"/>
      <c r="AL95" s="452">
        <v>8435</v>
      </c>
      <c r="AM95" s="452"/>
      <c r="AN95" s="452"/>
      <c r="AO95" s="453"/>
      <c r="AP95" s="454"/>
      <c r="AQ95" s="454"/>
    </row>
    <row r="96" spans="1:43" ht="90">
      <c r="A96" s="437" t="s">
        <v>1171</v>
      </c>
      <c r="B96" s="455" t="s">
        <v>1172</v>
      </c>
      <c r="C96" s="23">
        <f t="shared" ref="C96:C102" si="68">SUM(J96,K96,L96,P96,Q96,R96,V96,W96,X96,AB96,AC96,AD96)</f>
        <v>48</v>
      </c>
      <c r="D96" s="471" t="s">
        <v>1173</v>
      </c>
      <c r="E96" s="455" t="s">
        <v>1174</v>
      </c>
      <c r="F96" s="440" t="s">
        <v>1175</v>
      </c>
      <c r="G96" s="448">
        <f t="shared" si="63"/>
        <v>1.5412666654429534</v>
      </c>
      <c r="H96" s="448"/>
      <c r="I96" s="382">
        <v>40</v>
      </c>
      <c r="J96" s="383">
        <v>4</v>
      </c>
      <c r="K96" s="383">
        <v>4</v>
      </c>
      <c r="L96" s="383">
        <v>4</v>
      </c>
      <c r="M96" s="384">
        <v>2100</v>
      </c>
      <c r="N96" s="384">
        <v>2100</v>
      </c>
      <c r="O96" s="384">
        <v>2100</v>
      </c>
      <c r="P96" s="383">
        <v>4</v>
      </c>
      <c r="Q96" s="383">
        <v>4</v>
      </c>
      <c r="R96" s="383">
        <v>4</v>
      </c>
      <c r="S96" s="384">
        <v>2100</v>
      </c>
      <c r="T96" s="384">
        <v>2100</v>
      </c>
      <c r="U96" s="384">
        <v>2100</v>
      </c>
      <c r="V96" s="383">
        <v>4</v>
      </c>
      <c r="W96" s="383">
        <v>4</v>
      </c>
      <c r="X96" s="383">
        <v>4</v>
      </c>
      <c r="Y96" s="384">
        <v>2100</v>
      </c>
      <c r="Z96" s="384">
        <v>2100</v>
      </c>
      <c r="AA96" s="384">
        <v>2100</v>
      </c>
      <c r="AB96" s="383">
        <v>4</v>
      </c>
      <c r="AC96" s="383">
        <v>4</v>
      </c>
      <c r="AD96" s="383">
        <v>4</v>
      </c>
      <c r="AE96" s="384">
        <v>2100</v>
      </c>
      <c r="AF96" s="384">
        <v>2100</v>
      </c>
      <c r="AG96" s="384">
        <v>2090</v>
      </c>
      <c r="AH96" s="443">
        <v>25190</v>
      </c>
      <c r="AI96" s="384">
        <v>21815</v>
      </c>
      <c r="AJ96" s="384"/>
      <c r="AK96" s="384"/>
      <c r="AL96" s="384">
        <v>3375</v>
      </c>
      <c r="AM96" s="384"/>
      <c r="AN96" s="384"/>
      <c r="AO96" s="411" t="s">
        <v>928</v>
      </c>
      <c r="AP96" s="385" t="s">
        <v>1176</v>
      </c>
      <c r="AQ96" s="385"/>
    </row>
    <row r="97" spans="1:43" ht="45">
      <c r="A97" s="437" t="s">
        <v>1177</v>
      </c>
      <c r="B97" s="455" t="s">
        <v>1178</v>
      </c>
      <c r="C97" s="23">
        <f t="shared" si="68"/>
        <v>1</v>
      </c>
      <c r="D97" s="447" t="s">
        <v>1179</v>
      </c>
      <c r="E97" s="455" t="s">
        <v>1180</v>
      </c>
      <c r="F97" s="440" t="s">
        <v>1181</v>
      </c>
      <c r="G97" s="448">
        <f t="shared" si="63"/>
        <v>0.30837570439986051</v>
      </c>
      <c r="H97" s="448"/>
      <c r="I97" s="382">
        <v>8</v>
      </c>
      <c r="J97" s="383"/>
      <c r="K97" s="383"/>
      <c r="L97" s="383">
        <v>1</v>
      </c>
      <c r="M97" s="384"/>
      <c r="N97" s="384"/>
      <c r="O97" s="384">
        <v>5040</v>
      </c>
      <c r="P97" s="383"/>
      <c r="Q97" s="383"/>
      <c r="R97" s="383"/>
      <c r="S97" s="384"/>
      <c r="T97" s="384"/>
      <c r="U97" s="384"/>
      <c r="V97" s="383"/>
      <c r="W97" s="383"/>
      <c r="X97" s="383"/>
      <c r="Y97" s="384"/>
      <c r="Z97" s="384"/>
      <c r="AA97" s="384"/>
      <c r="AB97" s="383"/>
      <c r="AC97" s="383"/>
      <c r="AD97" s="383"/>
      <c r="AE97" s="384"/>
      <c r="AF97" s="384"/>
      <c r="AG97" s="384"/>
      <c r="AH97" s="443">
        <v>5040</v>
      </c>
      <c r="AI97" s="384">
        <v>4365</v>
      </c>
      <c r="AJ97" s="384"/>
      <c r="AK97" s="384"/>
      <c r="AL97" s="384">
        <v>675</v>
      </c>
      <c r="AM97" s="384"/>
      <c r="AN97" s="384"/>
      <c r="AO97" s="411" t="s">
        <v>928</v>
      </c>
      <c r="AP97" s="385" t="s">
        <v>1176</v>
      </c>
      <c r="AQ97" s="385"/>
    </row>
    <row r="98" spans="1:43" ht="45">
      <c r="A98" s="437" t="s">
        <v>1182</v>
      </c>
      <c r="B98" s="455" t="s">
        <v>1183</v>
      </c>
      <c r="C98" s="23">
        <f t="shared" si="68"/>
        <v>1</v>
      </c>
      <c r="D98" s="447" t="s">
        <v>1184</v>
      </c>
      <c r="E98" s="455" t="s">
        <v>1185</v>
      </c>
      <c r="F98" s="440" t="s">
        <v>1186</v>
      </c>
      <c r="G98" s="472">
        <f t="shared" si="63"/>
        <v>0.46256355659979076</v>
      </c>
      <c r="H98" s="472"/>
      <c r="I98" s="473">
        <v>12</v>
      </c>
      <c r="J98" s="474"/>
      <c r="K98" s="474"/>
      <c r="L98" s="474"/>
      <c r="M98" s="384"/>
      <c r="N98" s="384"/>
      <c r="O98" s="384"/>
      <c r="P98" s="474"/>
      <c r="Q98" s="474"/>
      <c r="R98" s="474"/>
      <c r="S98" s="384"/>
      <c r="T98" s="384"/>
      <c r="U98" s="384"/>
      <c r="V98" s="474"/>
      <c r="W98" s="474"/>
      <c r="X98" s="474"/>
      <c r="Y98" s="384"/>
      <c r="Z98" s="384"/>
      <c r="AA98" s="384"/>
      <c r="AB98" s="474"/>
      <c r="AC98" s="474"/>
      <c r="AD98" s="474">
        <v>1</v>
      </c>
      <c r="AE98" s="384"/>
      <c r="AF98" s="384"/>
      <c r="AG98" s="384">
        <v>7560</v>
      </c>
      <c r="AH98" s="443">
        <v>7560</v>
      </c>
      <c r="AI98" s="384">
        <v>6545</v>
      </c>
      <c r="AJ98" s="384"/>
      <c r="AK98" s="384"/>
      <c r="AL98" s="384">
        <v>1015</v>
      </c>
      <c r="AM98" s="475"/>
      <c r="AN98" s="475"/>
      <c r="AO98" s="476" t="s">
        <v>928</v>
      </c>
      <c r="AP98" s="469" t="s">
        <v>1176</v>
      </c>
      <c r="AQ98" s="469"/>
    </row>
    <row r="99" spans="1:43" ht="45">
      <c r="A99" s="437" t="s">
        <v>1187</v>
      </c>
      <c r="B99" s="477" t="s">
        <v>1188</v>
      </c>
      <c r="C99" s="23">
        <f t="shared" si="68"/>
        <v>1</v>
      </c>
      <c r="D99" s="478" t="s">
        <v>1189</v>
      </c>
      <c r="E99" s="477" t="s">
        <v>1190</v>
      </c>
      <c r="F99" s="479" t="s">
        <v>1186</v>
      </c>
      <c r="G99" s="472">
        <f t="shared" si="63"/>
        <v>0.26982874134987794</v>
      </c>
      <c r="H99" s="472"/>
      <c r="I99" s="473">
        <v>7</v>
      </c>
      <c r="J99" s="474"/>
      <c r="K99" s="474"/>
      <c r="L99" s="474">
        <v>1</v>
      </c>
      <c r="M99" s="384"/>
      <c r="N99" s="384"/>
      <c r="O99" s="384">
        <v>4410</v>
      </c>
      <c r="P99" s="474"/>
      <c r="Q99" s="474"/>
      <c r="R99" s="474"/>
      <c r="S99" s="384"/>
      <c r="T99" s="384"/>
      <c r="U99" s="384"/>
      <c r="V99" s="474"/>
      <c r="W99" s="474"/>
      <c r="X99" s="474"/>
      <c r="Y99" s="384"/>
      <c r="Z99" s="384"/>
      <c r="AA99" s="384"/>
      <c r="AB99" s="474"/>
      <c r="AC99" s="474"/>
      <c r="AD99" s="474"/>
      <c r="AE99" s="384"/>
      <c r="AF99" s="384"/>
      <c r="AG99" s="384"/>
      <c r="AH99" s="443">
        <v>4410</v>
      </c>
      <c r="AI99" s="384">
        <v>3820</v>
      </c>
      <c r="AJ99" s="384"/>
      <c r="AK99" s="384"/>
      <c r="AL99" s="384">
        <v>590</v>
      </c>
      <c r="AM99" s="475"/>
      <c r="AN99" s="475"/>
      <c r="AO99" s="476" t="s">
        <v>928</v>
      </c>
      <c r="AP99" s="469" t="s">
        <v>1176</v>
      </c>
      <c r="AQ99" s="469"/>
    </row>
    <row r="100" spans="1:43" ht="30">
      <c r="A100" s="437" t="s">
        <v>1191</v>
      </c>
      <c r="B100" s="477" t="s">
        <v>1192</v>
      </c>
      <c r="C100" s="23">
        <f t="shared" si="68"/>
        <v>1</v>
      </c>
      <c r="D100" s="478" t="s">
        <v>1189</v>
      </c>
      <c r="E100" s="477" t="s">
        <v>1193</v>
      </c>
      <c r="F100" s="479" t="s">
        <v>1194</v>
      </c>
      <c r="G100" s="472">
        <f t="shared" si="63"/>
        <v>0.50080459137159883</v>
      </c>
      <c r="H100" s="472"/>
      <c r="I100" s="473">
        <v>13</v>
      </c>
      <c r="J100" s="474"/>
      <c r="K100" s="474"/>
      <c r="L100" s="474"/>
      <c r="M100" s="384"/>
      <c r="N100" s="384"/>
      <c r="O100" s="384"/>
      <c r="P100" s="474"/>
      <c r="Q100" s="474"/>
      <c r="R100" s="474">
        <v>1</v>
      </c>
      <c r="S100" s="384"/>
      <c r="T100" s="384"/>
      <c r="U100" s="384">
        <v>8185</v>
      </c>
      <c r="V100" s="474"/>
      <c r="W100" s="474"/>
      <c r="X100" s="474"/>
      <c r="Y100" s="384"/>
      <c r="Z100" s="384"/>
      <c r="AA100" s="384"/>
      <c r="AB100" s="474"/>
      <c r="AC100" s="474"/>
      <c r="AD100" s="474"/>
      <c r="AE100" s="384"/>
      <c r="AF100" s="384"/>
      <c r="AG100" s="384"/>
      <c r="AH100" s="443">
        <v>8185</v>
      </c>
      <c r="AI100" s="384">
        <v>7090</v>
      </c>
      <c r="AJ100" s="384"/>
      <c r="AK100" s="384"/>
      <c r="AL100" s="384">
        <v>1095</v>
      </c>
      <c r="AM100" s="475"/>
      <c r="AN100" s="475"/>
      <c r="AO100" s="476" t="s">
        <v>928</v>
      </c>
      <c r="AP100" s="469" t="s">
        <v>1176</v>
      </c>
      <c r="AQ100" s="469"/>
    </row>
    <row r="101" spans="1:43" ht="75">
      <c r="A101" s="437" t="s">
        <v>1195</v>
      </c>
      <c r="B101" s="477" t="s">
        <v>1196</v>
      </c>
      <c r="C101" s="23">
        <f t="shared" si="68"/>
        <v>1</v>
      </c>
      <c r="D101" s="478" t="s">
        <v>1189</v>
      </c>
      <c r="E101" s="480" t="s">
        <v>1197</v>
      </c>
      <c r="F101" s="479" t="s">
        <v>1198</v>
      </c>
      <c r="G101" s="472">
        <f t="shared" si="63"/>
        <v>0.19242888697173835</v>
      </c>
      <c r="H101" s="472"/>
      <c r="I101" s="473">
        <v>5</v>
      </c>
      <c r="J101" s="474"/>
      <c r="K101" s="474"/>
      <c r="L101" s="474"/>
      <c r="M101" s="384"/>
      <c r="N101" s="384"/>
      <c r="O101" s="384"/>
      <c r="P101" s="474"/>
      <c r="Q101" s="474"/>
      <c r="R101" s="474"/>
      <c r="S101" s="384"/>
      <c r="T101" s="384"/>
      <c r="U101" s="384"/>
      <c r="V101" s="474"/>
      <c r="W101" s="474"/>
      <c r="X101" s="474"/>
      <c r="Y101" s="384"/>
      <c r="Z101" s="384"/>
      <c r="AA101" s="384"/>
      <c r="AB101" s="474"/>
      <c r="AC101" s="474"/>
      <c r="AD101" s="474">
        <v>1</v>
      </c>
      <c r="AE101" s="384"/>
      <c r="AF101" s="384"/>
      <c r="AG101" s="384">
        <v>3145</v>
      </c>
      <c r="AH101" s="443">
        <v>3145</v>
      </c>
      <c r="AI101" s="384">
        <v>2725</v>
      </c>
      <c r="AJ101" s="384"/>
      <c r="AK101" s="384"/>
      <c r="AL101" s="384">
        <v>420</v>
      </c>
      <c r="AM101" s="475"/>
      <c r="AN101" s="475"/>
      <c r="AO101" s="476" t="s">
        <v>928</v>
      </c>
      <c r="AP101" s="469" t="s">
        <v>1176</v>
      </c>
      <c r="AQ101" s="469"/>
    </row>
    <row r="102" spans="1:43" ht="60">
      <c r="A102" s="437" t="s">
        <v>1199</v>
      </c>
      <c r="B102" s="480" t="s">
        <v>1200</v>
      </c>
      <c r="C102" s="23">
        <f t="shared" si="68"/>
        <v>1</v>
      </c>
      <c r="D102" s="478" t="s">
        <v>1189</v>
      </c>
      <c r="E102" s="477" t="s">
        <v>1201</v>
      </c>
      <c r="F102" s="481" t="s">
        <v>1202</v>
      </c>
      <c r="G102" s="472">
        <f t="shared" si="63"/>
        <v>0.57789851747156396</v>
      </c>
      <c r="H102" s="472"/>
      <c r="I102" s="473">
        <v>15</v>
      </c>
      <c r="J102" s="474"/>
      <c r="K102" s="474"/>
      <c r="L102" s="474">
        <v>1</v>
      </c>
      <c r="M102" s="384"/>
      <c r="N102" s="384"/>
      <c r="O102" s="384">
        <v>9445</v>
      </c>
      <c r="P102" s="474"/>
      <c r="Q102" s="474"/>
      <c r="R102" s="474"/>
      <c r="S102" s="384"/>
      <c r="T102" s="384"/>
      <c r="U102" s="384"/>
      <c r="V102" s="474"/>
      <c r="W102" s="474"/>
      <c r="X102" s="474"/>
      <c r="Y102" s="384"/>
      <c r="Z102" s="384"/>
      <c r="AA102" s="384"/>
      <c r="AB102" s="474"/>
      <c r="AC102" s="474"/>
      <c r="AD102" s="474"/>
      <c r="AE102" s="384"/>
      <c r="AF102" s="384"/>
      <c r="AG102" s="384"/>
      <c r="AH102" s="443">
        <v>9445</v>
      </c>
      <c r="AI102" s="384">
        <v>8180</v>
      </c>
      <c r="AJ102" s="384"/>
      <c r="AK102" s="384"/>
      <c r="AL102" s="384">
        <v>1265</v>
      </c>
      <c r="AM102" s="475"/>
      <c r="AN102" s="475"/>
      <c r="AO102" s="476" t="s">
        <v>928</v>
      </c>
      <c r="AP102" s="469" t="s">
        <v>1176</v>
      </c>
      <c r="AQ102" s="469"/>
    </row>
    <row r="103" spans="1:43" ht="15">
      <c r="A103" s="428" t="s">
        <v>1203</v>
      </c>
      <c r="B103" s="429" t="s">
        <v>1204</v>
      </c>
      <c r="C103" s="430"/>
      <c r="D103" s="450"/>
      <c r="E103" s="429"/>
      <c r="F103" s="432"/>
      <c r="G103" s="433">
        <f t="shared" si="63"/>
        <v>4.2117146056278569</v>
      </c>
      <c r="H103" s="433"/>
      <c r="I103" s="451"/>
      <c r="J103" s="430"/>
      <c r="K103" s="430"/>
      <c r="L103" s="430"/>
      <c r="M103" s="452">
        <v>3440</v>
      </c>
      <c r="N103" s="452">
        <v>3440</v>
      </c>
      <c r="O103" s="452">
        <v>8030</v>
      </c>
      <c r="P103" s="430"/>
      <c r="Q103" s="430"/>
      <c r="R103" s="430"/>
      <c r="S103" s="452">
        <v>3440</v>
      </c>
      <c r="T103" s="452">
        <v>3440</v>
      </c>
      <c r="U103" s="452">
        <v>8030</v>
      </c>
      <c r="V103" s="430"/>
      <c r="W103" s="430"/>
      <c r="X103" s="430"/>
      <c r="Y103" s="452">
        <v>3440</v>
      </c>
      <c r="Z103" s="452">
        <v>3440</v>
      </c>
      <c r="AA103" s="452">
        <v>12620</v>
      </c>
      <c r="AB103" s="430"/>
      <c r="AC103" s="430"/>
      <c r="AD103" s="430"/>
      <c r="AE103" s="452">
        <v>3440</v>
      </c>
      <c r="AF103" s="452">
        <v>3440</v>
      </c>
      <c r="AG103" s="452">
        <v>12635</v>
      </c>
      <c r="AH103" s="452">
        <v>68835</v>
      </c>
      <c r="AI103" s="452">
        <v>67600</v>
      </c>
      <c r="AJ103" s="452"/>
      <c r="AK103" s="452"/>
      <c r="AL103" s="452">
        <v>1235</v>
      </c>
      <c r="AM103" s="452"/>
      <c r="AN103" s="452"/>
      <c r="AO103" s="453"/>
      <c r="AP103" s="454"/>
      <c r="AQ103" s="454"/>
    </row>
    <row r="104" spans="1:43" ht="60">
      <c r="A104" s="437" t="s">
        <v>1205</v>
      </c>
      <c r="B104" s="455" t="s">
        <v>1206</v>
      </c>
      <c r="C104" s="23">
        <f t="shared" ref="C104:C106" si="69">SUM(J104,K104,L104,P104,Q104,R104,V104,W104,X104,AB104,AC104,AD104)</f>
        <v>12</v>
      </c>
      <c r="D104" s="471" t="s">
        <v>52</v>
      </c>
      <c r="E104" s="455" t="s">
        <v>1207</v>
      </c>
      <c r="F104" s="440" t="s">
        <v>52</v>
      </c>
      <c r="G104" s="448">
        <f t="shared" si="63"/>
        <v>1.2634837888605395</v>
      </c>
      <c r="H104" s="448"/>
      <c r="I104" s="382">
        <v>30</v>
      </c>
      <c r="J104" s="383">
        <v>1</v>
      </c>
      <c r="K104" s="383">
        <v>1</v>
      </c>
      <c r="L104" s="383">
        <v>1</v>
      </c>
      <c r="M104" s="384">
        <v>1720</v>
      </c>
      <c r="N104" s="384">
        <v>1720</v>
      </c>
      <c r="O104" s="384">
        <v>1720</v>
      </c>
      <c r="P104" s="383">
        <v>1</v>
      </c>
      <c r="Q104" s="383">
        <v>1</v>
      </c>
      <c r="R104" s="383">
        <v>1</v>
      </c>
      <c r="S104" s="384">
        <v>1720</v>
      </c>
      <c r="T104" s="384">
        <v>1720</v>
      </c>
      <c r="U104" s="384">
        <v>1720</v>
      </c>
      <c r="V104" s="383">
        <v>1</v>
      </c>
      <c r="W104" s="383">
        <v>1</v>
      </c>
      <c r="X104" s="383">
        <v>1</v>
      </c>
      <c r="Y104" s="384">
        <v>1720</v>
      </c>
      <c r="Z104" s="384">
        <v>1720</v>
      </c>
      <c r="AA104" s="384">
        <v>1720</v>
      </c>
      <c r="AB104" s="383">
        <v>1</v>
      </c>
      <c r="AC104" s="383">
        <v>1</v>
      </c>
      <c r="AD104" s="383">
        <v>1</v>
      </c>
      <c r="AE104" s="384">
        <v>1720</v>
      </c>
      <c r="AF104" s="384">
        <v>1720</v>
      </c>
      <c r="AG104" s="384">
        <v>1730</v>
      </c>
      <c r="AH104" s="443">
        <v>20650</v>
      </c>
      <c r="AI104" s="384">
        <v>20280</v>
      </c>
      <c r="AJ104" s="384"/>
      <c r="AK104" s="384"/>
      <c r="AL104" s="384">
        <v>370</v>
      </c>
      <c r="AM104" s="384"/>
      <c r="AN104" s="384"/>
      <c r="AO104" s="476" t="s">
        <v>928</v>
      </c>
      <c r="AP104" s="385" t="s">
        <v>1208</v>
      </c>
      <c r="AQ104" s="385"/>
    </row>
    <row r="105" spans="1:43" ht="60">
      <c r="A105" s="437" t="s">
        <v>1209</v>
      </c>
      <c r="B105" s="455" t="s">
        <v>1210</v>
      </c>
      <c r="C105" s="23">
        <f t="shared" si="69"/>
        <v>12</v>
      </c>
      <c r="D105" s="471" t="s">
        <v>52</v>
      </c>
      <c r="E105" s="455" t="s">
        <v>1211</v>
      </c>
      <c r="F105" s="440" t="s">
        <v>52</v>
      </c>
      <c r="G105" s="448">
        <f t="shared" si="63"/>
        <v>1.2634837888605395</v>
      </c>
      <c r="H105" s="448"/>
      <c r="I105" s="382">
        <v>30</v>
      </c>
      <c r="J105" s="383">
        <v>1</v>
      </c>
      <c r="K105" s="383">
        <v>1</v>
      </c>
      <c r="L105" s="383">
        <v>1</v>
      </c>
      <c r="M105" s="384">
        <v>1720</v>
      </c>
      <c r="N105" s="384">
        <v>1720</v>
      </c>
      <c r="O105" s="384">
        <v>1720</v>
      </c>
      <c r="P105" s="383">
        <v>1</v>
      </c>
      <c r="Q105" s="383">
        <v>1</v>
      </c>
      <c r="R105" s="383">
        <v>1</v>
      </c>
      <c r="S105" s="384">
        <v>1720</v>
      </c>
      <c r="T105" s="384">
        <v>1720</v>
      </c>
      <c r="U105" s="384">
        <v>1720</v>
      </c>
      <c r="V105" s="383">
        <v>1</v>
      </c>
      <c r="W105" s="383">
        <v>1</v>
      </c>
      <c r="X105" s="383">
        <v>1</v>
      </c>
      <c r="Y105" s="384">
        <v>1720</v>
      </c>
      <c r="Z105" s="384">
        <v>1720</v>
      </c>
      <c r="AA105" s="384">
        <v>1720</v>
      </c>
      <c r="AB105" s="383">
        <v>1</v>
      </c>
      <c r="AC105" s="383">
        <v>1</v>
      </c>
      <c r="AD105" s="383">
        <v>1</v>
      </c>
      <c r="AE105" s="384">
        <v>1720</v>
      </c>
      <c r="AF105" s="384">
        <v>1720</v>
      </c>
      <c r="AG105" s="384">
        <v>1730</v>
      </c>
      <c r="AH105" s="443">
        <v>20650</v>
      </c>
      <c r="AI105" s="384">
        <v>20280</v>
      </c>
      <c r="AJ105" s="384"/>
      <c r="AK105" s="384"/>
      <c r="AL105" s="384">
        <v>370</v>
      </c>
      <c r="AM105" s="384"/>
      <c r="AN105" s="384"/>
      <c r="AO105" s="476" t="s">
        <v>928</v>
      </c>
      <c r="AP105" s="385" t="s">
        <v>1208</v>
      </c>
      <c r="AQ105" s="385"/>
    </row>
    <row r="106" spans="1:43" ht="30">
      <c r="A106" s="437" t="s">
        <v>1212</v>
      </c>
      <c r="B106" s="455" t="s">
        <v>1213</v>
      </c>
      <c r="C106" s="23">
        <f t="shared" si="69"/>
        <v>6</v>
      </c>
      <c r="D106" s="471" t="s">
        <v>159</v>
      </c>
      <c r="E106" s="455" t="s">
        <v>1214</v>
      </c>
      <c r="F106" s="440" t="s">
        <v>57</v>
      </c>
      <c r="G106" s="448">
        <f t="shared" si="63"/>
        <v>1.6847470279067776</v>
      </c>
      <c r="H106" s="448"/>
      <c r="I106" s="382">
        <v>40</v>
      </c>
      <c r="J106" s="383"/>
      <c r="K106" s="383"/>
      <c r="L106" s="383">
        <v>1</v>
      </c>
      <c r="M106" s="384"/>
      <c r="N106" s="384"/>
      <c r="O106" s="384">
        <v>4590</v>
      </c>
      <c r="P106" s="383"/>
      <c r="Q106" s="383"/>
      <c r="R106" s="383">
        <v>1</v>
      </c>
      <c r="S106" s="384"/>
      <c r="T106" s="384"/>
      <c r="U106" s="384">
        <v>4590</v>
      </c>
      <c r="V106" s="383"/>
      <c r="W106" s="383"/>
      <c r="X106" s="383">
        <v>2</v>
      </c>
      <c r="Y106" s="384"/>
      <c r="Z106" s="384"/>
      <c r="AA106" s="384">
        <v>9180</v>
      </c>
      <c r="AB106" s="383"/>
      <c r="AC106" s="383"/>
      <c r="AD106" s="383">
        <v>2</v>
      </c>
      <c r="AE106" s="384"/>
      <c r="AF106" s="384"/>
      <c r="AG106" s="384">
        <v>9175</v>
      </c>
      <c r="AH106" s="443">
        <v>27535</v>
      </c>
      <c r="AI106" s="384">
        <v>27040</v>
      </c>
      <c r="AJ106" s="384"/>
      <c r="AK106" s="384"/>
      <c r="AL106" s="384">
        <v>495</v>
      </c>
      <c r="AM106" s="384"/>
      <c r="AN106" s="384"/>
      <c r="AO106" s="476" t="s">
        <v>928</v>
      </c>
      <c r="AP106" s="385" t="s">
        <v>1208</v>
      </c>
      <c r="AQ106" s="385"/>
    </row>
    <row r="107" spans="1:43" ht="15">
      <c r="A107" s="428" t="s">
        <v>1215</v>
      </c>
      <c r="B107" s="429" t="s">
        <v>1216</v>
      </c>
      <c r="C107" s="430"/>
      <c r="D107" s="450"/>
      <c r="E107" s="429"/>
      <c r="F107" s="432"/>
      <c r="G107" s="433">
        <f t="shared" si="63"/>
        <v>3.9054803991752172</v>
      </c>
      <c r="H107" s="433"/>
      <c r="I107" s="451"/>
      <c r="J107" s="430"/>
      <c r="K107" s="430"/>
      <c r="L107" s="430"/>
      <c r="M107" s="452">
        <v>4520</v>
      </c>
      <c r="N107" s="452">
        <v>4520</v>
      </c>
      <c r="O107" s="452">
        <v>6915</v>
      </c>
      <c r="P107" s="430"/>
      <c r="Q107" s="430"/>
      <c r="R107" s="430"/>
      <c r="S107" s="452">
        <v>4520</v>
      </c>
      <c r="T107" s="452">
        <v>4520</v>
      </c>
      <c r="U107" s="452">
        <v>6915</v>
      </c>
      <c r="V107" s="430"/>
      <c r="W107" s="430"/>
      <c r="X107" s="430"/>
      <c r="Y107" s="452">
        <v>4520</v>
      </c>
      <c r="Z107" s="452">
        <v>4520</v>
      </c>
      <c r="AA107" s="452">
        <v>6915</v>
      </c>
      <c r="AB107" s="430"/>
      <c r="AC107" s="430"/>
      <c r="AD107" s="430"/>
      <c r="AE107" s="452">
        <v>4520</v>
      </c>
      <c r="AF107" s="452">
        <v>4520</v>
      </c>
      <c r="AG107" s="452">
        <v>6925</v>
      </c>
      <c r="AH107" s="452">
        <v>63830</v>
      </c>
      <c r="AI107" s="452">
        <v>61990</v>
      </c>
      <c r="AJ107" s="452"/>
      <c r="AK107" s="452"/>
      <c r="AL107" s="452">
        <v>1840</v>
      </c>
      <c r="AM107" s="452"/>
      <c r="AN107" s="452"/>
      <c r="AO107" s="453"/>
      <c r="AP107" s="454"/>
      <c r="AQ107" s="454"/>
    </row>
    <row r="108" spans="1:43" ht="75">
      <c r="A108" s="437" t="s">
        <v>1217</v>
      </c>
      <c r="B108" s="455" t="s">
        <v>1218</v>
      </c>
      <c r="C108" s="23">
        <f t="shared" ref="C108:C111" si="70">SUM(J108,K108,L108,P108,Q108,R108,V108,W108,X108,AB108,AC108,AD108)</f>
        <v>12</v>
      </c>
      <c r="D108" s="447" t="s">
        <v>52</v>
      </c>
      <c r="E108" s="455" t="s">
        <v>1219</v>
      </c>
      <c r="F108" s="440" t="s">
        <v>1220</v>
      </c>
      <c r="G108" s="448">
        <f t="shared" si="63"/>
        <v>1.3668875468835087</v>
      </c>
      <c r="H108" s="448"/>
      <c r="I108" s="382">
        <v>35</v>
      </c>
      <c r="J108" s="383">
        <v>1</v>
      </c>
      <c r="K108" s="383">
        <v>1</v>
      </c>
      <c r="L108" s="383">
        <v>1</v>
      </c>
      <c r="M108" s="384">
        <v>1860</v>
      </c>
      <c r="N108" s="384">
        <v>1860</v>
      </c>
      <c r="O108" s="384">
        <v>1860</v>
      </c>
      <c r="P108" s="383">
        <v>1</v>
      </c>
      <c r="Q108" s="383">
        <v>1</v>
      </c>
      <c r="R108" s="383">
        <v>1</v>
      </c>
      <c r="S108" s="384">
        <v>1860</v>
      </c>
      <c r="T108" s="384">
        <v>1860</v>
      </c>
      <c r="U108" s="384">
        <v>1860</v>
      </c>
      <c r="V108" s="383">
        <v>1</v>
      </c>
      <c r="W108" s="383">
        <v>1</v>
      </c>
      <c r="X108" s="383">
        <v>1</v>
      </c>
      <c r="Y108" s="384">
        <v>1860</v>
      </c>
      <c r="Z108" s="384">
        <v>1860</v>
      </c>
      <c r="AA108" s="384">
        <v>1860</v>
      </c>
      <c r="AB108" s="383">
        <v>1</v>
      </c>
      <c r="AC108" s="383">
        <v>1</v>
      </c>
      <c r="AD108" s="383">
        <v>1</v>
      </c>
      <c r="AE108" s="384">
        <v>1860</v>
      </c>
      <c r="AF108" s="384">
        <v>1860</v>
      </c>
      <c r="AG108" s="384">
        <v>1880</v>
      </c>
      <c r="AH108" s="443">
        <v>22340</v>
      </c>
      <c r="AI108" s="384">
        <v>21695</v>
      </c>
      <c r="AJ108" s="384"/>
      <c r="AK108" s="384"/>
      <c r="AL108" s="384">
        <v>645</v>
      </c>
      <c r="AM108" s="384"/>
      <c r="AN108" s="384"/>
      <c r="AO108" s="411" t="s">
        <v>928</v>
      </c>
      <c r="AP108" s="385" t="s">
        <v>1221</v>
      </c>
      <c r="AQ108" s="385"/>
    </row>
    <row r="109" spans="1:43" ht="60">
      <c r="A109" s="437" t="s">
        <v>1222</v>
      </c>
      <c r="B109" s="455" t="s">
        <v>1223</v>
      </c>
      <c r="C109" s="23">
        <f t="shared" si="70"/>
        <v>12</v>
      </c>
      <c r="D109" s="447" t="s">
        <v>52</v>
      </c>
      <c r="E109" s="455" t="s">
        <v>1224</v>
      </c>
      <c r="F109" s="440" t="s">
        <v>1225</v>
      </c>
      <c r="G109" s="448">
        <f t="shared" si="63"/>
        <v>1.3668875468835087</v>
      </c>
      <c r="H109" s="448"/>
      <c r="I109" s="382">
        <v>35</v>
      </c>
      <c r="J109" s="383">
        <v>1</v>
      </c>
      <c r="K109" s="383">
        <v>1</v>
      </c>
      <c r="L109" s="383">
        <v>1</v>
      </c>
      <c r="M109" s="384">
        <v>1860</v>
      </c>
      <c r="N109" s="384">
        <v>1860</v>
      </c>
      <c r="O109" s="384">
        <v>1860</v>
      </c>
      <c r="P109" s="383">
        <v>1</v>
      </c>
      <c r="Q109" s="383">
        <v>1</v>
      </c>
      <c r="R109" s="383">
        <v>1</v>
      </c>
      <c r="S109" s="384">
        <v>1860</v>
      </c>
      <c r="T109" s="384">
        <v>1860</v>
      </c>
      <c r="U109" s="384">
        <v>1860</v>
      </c>
      <c r="V109" s="383">
        <v>1</v>
      </c>
      <c r="W109" s="383">
        <v>1</v>
      </c>
      <c r="X109" s="383">
        <v>1</v>
      </c>
      <c r="Y109" s="384">
        <v>1860</v>
      </c>
      <c r="Z109" s="384">
        <v>1860</v>
      </c>
      <c r="AA109" s="384">
        <v>1860</v>
      </c>
      <c r="AB109" s="383">
        <v>1</v>
      </c>
      <c r="AC109" s="383">
        <v>1</v>
      </c>
      <c r="AD109" s="383">
        <v>1</v>
      </c>
      <c r="AE109" s="384">
        <v>1860</v>
      </c>
      <c r="AF109" s="384">
        <v>1860</v>
      </c>
      <c r="AG109" s="384">
        <v>1880</v>
      </c>
      <c r="AH109" s="443">
        <v>22340</v>
      </c>
      <c r="AI109" s="384">
        <v>21695</v>
      </c>
      <c r="AJ109" s="384"/>
      <c r="AK109" s="384"/>
      <c r="AL109" s="384">
        <v>645</v>
      </c>
      <c r="AM109" s="384"/>
      <c r="AN109" s="384"/>
      <c r="AO109" s="411" t="s">
        <v>928</v>
      </c>
      <c r="AP109" s="385" t="s">
        <v>1221</v>
      </c>
      <c r="AQ109" s="385"/>
    </row>
    <row r="110" spans="1:43" ht="45">
      <c r="A110" s="437" t="s">
        <v>1226</v>
      </c>
      <c r="B110" s="455" t="s">
        <v>1227</v>
      </c>
      <c r="C110" s="23">
        <f t="shared" si="70"/>
        <v>12</v>
      </c>
      <c r="D110" s="447" t="s">
        <v>52</v>
      </c>
      <c r="E110" s="455" t="s">
        <v>1228</v>
      </c>
      <c r="F110" s="440" t="s">
        <v>1229</v>
      </c>
      <c r="G110" s="448">
        <f t="shared" si="63"/>
        <v>0.58585265270410003</v>
      </c>
      <c r="H110" s="448"/>
      <c r="I110" s="382">
        <v>15</v>
      </c>
      <c r="J110" s="383">
        <v>1</v>
      </c>
      <c r="K110" s="383">
        <v>1</v>
      </c>
      <c r="L110" s="383">
        <v>1</v>
      </c>
      <c r="M110" s="384">
        <v>800</v>
      </c>
      <c r="N110" s="384">
        <v>800</v>
      </c>
      <c r="O110" s="384">
        <v>800</v>
      </c>
      <c r="P110" s="383">
        <v>1</v>
      </c>
      <c r="Q110" s="383">
        <v>1</v>
      </c>
      <c r="R110" s="383">
        <v>1</v>
      </c>
      <c r="S110" s="384">
        <v>800</v>
      </c>
      <c r="T110" s="384">
        <v>800</v>
      </c>
      <c r="U110" s="384">
        <v>800</v>
      </c>
      <c r="V110" s="383">
        <v>1</v>
      </c>
      <c r="W110" s="383">
        <v>1</v>
      </c>
      <c r="X110" s="383">
        <v>1</v>
      </c>
      <c r="Y110" s="384">
        <v>800</v>
      </c>
      <c r="Z110" s="384">
        <v>800</v>
      </c>
      <c r="AA110" s="384">
        <v>800</v>
      </c>
      <c r="AB110" s="383">
        <v>1</v>
      </c>
      <c r="AC110" s="383">
        <v>1</v>
      </c>
      <c r="AD110" s="383">
        <v>1</v>
      </c>
      <c r="AE110" s="384">
        <v>800</v>
      </c>
      <c r="AF110" s="384">
        <v>800</v>
      </c>
      <c r="AG110" s="384">
        <v>775</v>
      </c>
      <c r="AH110" s="443">
        <v>9575</v>
      </c>
      <c r="AI110" s="384">
        <v>9300</v>
      </c>
      <c r="AJ110" s="384"/>
      <c r="AK110" s="384"/>
      <c r="AL110" s="384">
        <v>275</v>
      </c>
      <c r="AM110" s="384"/>
      <c r="AN110" s="384"/>
      <c r="AO110" s="411" t="s">
        <v>928</v>
      </c>
      <c r="AP110" s="385" t="s">
        <v>1221</v>
      </c>
      <c r="AQ110" s="385"/>
    </row>
    <row r="111" spans="1:43" ht="75">
      <c r="A111" s="437" t="s">
        <v>1230</v>
      </c>
      <c r="B111" s="469" t="s">
        <v>1231</v>
      </c>
      <c r="C111" s="23">
        <f t="shared" si="70"/>
        <v>4</v>
      </c>
      <c r="D111" s="447" t="s">
        <v>52</v>
      </c>
      <c r="E111" s="469" t="s">
        <v>1232</v>
      </c>
      <c r="F111" s="440" t="s">
        <v>1233</v>
      </c>
      <c r="G111" s="473">
        <f t="shared" si="63"/>
        <v>0.58585265270410003</v>
      </c>
      <c r="H111" s="473"/>
      <c r="I111" s="473">
        <v>15</v>
      </c>
      <c r="J111" s="482"/>
      <c r="K111" s="482"/>
      <c r="L111" s="482">
        <v>1</v>
      </c>
      <c r="M111" s="384"/>
      <c r="N111" s="384"/>
      <c r="O111" s="384">
        <v>2395</v>
      </c>
      <c r="P111" s="482"/>
      <c r="Q111" s="482"/>
      <c r="R111" s="482">
        <v>1</v>
      </c>
      <c r="S111" s="384"/>
      <c r="T111" s="384"/>
      <c r="U111" s="384">
        <v>2395</v>
      </c>
      <c r="V111" s="482"/>
      <c r="W111" s="482"/>
      <c r="X111" s="482">
        <v>1</v>
      </c>
      <c r="Y111" s="384"/>
      <c r="Z111" s="384"/>
      <c r="AA111" s="384">
        <v>2395</v>
      </c>
      <c r="AB111" s="482"/>
      <c r="AC111" s="482"/>
      <c r="AD111" s="482">
        <v>1</v>
      </c>
      <c r="AE111" s="384"/>
      <c r="AF111" s="384"/>
      <c r="AG111" s="384">
        <v>2390</v>
      </c>
      <c r="AH111" s="443">
        <v>9575</v>
      </c>
      <c r="AI111" s="384">
        <v>9300</v>
      </c>
      <c r="AJ111" s="384"/>
      <c r="AK111" s="384"/>
      <c r="AL111" s="384">
        <v>275</v>
      </c>
      <c r="AM111" s="475"/>
      <c r="AN111" s="475"/>
      <c r="AO111" s="411" t="s">
        <v>928</v>
      </c>
      <c r="AP111" s="385" t="s">
        <v>1234</v>
      </c>
      <c r="AQ111" s="469"/>
    </row>
    <row r="112" spans="1:43" ht="15">
      <c r="A112" s="428" t="s">
        <v>1235</v>
      </c>
      <c r="B112" s="429" t="s">
        <v>1236</v>
      </c>
      <c r="C112" s="430"/>
      <c r="D112" s="450"/>
      <c r="E112" s="429"/>
      <c r="F112" s="432"/>
      <c r="G112" s="433">
        <f t="shared" si="63"/>
        <v>10.981907401628762</v>
      </c>
      <c r="H112" s="433"/>
      <c r="I112" s="451"/>
      <c r="J112" s="430"/>
      <c r="K112" s="430"/>
      <c r="L112" s="430"/>
      <c r="M112" s="452">
        <v>5985</v>
      </c>
      <c r="N112" s="452">
        <v>5985</v>
      </c>
      <c r="O112" s="452">
        <v>5985</v>
      </c>
      <c r="P112" s="430"/>
      <c r="Q112" s="430"/>
      <c r="R112" s="430"/>
      <c r="S112" s="452">
        <v>5985</v>
      </c>
      <c r="T112" s="452">
        <v>5985</v>
      </c>
      <c r="U112" s="452">
        <v>5985</v>
      </c>
      <c r="V112" s="430"/>
      <c r="W112" s="430"/>
      <c r="X112" s="430"/>
      <c r="Y112" s="452">
        <v>41880</v>
      </c>
      <c r="Z112" s="452">
        <v>41880</v>
      </c>
      <c r="AA112" s="452">
        <v>41885</v>
      </c>
      <c r="AB112" s="430"/>
      <c r="AC112" s="430"/>
      <c r="AD112" s="430"/>
      <c r="AE112" s="452">
        <v>5985</v>
      </c>
      <c r="AF112" s="452">
        <v>5985</v>
      </c>
      <c r="AG112" s="452">
        <v>5960</v>
      </c>
      <c r="AH112" s="452">
        <v>179485</v>
      </c>
      <c r="AI112" s="452">
        <v>91345</v>
      </c>
      <c r="AJ112" s="452"/>
      <c r="AK112" s="452"/>
      <c r="AL112" s="452">
        <v>88140</v>
      </c>
      <c r="AM112" s="452"/>
      <c r="AN112" s="452"/>
      <c r="AO112" s="453"/>
      <c r="AP112" s="454"/>
      <c r="AQ112" s="454"/>
    </row>
    <row r="113" spans="1:43" ht="60">
      <c r="A113" s="437" t="s">
        <v>1237</v>
      </c>
      <c r="B113" s="469" t="s">
        <v>1238</v>
      </c>
      <c r="C113" s="23">
        <f t="shared" ref="C113:C114" si="71">SUM(J113,K113,L113,P113,Q113,R113,V113,W113,X113,AB113,AC113,AD113)</f>
        <v>3</v>
      </c>
      <c r="D113" s="465" t="s">
        <v>57</v>
      </c>
      <c r="E113" s="469" t="s">
        <v>1239</v>
      </c>
      <c r="F113" s="466" t="s">
        <v>1240</v>
      </c>
      <c r="G113" s="483">
        <f t="shared" si="63"/>
        <v>6.5890832553216221</v>
      </c>
      <c r="H113" s="483"/>
      <c r="I113" s="473">
        <v>60</v>
      </c>
      <c r="J113" s="484"/>
      <c r="K113" s="484"/>
      <c r="L113" s="484"/>
      <c r="M113" s="384"/>
      <c r="N113" s="384"/>
      <c r="O113" s="384"/>
      <c r="P113" s="484"/>
      <c r="Q113" s="484"/>
      <c r="R113" s="484"/>
      <c r="S113" s="384"/>
      <c r="T113" s="384"/>
      <c r="U113" s="384"/>
      <c r="V113" s="484">
        <v>1</v>
      </c>
      <c r="W113" s="484">
        <v>1</v>
      </c>
      <c r="X113" s="484">
        <v>1</v>
      </c>
      <c r="Y113" s="384">
        <v>35895</v>
      </c>
      <c r="Z113" s="384">
        <v>35895</v>
      </c>
      <c r="AA113" s="384">
        <v>35900</v>
      </c>
      <c r="AB113" s="484"/>
      <c r="AC113" s="484"/>
      <c r="AD113" s="484"/>
      <c r="AE113" s="384"/>
      <c r="AF113" s="384"/>
      <c r="AG113" s="384"/>
      <c r="AH113" s="443">
        <v>107690</v>
      </c>
      <c r="AI113" s="384">
        <v>54805</v>
      </c>
      <c r="AJ113" s="475"/>
      <c r="AK113" s="475"/>
      <c r="AL113" s="384">
        <v>52885</v>
      </c>
      <c r="AM113" s="475"/>
      <c r="AN113" s="475"/>
      <c r="AO113" s="476" t="s">
        <v>928</v>
      </c>
      <c r="AP113" s="469" t="s">
        <v>1062</v>
      </c>
      <c r="AQ113" s="469"/>
    </row>
    <row r="114" spans="1:43" ht="60">
      <c r="A114" s="437" t="s">
        <v>1241</v>
      </c>
      <c r="B114" s="469" t="s">
        <v>1242</v>
      </c>
      <c r="C114" s="23">
        <f t="shared" si="71"/>
        <v>12</v>
      </c>
      <c r="D114" s="465" t="s">
        <v>57</v>
      </c>
      <c r="E114" s="469" t="s">
        <v>1243</v>
      </c>
      <c r="F114" s="466" t="s">
        <v>57</v>
      </c>
      <c r="G114" s="448">
        <f t="shared" si="63"/>
        <v>4.3928241463071398</v>
      </c>
      <c r="H114" s="448"/>
      <c r="I114" s="382">
        <v>40</v>
      </c>
      <c r="J114" s="383">
        <v>1</v>
      </c>
      <c r="K114" s="383">
        <v>1</v>
      </c>
      <c r="L114" s="383">
        <v>1</v>
      </c>
      <c r="M114" s="384">
        <v>5985</v>
      </c>
      <c r="N114" s="384">
        <v>5985</v>
      </c>
      <c r="O114" s="384">
        <v>5985</v>
      </c>
      <c r="P114" s="383">
        <v>1</v>
      </c>
      <c r="Q114" s="383">
        <v>1</v>
      </c>
      <c r="R114" s="383">
        <v>1</v>
      </c>
      <c r="S114" s="384">
        <v>5985</v>
      </c>
      <c r="T114" s="384">
        <v>5985</v>
      </c>
      <c r="U114" s="384">
        <v>5985</v>
      </c>
      <c r="V114" s="383">
        <v>1</v>
      </c>
      <c r="W114" s="383">
        <v>1</v>
      </c>
      <c r="X114" s="383">
        <v>1</v>
      </c>
      <c r="Y114" s="384">
        <v>5985</v>
      </c>
      <c r="Z114" s="384">
        <v>5985</v>
      </c>
      <c r="AA114" s="384">
        <v>5985</v>
      </c>
      <c r="AB114" s="383">
        <v>1</v>
      </c>
      <c r="AC114" s="383">
        <v>1</v>
      </c>
      <c r="AD114" s="383">
        <v>1</v>
      </c>
      <c r="AE114" s="384">
        <v>5985</v>
      </c>
      <c r="AF114" s="384">
        <v>5985</v>
      </c>
      <c r="AG114" s="384">
        <v>5960</v>
      </c>
      <c r="AH114" s="443">
        <v>71795</v>
      </c>
      <c r="AI114" s="384">
        <v>36540</v>
      </c>
      <c r="AJ114" s="475"/>
      <c r="AK114" s="475"/>
      <c r="AL114" s="384">
        <v>35255</v>
      </c>
      <c r="AM114" s="384"/>
      <c r="AN114" s="384"/>
      <c r="AO114" s="476" t="s">
        <v>928</v>
      </c>
      <c r="AP114" s="469" t="s">
        <v>1062</v>
      </c>
      <c r="AQ114" s="385"/>
    </row>
    <row r="115" spans="1:43" ht="30">
      <c r="A115" s="428" t="s">
        <v>1244</v>
      </c>
      <c r="B115" s="429" t="s">
        <v>1245</v>
      </c>
      <c r="C115" s="430"/>
      <c r="D115" s="450"/>
      <c r="E115" s="429"/>
      <c r="F115" s="432"/>
      <c r="G115" s="433">
        <f t="shared" si="63"/>
        <v>1.1536555369959067</v>
      </c>
      <c r="H115" s="433"/>
      <c r="I115" s="451"/>
      <c r="J115" s="430"/>
      <c r="K115" s="430"/>
      <c r="L115" s="430"/>
      <c r="M115" s="452">
        <v>1260</v>
      </c>
      <c r="N115" s="452">
        <v>1260</v>
      </c>
      <c r="O115" s="452">
        <v>2205</v>
      </c>
      <c r="P115" s="430"/>
      <c r="Q115" s="430"/>
      <c r="R115" s="430"/>
      <c r="S115" s="452">
        <v>1260</v>
      </c>
      <c r="T115" s="452">
        <v>1260</v>
      </c>
      <c r="U115" s="452">
        <v>2205</v>
      </c>
      <c r="V115" s="430"/>
      <c r="W115" s="430"/>
      <c r="X115" s="430"/>
      <c r="Y115" s="452">
        <v>1260</v>
      </c>
      <c r="Z115" s="452">
        <v>1260</v>
      </c>
      <c r="AA115" s="452">
        <v>2205</v>
      </c>
      <c r="AB115" s="430"/>
      <c r="AC115" s="430"/>
      <c r="AD115" s="430"/>
      <c r="AE115" s="452">
        <v>1260</v>
      </c>
      <c r="AF115" s="452">
        <v>1260</v>
      </c>
      <c r="AG115" s="452">
        <v>2160</v>
      </c>
      <c r="AH115" s="452">
        <v>18855</v>
      </c>
      <c r="AI115" s="452">
        <v>18855</v>
      </c>
      <c r="AJ115" s="452"/>
      <c r="AK115" s="452"/>
      <c r="AL115" s="452"/>
      <c r="AM115" s="452"/>
      <c r="AN115" s="452"/>
      <c r="AO115" s="453"/>
      <c r="AP115" s="454"/>
      <c r="AQ115" s="454"/>
    </row>
    <row r="116" spans="1:43" ht="60">
      <c r="A116" s="437" t="s">
        <v>1246</v>
      </c>
      <c r="B116" s="455" t="s">
        <v>1247</v>
      </c>
      <c r="C116" s="23">
        <f t="shared" ref="C116:C118" si="72">SUM(J116,K116,L116,P116,Q116,R116,V116,W116,X116,AB116,AC116,AD116)</f>
        <v>12</v>
      </c>
      <c r="D116" s="447" t="s">
        <v>52</v>
      </c>
      <c r="E116" s="455" t="s">
        <v>1248</v>
      </c>
      <c r="F116" s="440" t="s">
        <v>1249</v>
      </c>
      <c r="G116" s="448">
        <f t="shared" si="63"/>
        <v>0.69231569350881372</v>
      </c>
      <c r="H116" s="448"/>
      <c r="I116" s="382">
        <v>60</v>
      </c>
      <c r="J116" s="383">
        <v>1</v>
      </c>
      <c r="K116" s="383">
        <v>1</v>
      </c>
      <c r="L116" s="383">
        <v>1</v>
      </c>
      <c r="M116" s="384">
        <v>945</v>
      </c>
      <c r="N116" s="384">
        <v>945</v>
      </c>
      <c r="O116" s="384">
        <v>945</v>
      </c>
      <c r="P116" s="383">
        <v>1</v>
      </c>
      <c r="Q116" s="383">
        <v>1</v>
      </c>
      <c r="R116" s="383">
        <v>1</v>
      </c>
      <c r="S116" s="384">
        <v>945</v>
      </c>
      <c r="T116" s="384">
        <v>945</v>
      </c>
      <c r="U116" s="384">
        <v>945</v>
      </c>
      <c r="V116" s="383">
        <v>1</v>
      </c>
      <c r="W116" s="383">
        <v>1</v>
      </c>
      <c r="X116" s="383">
        <v>1</v>
      </c>
      <c r="Y116" s="384">
        <v>945</v>
      </c>
      <c r="Z116" s="384">
        <v>945</v>
      </c>
      <c r="AA116" s="384">
        <v>945</v>
      </c>
      <c r="AB116" s="383">
        <v>1</v>
      </c>
      <c r="AC116" s="383">
        <v>1</v>
      </c>
      <c r="AD116" s="383">
        <v>1</v>
      </c>
      <c r="AE116" s="384">
        <v>945</v>
      </c>
      <c r="AF116" s="384">
        <v>945</v>
      </c>
      <c r="AG116" s="384">
        <v>920</v>
      </c>
      <c r="AH116" s="443">
        <v>11315</v>
      </c>
      <c r="AI116" s="384">
        <v>11315</v>
      </c>
      <c r="AJ116" s="384"/>
      <c r="AK116" s="384"/>
      <c r="AL116" s="444"/>
      <c r="AM116" s="384"/>
      <c r="AN116" s="384"/>
      <c r="AO116" s="411" t="s">
        <v>928</v>
      </c>
      <c r="AP116" s="385" t="s">
        <v>1250</v>
      </c>
      <c r="AQ116" s="385"/>
    </row>
    <row r="117" spans="1:43" ht="45">
      <c r="A117" s="437" t="s">
        <v>1251</v>
      </c>
      <c r="B117" s="455" t="s">
        <v>1252</v>
      </c>
      <c r="C117" s="23">
        <f t="shared" si="72"/>
        <v>4</v>
      </c>
      <c r="D117" s="447" t="s">
        <v>52</v>
      </c>
      <c r="E117" s="455" t="s">
        <v>1253</v>
      </c>
      <c r="F117" s="440" t="s">
        <v>1253</v>
      </c>
      <c r="G117" s="448">
        <f t="shared" si="63"/>
        <v>0.23066992174354645</v>
      </c>
      <c r="H117" s="448"/>
      <c r="I117" s="382">
        <v>20</v>
      </c>
      <c r="J117" s="383"/>
      <c r="K117" s="383"/>
      <c r="L117" s="383">
        <v>1</v>
      </c>
      <c r="M117" s="384"/>
      <c r="N117" s="384"/>
      <c r="O117" s="384">
        <v>945</v>
      </c>
      <c r="P117" s="383"/>
      <c r="Q117" s="383"/>
      <c r="R117" s="383">
        <v>1</v>
      </c>
      <c r="S117" s="384"/>
      <c r="T117" s="384"/>
      <c r="U117" s="384">
        <v>945</v>
      </c>
      <c r="V117" s="383"/>
      <c r="W117" s="383"/>
      <c r="X117" s="383">
        <v>1</v>
      </c>
      <c r="Y117" s="384"/>
      <c r="Z117" s="384"/>
      <c r="AA117" s="384">
        <v>945</v>
      </c>
      <c r="AB117" s="383"/>
      <c r="AC117" s="383"/>
      <c r="AD117" s="383">
        <v>1</v>
      </c>
      <c r="AE117" s="384"/>
      <c r="AF117" s="384"/>
      <c r="AG117" s="384">
        <v>935</v>
      </c>
      <c r="AH117" s="443">
        <v>3770</v>
      </c>
      <c r="AI117" s="384">
        <v>3770</v>
      </c>
      <c r="AJ117" s="384"/>
      <c r="AK117" s="384"/>
      <c r="AL117" s="384"/>
      <c r="AM117" s="384"/>
      <c r="AN117" s="384"/>
      <c r="AO117" s="411" t="s">
        <v>928</v>
      </c>
      <c r="AP117" s="385" t="s">
        <v>1250</v>
      </c>
      <c r="AQ117" s="385"/>
    </row>
    <row r="118" spans="1:43" ht="75">
      <c r="A118" s="437" t="s">
        <v>1254</v>
      </c>
      <c r="B118" s="455" t="s">
        <v>1255</v>
      </c>
      <c r="C118" s="23">
        <f t="shared" si="72"/>
        <v>12</v>
      </c>
      <c r="D118" s="447" t="s">
        <v>52</v>
      </c>
      <c r="E118" s="455" t="s">
        <v>1256</v>
      </c>
      <c r="F118" s="440" t="s">
        <v>1257</v>
      </c>
      <c r="G118" s="485">
        <f t="shared" si="63"/>
        <v>0.23066992174354645</v>
      </c>
      <c r="H118" s="485"/>
      <c r="I118" s="382">
        <v>20</v>
      </c>
      <c r="J118" s="383">
        <v>1</v>
      </c>
      <c r="K118" s="383">
        <v>1</v>
      </c>
      <c r="L118" s="383">
        <v>1</v>
      </c>
      <c r="M118" s="384">
        <v>315</v>
      </c>
      <c r="N118" s="384">
        <v>315</v>
      </c>
      <c r="O118" s="384">
        <v>315</v>
      </c>
      <c r="P118" s="383">
        <v>1</v>
      </c>
      <c r="Q118" s="383">
        <v>1</v>
      </c>
      <c r="R118" s="383">
        <v>1</v>
      </c>
      <c r="S118" s="384">
        <v>315</v>
      </c>
      <c r="T118" s="384">
        <v>315</v>
      </c>
      <c r="U118" s="384">
        <v>315</v>
      </c>
      <c r="V118" s="383">
        <v>1</v>
      </c>
      <c r="W118" s="383">
        <v>1</v>
      </c>
      <c r="X118" s="383">
        <v>1</v>
      </c>
      <c r="Y118" s="384">
        <v>315</v>
      </c>
      <c r="Z118" s="384">
        <v>315</v>
      </c>
      <c r="AA118" s="384">
        <v>315</v>
      </c>
      <c r="AB118" s="383">
        <v>1</v>
      </c>
      <c r="AC118" s="383">
        <v>1</v>
      </c>
      <c r="AD118" s="383">
        <v>1</v>
      </c>
      <c r="AE118" s="384">
        <v>315</v>
      </c>
      <c r="AF118" s="384">
        <v>315</v>
      </c>
      <c r="AG118" s="384">
        <v>305</v>
      </c>
      <c r="AH118" s="443">
        <v>3770</v>
      </c>
      <c r="AI118" s="384">
        <v>3770</v>
      </c>
      <c r="AJ118" s="384"/>
      <c r="AK118" s="384"/>
      <c r="AL118" s="384"/>
      <c r="AM118" s="384"/>
      <c r="AN118" s="384"/>
      <c r="AO118" s="411" t="s">
        <v>928</v>
      </c>
      <c r="AP118" s="385" t="s">
        <v>1250</v>
      </c>
      <c r="AQ118" s="385"/>
    </row>
    <row r="119" spans="1:43" ht="30">
      <c r="A119" s="428" t="s">
        <v>1258</v>
      </c>
      <c r="B119" s="429" t="s">
        <v>1259</v>
      </c>
      <c r="C119" s="430"/>
      <c r="D119" s="450"/>
      <c r="E119" s="429"/>
      <c r="F119" s="432"/>
      <c r="G119" s="433">
        <f t="shared" si="63"/>
        <v>6.5704216303529792</v>
      </c>
      <c r="H119" s="433"/>
      <c r="I119" s="451"/>
      <c r="J119" s="430"/>
      <c r="K119" s="430"/>
      <c r="L119" s="430"/>
      <c r="M119" s="452">
        <v>4870</v>
      </c>
      <c r="N119" s="452">
        <v>4955</v>
      </c>
      <c r="O119" s="452">
        <v>5020</v>
      </c>
      <c r="P119" s="430"/>
      <c r="Q119" s="430"/>
      <c r="R119" s="430"/>
      <c r="S119" s="452">
        <v>7735</v>
      </c>
      <c r="T119" s="452">
        <v>7800</v>
      </c>
      <c r="U119" s="452">
        <v>7745</v>
      </c>
      <c r="V119" s="430"/>
      <c r="W119" s="430"/>
      <c r="X119" s="430"/>
      <c r="Y119" s="452">
        <v>7820</v>
      </c>
      <c r="Z119" s="452">
        <v>7925</v>
      </c>
      <c r="AA119" s="452">
        <v>8015</v>
      </c>
      <c r="AB119" s="430"/>
      <c r="AC119" s="430"/>
      <c r="AD119" s="430"/>
      <c r="AE119" s="452">
        <v>17225</v>
      </c>
      <c r="AF119" s="452">
        <v>22655</v>
      </c>
      <c r="AG119" s="452">
        <v>5620</v>
      </c>
      <c r="AH119" s="452">
        <v>107385</v>
      </c>
      <c r="AI119" s="452">
        <v>69405</v>
      </c>
      <c r="AJ119" s="452"/>
      <c r="AK119" s="452"/>
      <c r="AL119" s="452">
        <v>37980</v>
      </c>
      <c r="AM119" s="452"/>
      <c r="AN119" s="452"/>
      <c r="AO119" s="453"/>
      <c r="AP119" s="454"/>
      <c r="AQ119" s="454"/>
    </row>
    <row r="120" spans="1:43" ht="120">
      <c r="A120" s="437" t="s">
        <v>1260</v>
      </c>
      <c r="B120" s="455" t="s">
        <v>1261</v>
      </c>
      <c r="C120" s="23">
        <f t="shared" ref="C120:C124" si="73">SUM(J120,K120,L120,P120,Q120,R120,V120,W120,X120,AB120,AC120,AD120)</f>
        <v>12</v>
      </c>
      <c r="D120" s="447" t="s">
        <v>52</v>
      </c>
      <c r="E120" s="455" t="s">
        <v>1262</v>
      </c>
      <c r="F120" s="440" t="s">
        <v>1263</v>
      </c>
      <c r="G120" s="448">
        <f t="shared" si="63"/>
        <v>2.2996628670374517</v>
      </c>
      <c r="H120" s="448"/>
      <c r="I120" s="382">
        <v>35</v>
      </c>
      <c r="J120" s="383">
        <v>1</v>
      </c>
      <c r="K120" s="387">
        <v>1</v>
      </c>
      <c r="L120" s="387">
        <v>1</v>
      </c>
      <c r="M120" s="384">
        <v>3130</v>
      </c>
      <c r="N120" s="384">
        <v>3130</v>
      </c>
      <c r="O120" s="384">
        <v>3130</v>
      </c>
      <c r="P120" s="383">
        <v>1</v>
      </c>
      <c r="Q120" s="387">
        <v>1</v>
      </c>
      <c r="R120" s="387">
        <v>1</v>
      </c>
      <c r="S120" s="384">
        <v>3130</v>
      </c>
      <c r="T120" s="384">
        <v>3130</v>
      </c>
      <c r="U120" s="384">
        <v>3130</v>
      </c>
      <c r="V120" s="383">
        <v>1</v>
      </c>
      <c r="W120" s="387">
        <v>1</v>
      </c>
      <c r="X120" s="387">
        <v>1</v>
      </c>
      <c r="Y120" s="384">
        <v>3130</v>
      </c>
      <c r="Z120" s="384">
        <v>3130</v>
      </c>
      <c r="AA120" s="384">
        <v>3130</v>
      </c>
      <c r="AB120" s="383">
        <v>1</v>
      </c>
      <c r="AC120" s="387">
        <v>1</v>
      </c>
      <c r="AD120" s="387">
        <v>1</v>
      </c>
      <c r="AE120" s="384">
        <v>3130</v>
      </c>
      <c r="AF120" s="384">
        <v>3130</v>
      </c>
      <c r="AG120" s="384">
        <v>3155</v>
      </c>
      <c r="AH120" s="443">
        <v>37585</v>
      </c>
      <c r="AI120" s="384">
        <v>24290</v>
      </c>
      <c r="AJ120" s="384"/>
      <c r="AK120" s="384"/>
      <c r="AL120" s="384">
        <v>13295</v>
      </c>
      <c r="AM120" s="384"/>
      <c r="AN120" s="384"/>
      <c r="AO120" s="385" t="s">
        <v>928</v>
      </c>
      <c r="AP120" s="385" t="s">
        <v>1264</v>
      </c>
      <c r="AQ120" s="385"/>
    </row>
    <row r="121" spans="1:43" ht="90">
      <c r="A121" s="437" t="s">
        <v>1265</v>
      </c>
      <c r="B121" s="455" t="s">
        <v>1266</v>
      </c>
      <c r="C121" s="23">
        <f t="shared" si="73"/>
        <v>6</v>
      </c>
      <c r="D121" s="447" t="s">
        <v>52</v>
      </c>
      <c r="E121" s="455" t="s">
        <v>1267</v>
      </c>
      <c r="F121" s="440" t="s">
        <v>1268</v>
      </c>
      <c r="G121" s="448">
        <f t="shared" si="63"/>
        <v>0.98539498399995096</v>
      </c>
      <c r="H121" s="448"/>
      <c r="I121" s="382">
        <v>15</v>
      </c>
      <c r="J121" s="383"/>
      <c r="K121" s="383"/>
      <c r="L121" s="383"/>
      <c r="M121" s="384"/>
      <c r="N121" s="384"/>
      <c r="O121" s="384"/>
      <c r="P121" s="383">
        <v>1</v>
      </c>
      <c r="Q121" s="387">
        <v>1</v>
      </c>
      <c r="R121" s="387">
        <v>1</v>
      </c>
      <c r="S121" s="384">
        <v>2685</v>
      </c>
      <c r="T121" s="384">
        <v>2685</v>
      </c>
      <c r="U121" s="384">
        <v>2685</v>
      </c>
      <c r="V121" s="387">
        <v>1</v>
      </c>
      <c r="W121" s="387">
        <v>1</v>
      </c>
      <c r="X121" s="387">
        <v>1</v>
      </c>
      <c r="Y121" s="384">
        <v>2685</v>
      </c>
      <c r="Z121" s="384">
        <v>2685</v>
      </c>
      <c r="AA121" s="384">
        <v>2680</v>
      </c>
      <c r="AB121" s="383"/>
      <c r="AC121" s="383"/>
      <c r="AD121" s="383"/>
      <c r="AE121" s="384"/>
      <c r="AF121" s="384"/>
      <c r="AG121" s="384"/>
      <c r="AH121" s="443">
        <v>16105</v>
      </c>
      <c r="AI121" s="384">
        <v>10410</v>
      </c>
      <c r="AJ121" s="384"/>
      <c r="AK121" s="384"/>
      <c r="AL121" s="384">
        <v>5695</v>
      </c>
      <c r="AM121" s="384"/>
      <c r="AN121" s="384"/>
      <c r="AO121" s="385" t="s">
        <v>928</v>
      </c>
      <c r="AP121" s="385" t="s">
        <v>1264</v>
      </c>
      <c r="AQ121" s="385"/>
    </row>
    <row r="122" spans="1:43" ht="30">
      <c r="A122" s="437" t="s">
        <v>1269</v>
      </c>
      <c r="B122" s="455" t="s">
        <v>1270</v>
      </c>
      <c r="C122" s="23">
        <f t="shared" si="73"/>
        <v>2340</v>
      </c>
      <c r="D122" s="447" t="s">
        <v>1271</v>
      </c>
      <c r="E122" s="455" t="s">
        <v>1272</v>
      </c>
      <c r="F122" s="440" t="s">
        <v>1273</v>
      </c>
      <c r="G122" s="448">
        <f t="shared" si="63"/>
        <v>1.511285694181856</v>
      </c>
      <c r="H122" s="448"/>
      <c r="I122" s="382">
        <v>23</v>
      </c>
      <c r="J122" s="486">
        <v>165</v>
      </c>
      <c r="K122" s="487">
        <v>173</v>
      </c>
      <c r="L122" s="487">
        <v>179</v>
      </c>
      <c r="M122" s="384">
        <v>1740</v>
      </c>
      <c r="N122" s="384">
        <v>1825</v>
      </c>
      <c r="O122" s="384">
        <v>1890</v>
      </c>
      <c r="P122" s="487">
        <v>182</v>
      </c>
      <c r="Q122" s="487">
        <v>188</v>
      </c>
      <c r="R122" s="487">
        <v>183</v>
      </c>
      <c r="S122" s="384">
        <v>1920</v>
      </c>
      <c r="T122" s="384">
        <v>1985</v>
      </c>
      <c r="U122" s="384">
        <v>1930</v>
      </c>
      <c r="V122" s="487">
        <v>190</v>
      </c>
      <c r="W122" s="487">
        <v>200</v>
      </c>
      <c r="X122" s="487">
        <v>209</v>
      </c>
      <c r="Y122" s="384">
        <v>2005</v>
      </c>
      <c r="Z122" s="384">
        <v>2110</v>
      </c>
      <c r="AA122" s="384">
        <v>2205</v>
      </c>
      <c r="AB122" s="487">
        <v>216</v>
      </c>
      <c r="AC122" s="487">
        <v>222</v>
      </c>
      <c r="AD122" s="487">
        <v>233</v>
      </c>
      <c r="AE122" s="384">
        <v>2280</v>
      </c>
      <c r="AF122" s="384">
        <v>2345</v>
      </c>
      <c r="AG122" s="384">
        <v>2465</v>
      </c>
      <c r="AH122" s="443">
        <v>24700</v>
      </c>
      <c r="AI122" s="384">
        <v>15965</v>
      </c>
      <c r="AJ122" s="384"/>
      <c r="AK122" s="384"/>
      <c r="AL122" s="384">
        <v>8735</v>
      </c>
      <c r="AM122" s="384"/>
      <c r="AN122" s="384"/>
      <c r="AO122" s="385" t="s">
        <v>928</v>
      </c>
      <c r="AP122" s="385" t="s">
        <v>1274</v>
      </c>
      <c r="AQ122" s="385"/>
    </row>
    <row r="123" spans="1:43" ht="45">
      <c r="A123" s="437" t="s">
        <v>1275</v>
      </c>
      <c r="B123" s="455" t="s">
        <v>1276</v>
      </c>
      <c r="C123" s="23">
        <f t="shared" si="73"/>
        <v>1</v>
      </c>
      <c r="D123" s="447" t="s">
        <v>1277</v>
      </c>
      <c r="E123" s="455" t="s">
        <v>1278</v>
      </c>
      <c r="F123" s="440" t="s">
        <v>1279</v>
      </c>
      <c r="G123" s="448">
        <f t="shared" si="63"/>
        <v>0.72290852132626027</v>
      </c>
      <c r="H123" s="448"/>
      <c r="I123" s="382">
        <v>11</v>
      </c>
      <c r="J123" s="383"/>
      <c r="K123" s="383"/>
      <c r="L123" s="383"/>
      <c r="M123" s="384"/>
      <c r="N123" s="384"/>
      <c r="O123" s="384"/>
      <c r="P123" s="383"/>
      <c r="Q123" s="383"/>
      <c r="R123" s="383"/>
      <c r="S123" s="384"/>
      <c r="T123" s="384"/>
      <c r="U123" s="384"/>
      <c r="V123" s="383"/>
      <c r="W123" s="383"/>
      <c r="X123" s="383"/>
      <c r="Y123" s="384"/>
      <c r="Z123" s="384"/>
      <c r="AA123" s="384"/>
      <c r="AB123" s="383">
        <v>1</v>
      </c>
      <c r="AC123" s="387"/>
      <c r="AD123" s="387"/>
      <c r="AE123" s="384">
        <v>11815</v>
      </c>
      <c r="AF123" s="384"/>
      <c r="AG123" s="384"/>
      <c r="AH123" s="443">
        <v>11815</v>
      </c>
      <c r="AI123" s="384">
        <v>7635</v>
      </c>
      <c r="AJ123" s="384"/>
      <c r="AK123" s="384"/>
      <c r="AL123" s="384">
        <v>4180</v>
      </c>
      <c r="AM123" s="384"/>
      <c r="AN123" s="384"/>
      <c r="AO123" s="385" t="s">
        <v>928</v>
      </c>
      <c r="AP123" s="385" t="s">
        <v>1280</v>
      </c>
      <c r="AQ123" s="385"/>
    </row>
    <row r="124" spans="1:43" ht="120">
      <c r="A124" s="437" t="s">
        <v>1281</v>
      </c>
      <c r="B124" s="455" t="s">
        <v>1282</v>
      </c>
      <c r="C124" s="23">
        <f t="shared" si="73"/>
        <v>1</v>
      </c>
      <c r="D124" s="447" t="s">
        <v>52</v>
      </c>
      <c r="E124" s="455" t="s">
        <v>1283</v>
      </c>
      <c r="F124" s="440" t="s">
        <v>1284</v>
      </c>
      <c r="G124" s="448">
        <f t="shared" si="63"/>
        <v>1.051169563807461</v>
      </c>
      <c r="H124" s="448"/>
      <c r="I124" s="382">
        <v>16</v>
      </c>
      <c r="J124" s="383"/>
      <c r="K124" s="383"/>
      <c r="L124" s="383"/>
      <c r="M124" s="384"/>
      <c r="N124" s="384"/>
      <c r="O124" s="384"/>
      <c r="P124" s="383"/>
      <c r="Q124" s="383"/>
      <c r="R124" s="383"/>
      <c r="S124" s="384"/>
      <c r="T124" s="384"/>
      <c r="U124" s="384"/>
      <c r="V124" s="383"/>
      <c r="W124" s="383"/>
      <c r="X124" s="383"/>
      <c r="Y124" s="384"/>
      <c r="Z124" s="384"/>
      <c r="AA124" s="384"/>
      <c r="AB124" s="390"/>
      <c r="AC124" s="391">
        <v>1</v>
      </c>
      <c r="AD124" s="391"/>
      <c r="AE124" s="384"/>
      <c r="AF124" s="384">
        <v>17180</v>
      </c>
      <c r="AG124" s="384"/>
      <c r="AH124" s="443">
        <v>17180</v>
      </c>
      <c r="AI124" s="384">
        <v>11105</v>
      </c>
      <c r="AJ124" s="384"/>
      <c r="AK124" s="384"/>
      <c r="AL124" s="384">
        <v>6075</v>
      </c>
      <c r="AM124" s="384"/>
      <c r="AN124" s="384"/>
      <c r="AO124" s="385" t="s">
        <v>928</v>
      </c>
      <c r="AP124" s="385" t="s">
        <v>1280</v>
      </c>
      <c r="AQ124" s="385"/>
    </row>
    <row r="125" spans="1:43" ht="15">
      <c r="A125" s="428" t="s">
        <v>1285</v>
      </c>
      <c r="B125" s="429" t="s">
        <v>1286</v>
      </c>
      <c r="C125" s="430"/>
      <c r="D125" s="431"/>
      <c r="E125" s="429"/>
      <c r="F125" s="432"/>
      <c r="G125" s="433">
        <f t="shared" si="63"/>
        <v>3.8241034771808096</v>
      </c>
      <c r="H125" s="433"/>
      <c r="I125" s="451"/>
      <c r="J125" s="430"/>
      <c r="K125" s="430"/>
      <c r="L125" s="430"/>
      <c r="M125" s="452">
        <v>1825</v>
      </c>
      <c r="N125" s="452">
        <v>1825</v>
      </c>
      <c r="O125" s="452">
        <v>7295</v>
      </c>
      <c r="P125" s="430"/>
      <c r="Q125" s="430"/>
      <c r="R125" s="430"/>
      <c r="S125" s="452">
        <v>1825</v>
      </c>
      <c r="T125" s="452">
        <v>1825</v>
      </c>
      <c r="U125" s="452">
        <v>13545</v>
      </c>
      <c r="V125" s="430"/>
      <c r="W125" s="430"/>
      <c r="X125" s="430"/>
      <c r="Y125" s="452">
        <v>1825</v>
      </c>
      <c r="Z125" s="452">
        <v>1825</v>
      </c>
      <c r="AA125" s="452">
        <v>7295</v>
      </c>
      <c r="AB125" s="430"/>
      <c r="AC125" s="430"/>
      <c r="AD125" s="430"/>
      <c r="AE125" s="452">
        <v>1825</v>
      </c>
      <c r="AF125" s="452">
        <v>1825</v>
      </c>
      <c r="AG125" s="452">
        <v>19765</v>
      </c>
      <c r="AH125" s="452">
        <v>62500</v>
      </c>
      <c r="AI125" s="452">
        <v>41900</v>
      </c>
      <c r="AJ125" s="452"/>
      <c r="AK125" s="452"/>
      <c r="AL125" s="452">
        <v>20600</v>
      </c>
      <c r="AM125" s="452"/>
      <c r="AN125" s="452"/>
      <c r="AO125" s="431"/>
      <c r="AP125" s="431"/>
      <c r="AQ125" s="431"/>
    </row>
    <row r="126" spans="1:43" ht="30">
      <c r="A126" s="437" t="s">
        <v>1287</v>
      </c>
      <c r="B126" s="455" t="s">
        <v>1288</v>
      </c>
      <c r="C126" s="23">
        <f t="shared" ref="C126:C131" si="74">SUM(J126,K126,L126,P126,Q126,R126,V126,W126,X126,AB126,AC126,AD126)</f>
        <v>12</v>
      </c>
      <c r="D126" s="447" t="s">
        <v>52</v>
      </c>
      <c r="E126" s="469" t="s">
        <v>1289</v>
      </c>
      <c r="F126" s="440" t="s">
        <v>52</v>
      </c>
      <c r="G126" s="448">
        <f t="shared" si="63"/>
        <v>1.3384362170132833</v>
      </c>
      <c r="H126" s="448"/>
      <c r="I126" s="389">
        <v>35</v>
      </c>
      <c r="J126" s="392">
        <v>1</v>
      </c>
      <c r="K126" s="392">
        <v>1</v>
      </c>
      <c r="L126" s="392">
        <v>1</v>
      </c>
      <c r="M126" s="384">
        <v>1825</v>
      </c>
      <c r="N126" s="384">
        <v>1825</v>
      </c>
      <c r="O126" s="384">
        <v>1825</v>
      </c>
      <c r="P126" s="392">
        <v>1</v>
      </c>
      <c r="Q126" s="392">
        <v>1</v>
      </c>
      <c r="R126" s="392">
        <v>1</v>
      </c>
      <c r="S126" s="384">
        <v>1825</v>
      </c>
      <c r="T126" s="384">
        <v>1825</v>
      </c>
      <c r="U126" s="384">
        <v>1825</v>
      </c>
      <c r="V126" s="392">
        <v>1</v>
      </c>
      <c r="W126" s="392">
        <v>1</v>
      </c>
      <c r="X126" s="392">
        <v>1</v>
      </c>
      <c r="Y126" s="384">
        <v>1825</v>
      </c>
      <c r="Z126" s="384">
        <v>1825</v>
      </c>
      <c r="AA126" s="384">
        <v>1825</v>
      </c>
      <c r="AB126" s="392">
        <v>1</v>
      </c>
      <c r="AC126" s="392">
        <v>1</v>
      </c>
      <c r="AD126" s="392">
        <v>1</v>
      </c>
      <c r="AE126" s="384">
        <v>1825</v>
      </c>
      <c r="AF126" s="384">
        <v>1825</v>
      </c>
      <c r="AG126" s="384">
        <v>1800</v>
      </c>
      <c r="AH126" s="443">
        <v>21875</v>
      </c>
      <c r="AI126" s="384">
        <v>14665</v>
      </c>
      <c r="AJ126" s="393"/>
      <c r="AK126" s="393"/>
      <c r="AL126" s="384">
        <v>7210</v>
      </c>
      <c r="AM126" s="393"/>
      <c r="AN126" s="393"/>
      <c r="AO126" s="459" t="s">
        <v>928</v>
      </c>
      <c r="AP126" s="459" t="s">
        <v>1290</v>
      </c>
      <c r="AQ126" s="459"/>
    </row>
    <row r="127" spans="1:43" ht="30">
      <c r="A127" s="437" t="s">
        <v>1291</v>
      </c>
      <c r="B127" s="470" t="s">
        <v>1292</v>
      </c>
      <c r="C127" s="23">
        <f t="shared" si="74"/>
        <v>4</v>
      </c>
      <c r="D127" s="447" t="s">
        <v>57</v>
      </c>
      <c r="E127" s="455" t="s">
        <v>1293</v>
      </c>
      <c r="F127" s="440" t="s">
        <v>52</v>
      </c>
      <c r="G127" s="448">
        <f t="shared" si="63"/>
        <v>0.57361552157712148</v>
      </c>
      <c r="H127" s="448"/>
      <c r="I127" s="389">
        <v>15</v>
      </c>
      <c r="J127" s="392"/>
      <c r="K127" s="392"/>
      <c r="L127" s="392">
        <v>1</v>
      </c>
      <c r="M127" s="384"/>
      <c r="N127" s="384"/>
      <c r="O127" s="384">
        <v>2345</v>
      </c>
      <c r="P127" s="392"/>
      <c r="Q127" s="392"/>
      <c r="R127" s="392">
        <v>1</v>
      </c>
      <c r="S127" s="384"/>
      <c r="T127" s="384"/>
      <c r="U127" s="384">
        <v>2345</v>
      </c>
      <c r="V127" s="392"/>
      <c r="W127" s="392"/>
      <c r="X127" s="392">
        <v>1</v>
      </c>
      <c r="Y127" s="384"/>
      <c r="Z127" s="384"/>
      <c r="AA127" s="384">
        <v>2345</v>
      </c>
      <c r="AB127" s="392"/>
      <c r="AC127" s="392"/>
      <c r="AD127" s="392">
        <v>1</v>
      </c>
      <c r="AE127" s="384"/>
      <c r="AF127" s="384"/>
      <c r="AG127" s="384">
        <v>2340</v>
      </c>
      <c r="AH127" s="443">
        <v>9375</v>
      </c>
      <c r="AI127" s="384">
        <v>6285</v>
      </c>
      <c r="AJ127" s="393"/>
      <c r="AK127" s="393"/>
      <c r="AL127" s="384">
        <v>3090</v>
      </c>
      <c r="AM127" s="393"/>
      <c r="AN127" s="393"/>
      <c r="AO127" s="459" t="s">
        <v>928</v>
      </c>
      <c r="AP127" s="459" t="s">
        <v>1290</v>
      </c>
      <c r="AQ127" s="459"/>
    </row>
    <row r="128" spans="1:43" ht="45">
      <c r="A128" s="437" t="s">
        <v>1294</v>
      </c>
      <c r="B128" s="455" t="s">
        <v>1295</v>
      </c>
      <c r="C128" s="23">
        <f t="shared" si="74"/>
        <v>2</v>
      </c>
      <c r="D128" s="447" t="s">
        <v>52</v>
      </c>
      <c r="E128" s="455" t="s">
        <v>1296</v>
      </c>
      <c r="F128" s="488" t="s">
        <v>1297</v>
      </c>
      <c r="G128" s="448">
        <f t="shared" si="63"/>
        <v>0.38241034771808097</v>
      </c>
      <c r="H128" s="448"/>
      <c r="I128" s="389">
        <v>10</v>
      </c>
      <c r="J128" s="392"/>
      <c r="K128" s="392"/>
      <c r="L128" s="392"/>
      <c r="M128" s="384"/>
      <c r="N128" s="384"/>
      <c r="O128" s="384"/>
      <c r="P128" s="392"/>
      <c r="Q128" s="392"/>
      <c r="R128" s="392">
        <v>1</v>
      </c>
      <c r="S128" s="384"/>
      <c r="T128" s="384"/>
      <c r="U128" s="384">
        <v>3125</v>
      </c>
      <c r="V128" s="392"/>
      <c r="W128" s="392"/>
      <c r="X128" s="392"/>
      <c r="Y128" s="384"/>
      <c r="Z128" s="384"/>
      <c r="AA128" s="384"/>
      <c r="AB128" s="392"/>
      <c r="AC128" s="392"/>
      <c r="AD128" s="392">
        <v>1</v>
      </c>
      <c r="AE128" s="384"/>
      <c r="AF128" s="384"/>
      <c r="AG128" s="384">
        <v>3125</v>
      </c>
      <c r="AH128" s="443">
        <v>6250</v>
      </c>
      <c r="AI128" s="384">
        <v>4190</v>
      </c>
      <c r="AJ128" s="393"/>
      <c r="AK128" s="393"/>
      <c r="AL128" s="384">
        <v>2060</v>
      </c>
      <c r="AM128" s="393"/>
      <c r="AN128" s="393"/>
      <c r="AO128" s="459" t="s">
        <v>928</v>
      </c>
      <c r="AP128" s="459" t="s">
        <v>1290</v>
      </c>
      <c r="AQ128" s="459"/>
    </row>
    <row r="129" spans="1:43" ht="30">
      <c r="A129" s="437" t="s">
        <v>1298</v>
      </c>
      <c r="B129" s="455" t="s">
        <v>1299</v>
      </c>
      <c r="C129" s="23">
        <f t="shared" si="74"/>
        <v>2</v>
      </c>
      <c r="D129" s="447" t="s">
        <v>57</v>
      </c>
      <c r="E129" s="455" t="s">
        <v>1300</v>
      </c>
      <c r="F129" s="440" t="s">
        <v>52</v>
      </c>
      <c r="G129" s="448">
        <f t="shared" si="63"/>
        <v>0.38241034771808097</v>
      </c>
      <c r="H129" s="448"/>
      <c r="I129" s="489">
        <v>10</v>
      </c>
      <c r="J129" s="383"/>
      <c r="K129" s="383"/>
      <c r="L129" s="383"/>
      <c r="M129" s="384"/>
      <c r="N129" s="384"/>
      <c r="O129" s="384"/>
      <c r="P129" s="383"/>
      <c r="Q129" s="383"/>
      <c r="R129" s="383">
        <v>1</v>
      </c>
      <c r="S129" s="384"/>
      <c r="T129" s="384"/>
      <c r="U129" s="384">
        <v>3125</v>
      </c>
      <c r="V129" s="383"/>
      <c r="W129" s="383"/>
      <c r="X129" s="383"/>
      <c r="Y129" s="384"/>
      <c r="Z129" s="384"/>
      <c r="AA129" s="384"/>
      <c r="AB129" s="383"/>
      <c r="AC129" s="383"/>
      <c r="AD129" s="383">
        <v>1</v>
      </c>
      <c r="AE129" s="384"/>
      <c r="AF129" s="384"/>
      <c r="AG129" s="384">
        <v>3125</v>
      </c>
      <c r="AH129" s="443">
        <v>6250</v>
      </c>
      <c r="AI129" s="384">
        <v>4190</v>
      </c>
      <c r="AJ129" s="490"/>
      <c r="AK129" s="490"/>
      <c r="AL129" s="384">
        <v>2060</v>
      </c>
      <c r="AM129" s="384"/>
      <c r="AN129" s="384"/>
      <c r="AO129" s="385" t="s">
        <v>928</v>
      </c>
      <c r="AP129" s="385" t="s">
        <v>1290</v>
      </c>
      <c r="AQ129" s="385"/>
    </row>
    <row r="130" spans="1:43" ht="30">
      <c r="A130" s="437" t="s">
        <v>1301</v>
      </c>
      <c r="B130" s="455" t="s">
        <v>1302</v>
      </c>
      <c r="C130" s="23">
        <f t="shared" si="74"/>
        <v>1</v>
      </c>
      <c r="D130" s="447" t="s">
        <v>57</v>
      </c>
      <c r="E130" s="455" t="s">
        <v>1303</v>
      </c>
      <c r="F130" s="440" t="s">
        <v>52</v>
      </c>
      <c r="G130" s="448">
        <f t="shared" si="63"/>
        <v>0.57361552157712148</v>
      </c>
      <c r="H130" s="448"/>
      <c r="I130" s="489">
        <v>15</v>
      </c>
      <c r="J130" s="383"/>
      <c r="K130" s="383"/>
      <c r="L130" s="383"/>
      <c r="M130" s="384"/>
      <c r="N130" s="384"/>
      <c r="O130" s="384"/>
      <c r="P130" s="383"/>
      <c r="Q130" s="383"/>
      <c r="R130" s="383"/>
      <c r="S130" s="384"/>
      <c r="T130" s="384"/>
      <c r="U130" s="384"/>
      <c r="V130" s="383"/>
      <c r="W130" s="383"/>
      <c r="X130" s="383"/>
      <c r="Y130" s="384"/>
      <c r="Z130" s="384"/>
      <c r="AA130" s="384"/>
      <c r="AB130" s="383"/>
      <c r="AC130" s="383"/>
      <c r="AD130" s="383">
        <v>1</v>
      </c>
      <c r="AE130" s="384"/>
      <c r="AF130" s="384"/>
      <c r="AG130" s="384">
        <v>9375</v>
      </c>
      <c r="AH130" s="443">
        <v>9375</v>
      </c>
      <c r="AI130" s="384">
        <v>6285</v>
      </c>
      <c r="AJ130" s="490"/>
      <c r="AK130" s="490"/>
      <c r="AL130" s="384">
        <v>3090</v>
      </c>
      <c r="AM130" s="384"/>
      <c r="AN130" s="384"/>
      <c r="AO130" s="385" t="s">
        <v>928</v>
      </c>
      <c r="AP130" s="385" t="s">
        <v>1290</v>
      </c>
      <c r="AQ130" s="385"/>
    </row>
    <row r="131" spans="1:43" ht="30">
      <c r="A131" s="437" t="s">
        <v>1304</v>
      </c>
      <c r="B131" s="455" t="s">
        <v>1305</v>
      </c>
      <c r="C131" s="23">
        <f t="shared" si="74"/>
        <v>3</v>
      </c>
      <c r="D131" s="447" t="s">
        <v>57</v>
      </c>
      <c r="E131" s="455" t="s">
        <v>1306</v>
      </c>
      <c r="F131" s="440" t="s">
        <v>57</v>
      </c>
      <c r="G131" s="448">
        <f t="shared" si="63"/>
        <v>0.57361552157712148</v>
      </c>
      <c r="H131" s="448"/>
      <c r="I131" s="489">
        <v>15</v>
      </c>
      <c r="J131" s="383"/>
      <c r="K131" s="383"/>
      <c r="L131" s="383">
        <v>1</v>
      </c>
      <c r="M131" s="384"/>
      <c r="N131" s="384"/>
      <c r="O131" s="384">
        <v>3125</v>
      </c>
      <c r="P131" s="383"/>
      <c r="Q131" s="383"/>
      <c r="R131" s="383">
        <v>1</v>
      </c>
      <c r="S131" s="384"/>
      <c r="T131" s="384"/>
      <c r="U131" s="384">
        <v>3125</v>
      </c>
      <c r="V131" s="383"/>
      <c r="W131" s="383"/>
      <c r="X131" s="383">
        <v>1</v>
      </c>
      <c r="Y131" s="384"/>
      <c r="Z131" s="384"/>
      <c r="AA131" s="384">
        <v>3125</v>
      </c>
      <c r="AB131" s="383"/>
      <c r="AC131" s="383"/>
      <c r="AD131" s="383"/>
      <c r="AE131" s="384"/>
      <c r="AF131" s="384"/>
      <c r="AG131" s="384"/>
      <c r="AH131" s="443">
        <v>9375</v>
      </c>
      <c r="AI131" s="384">
        <v>6285</v>
      </c>
      <c r="AJ131" s="490"/>
      <c r="AK131" s="490"/>
      <c r="AL131" s="384">
        <v>3090</v>
      </c>
      <c r="AM131" s="384"/>
      <c r="AN131" s="384"/>
      <c r="AO131" s="385" t="s">
        <v>928</v>
      </c>
      <c r="AP131" s="385" t="s">
        <v>1290</v>
      </c>
      <c r="AQ131" s="385"/>
    </row>
    <row r="132" spans="1:43" ht="15">
      <c r="A132" s="428" t="s">
        <v>1307</v>
      </c>
      <c r="B132" s="429" t="s">
        <v>1308</v>
      </c>
      <c r="C132" s="430"/>
      <c r="D132" s="431"/>
      <c r="E132" s="429"/>
      <c r="F132" s="432"/>
      <c r="G132" s="433">
        <f t="shared" si="63"/>
        <v>4.8165348115787738</v>
      </c>
      <c r="H132" s="433"/>
      <c r="I132" s="451"/>
      <c r="J132" s="430"/>
      <c r="K132" s="430"/>
      <c r="L132" s="430"/>
      <c r="M132" s="452">
        <v>6375</v>
      </c>
      <c r="N132" s="452">
        <v>6250</v>
      </c>
      <c r="O132" s="452">
        <v>6885</v>
      </c>
      <c r="P132" s="430"/>
      <c r="Q132" s="430"/>
      <c r="R132" s="430"/>
      <c r="S132" s="452">
        <v>6765</v>
      </c>
      <c r="T132" s="452">
        <v>6855</v>
      </c>
      <c r="U132" s="452">
        <v>7055</v>
      </c>
      <c r="V132" s="430"/>
      <c r="W132" s="430"/>
      <c r="X132" s="430"/>
      <c r="Y132" s="452">
        <v>6960</v>
      </c>
      <c r="Z132" s="452">
        <v>6340</v>
      </c>
      <c r="AA132" s="452">
        <v>6225</v>
      </c>
      <c r="AB132" s="430"/>
      <c r="AC132" s="430"/>
      <c r="AD132" s="430"/>
      <c r="AE132" s="452">
        <v>6790</v>
      </c>
      <c r="AF132" s="452">
        <v>6130</v>
      </c>
      <c r="AG132" s="452">
        <v>6090</v>
      </c>
      <c r="AH132" s="452">
        <v>78720</v>
      </c>
      <c r="AI132" s="452">
        <v>64800</v>
      </c>
      <c r="AJ132" s="452"/>
      <c r="AK132" s="452"/>
      <c r="AL132" s="452">
        <v>13920</v>
      </c>
      <c r="AM132" s="452"/>
      <c r="AN132" s="452"/>
      <c r="AO132" s="431"/>
      <c r="AP132" s="431"/>
      <c r="AQ132" s="431"/>
    </row>
    <row r="133" spans="1:43" ht="30">
      <c r="A133" s="437" t="s">
        <v>1309</v>
      </c>
      <c r="B133" s="491" t="s">
        <v>1310</v>
      </c>
      <c r="C133" s="23">
        <f t="shared" ref="C133:C139" si="75">SUM(J133,K133,L133,P133,Q133,R133,V133,W133,X133,AB133,AC133,AD133)</f>
        <v>2372</v>
      </c>
      <c r="D133" s="492" t="s">
        <v>1311</v>
      </c>
      <c r="E133" s="491" t="s">
        <v>1312</v>
      </c>
      <c r="F133" s="493" t="s">
        <v>1313</v>
      </c>
      <c r="G133" s="448">
        <f t="shared" si="63"/>
        <v>0.38546963049982563</v>
      </c>
      <c r="H133" s="448"/>
      <c r="I133" s="382">
        <v>8</v>
      </c>
      <c r="J133" s="383">
        <v>119</v>
      </c>
      <c r="K133" s="383">
        <v>110</v>
      </c>
      <c r="L133" s="383">
        <v>252</v>
      </c>
      <c r="M133" s="384">
        <v>315</v>
      </c>
      <c r="N133" s="384">
        <v>290</v>
      </c>
      <c r="O133" s="384">
        <v>670</v>
      </c>
      <c r="P133" s="383">
        <v>290</v>
      </c>
      <c r="Q133" s="383">
        <v>420</v>
      </c>
      <c r="R133" s="383">
        <v>400</v>
      </c>
      <c r="S133" s="384">
        <v>770</v>
      </c>
      <c r="T133" s="384">
        <v>1115</v>
      </c>
      <c r="U133" s="384">
        <v>1060</v>
      </c>
      <c r="V133" s="383">
        <v>400</v>
      </c>
      <c r="W133" s="383">
        <v>190</v>
      </c>
      <c r="X133" s="383">
        <v>100</v>
      </c>
      <c r="Y133" s="384">
        <v>1060</v>
      </c>
      <c r="Z133" s="384">
        <v>505</v>
      </c>
      <c r="AA133" s="384">
        <v>265</v>
      </c>
      <c r="AB133" s="383">
        <v>35</v>
      </c>
      <c r="AC133" s="383">
        <v>26</v>
      </c>
      <c r="AD133" s="383">
        <v>30</v>
      </c>
      <c r="AE133" s="384">
        <v>95</v>
      </c>
      <c r="AF133" s="384">
        <v>70</v>
      </c>
      <c r="AG133" s="384">
        <v>85</v>
      </c>
      <c r="AH133" s="443">
        <v>6300</v>
      </c>
      <c r="AI133" s="384">
        <v>5185</v>
      </c>
      <c r="AJ133" s="384"/>
      <c r="AK133" s="384"/>
      <c r="AL133" s="384">
        <v>1115</v>
      </c>
      <c r="AM133" s="384"/>
      <c r="AN133" s="384"/>
      <c r="AO133" s="385" t="s">
        <v>928</v>
      </c>
      <c r="AP133" s="385" t="s">
        <v>1314</v>
      </c>
      <c r="AQ133" s="385"/>
    </row>
    <row r="134" spans="1:43" ht="45">
      <c r="A134" s="437" t="s">
        <v>1315</v>
      </c>
      <c r="B134" s="491" t="s">
        <v>1316</v>
      </c>
      <c r="C134" s="23">
        <f t="shared" si="75"/>
        <v>12</v>
      </c>
      <c r="D134" s="492" t="s">
        <v>52</v>
      </c>
      <c r="E134" s="491" t="s">
        <v>1317</v>
      </c>
      <c r="F134" s="493" t="s">
        <v>1318</v>
      </c>
      <c r="G134" s="448">
        <f t="shared" si="63"/>
        <v>0.62623518542312939</v>
      </c>
      <c r="H134" s="448"/>
      <c r="I134" s="382">
        <v>13</v>
      </c>
      <c r="J134" s="383">
        <v>1</v>
      </c>
      <c r="K134" s="383">
        <v>1</v>
      </c>
      <c r="L134" s="383">
        <v>1</v>
      </c>
      <c r="M134" s="384">
        <v>855</v>
      </c>
      <c r="N134" s="384">
        <v>855</v>
      </c>
      <c r="O134" s="384">
        <v>855</v>
      </c>
      <c r="P134" s="383">
        <v>1</v>
      </c>
      <c r="Q134" s="383">
        <v>1</v>
      </c>
      <c r="R134" s="383">
        <v>1</v>
      </c>
      <c r="S134" s="384">
        <v>855</v>
      </c>
      <c r="T134" s="384">
        <v>855</v>
      </c>
      <c r="U134" s="384">
        <v>855</v>
      </c>
      <c r="V134" s="383">
        <v>1</v>
      </c>
      <c r="W134" s="383">
        <v>1</v>
      </c>
      <c r="X134" s="383">
        <v>1</v>
      </c>
      <c r="Y134" s="384">
        <v>855</v>
      </c>
      <c r="Z134" s="384">
        <v>855</v>
      </c>
      <c r="AA134" s="384">
        <v>855</v>
      </c>
      <c r="AB134" s="383">
        <v>1</v>
      </c>
      <c r="AC134" s="383">
        <v>1</v>
      </c>
      <c r="AD134" s="383">
        <v>1</v>
      </c>
      <c r="AE134" s="384">
        <v>855</v>
      </c>
      <c r="AF134" s="384">
        <v>855</v>
      </c>
      <c r="AG134" s="384">
        <v>830</v>
      </c>
      <c r="AH134" s="443">
        <v>10235</v>
      </c>
      <c r="AI134" s="384">
        <v>8425</v>
      </c>
      <c r="AJ134" s="384"/>
      <c r="AK134" s="384"/>
      <c r="AL134" s="384">
        <v>1810</v>
      </c>
      <c r="AM134" s="384"/>
      <c r="AN134" s="384"/>
      <c r="AO134" s="385" t="s">
        <v>928</v>
      </c>
      <c r="AP134" s="385" t="s">
        <v>1314</v>
      </c>
      <c r="AQ134" s="385"/>
    </row>
    <row r="135" spans="1:43" ht="60">
      <c r="A135" s="437" t="s">
        <v>1319</v>
      </c>
      <c r="B135" s="491" t="s">
        <v>1320</v>
      </c>
      <c r="C135" s="23">
        <f t="shared" si="75"/>
        <v>173</v>
      </c>
      <c r="D135" s="492" t="s">
        <v>1321</v>
      </c>
      <c r="E135" s="491" t="s">
        <v>1322</v>
      </c>
      <c r="F135" s="493" t="s">
        <v>1323</v>
      </c>
      <c r="G135" s="448">
        <f t="shared" si="63"/>
        <v>0.33713296254826014</v>
      </c>
      <c r="H135" s="448"/>
      <c r="I135" s="382">
        <v>7</v>
      </c>
      <c r="J135" s="383">
        <v>15</v>
      </c>
      <c r="K135" s="383">
        <v>12</v>
      </c>
      <c r="L135" s="383">
        <v>20</v>
      </c>
      <c r="M135" s="384">
        <v>480</v>
      </c>
      <c r="N135" s="384">
        <v>380</v>
      </c>
      <c r="O135" s="384">
        <v>635</v>
      </c>
      <c r="P135" s="383">
        <v>13</v>
      </c>
      <c r="Q135" s="383">
        <v>5</v>
      </c>
      <c r="R135" s="383">
        <v>13</v>
      </c>
      <c r="S135" s="384">
        <v>415</v>
      </c>
      <c r="T135" s="384">
        <v>160</v>
      </c>
      <c r="U135" s="384">
        <v>415</v>
      </c>
      <c r="V135" s="383">
        <v>10</v>
      </c>
      <c r="W135" s="383">
        <v>8</v>
      </c>
      <c r="X135" s="383">
        <v>12</v>
      </c>
      <c r="Y135" s="384">
        <v>320</v>
      </c>
      <c r="Z135" s="384">
        <v>255</v>
      </c>
      <c r="AA135" s="384">
        <v>380</v>
      </c>
      <c r="AB135" s="383">
        <v>35</v>
      </c>
      <c r="AC135" s="383">
        <v>15</v>
      </c>
      <c r="AD135" s="383">
        <v>15</v>
      </c>
      <c r="AE135" s="384">
        <v>1115</v>
      </c>
      <c r="AF135" s="384">
        <v>480</v>
      </c>
      <c r="AG135" s="384">
        <v>475</v>
      </c>
      <c r="AH135" s="443">
        <v>5510</v>
      </c>
      <c r="AI135" s="384">
        <v>4535</v>
      </c>
      <c r="AJ135" s="384"/>
      <c r="AK135" s="384"/>
      <c r="AL135" s="384">
        <v>975</v>
      </c>
      <c r="AM135" s="384"/>
      <c r="AN135" s="384"/>
      <c r="AO135" s="385" t="s">
        <v>928</v>
      </c>
      <c r="AP135" s="385" t="s">
        <v>1314</v>
      </c>
      <c r="AQ135" s="385"/>
    </row>
    <row r="136" spans="1:43" ht="90">
      <c r="A136" s="437" t="s">
        <v>1324</v>
      </c>
      <c r="B136" s="491" t="s">
        <v>1325</v>
      </c>
      <c r="C136" s="23">
        <f t="shared" si="75"/>
        <v>12</v>
      </c>
      <c r="D136" s="492" t="s">
        <v>52</v>
      </c>
      <c r="E136" s="491" t="s">
        <v>1326</v>
      </c>
      <c r="F136" s="493" t="s">
        <v>1327</v>
      </c>
      <c r="G136" s="448">
        <f t="shared" si="63"/>
        <v>0.24076555492330379</v>
      </c>
      <c r="H136" s="448"/>
      <c r="I136" s="382">
        <v>5</v>
      </c>
      <c r="J136" s="383">
        <v>1</v>
      </c>
      <c r="K136" s="383">
        <v>1</v>
      </c>
      <c r="L136" s="383">
        <v>1</v>
      </c>
      <c r="M136" s="384">
        <v>330</v>
      </c>
      <c r="N136" s="384">
        <v>330</v>
      </c>
      <c r="O136" s="384">
        <v>330</v>
      </c>
      <c r="P136" s="383">
        <v>1</v>
      </c>
      <c r="Q136" s="383">
        <v>1</v>
      </c>
      <c r="R136" s="383">
        <v>1</v>
      </c>
      <c r="S136" s="384">
        <v>330</v>
      </c>
      <c r="T136" s="384">
        <v>330</v>
      </c>
      <c r="U136" s="384">
        <v>330</v>
      </c>
      <c r="V136" s="383">
        <v>1</v>
      </c>
      <c r="W136" s="383">
        <v>1</v>
      </c>
      <c r="X136" s="383">
        <v>1</v>
      </c>
      <c r="Y136" s="384">
        <v>330</v>
      </c>
      <c r="Z136" s="384">
        <v>330</v>
      </c>
      <c r="AA136" s="384">
        <v>330</v>
      </c>
      <c r="AB136" s="383">
        <v>1</v>
      </c>
      <c r="AC136" s="383">
        <v>1</v>
      </c>
      <c r="AD136" s="383">
        <v>1</v>
      </c>
      <c r="AE136" s="384">
        <v>330</v>
      </c>
      <c r="AF136" s="384">
        <v>330</v>
      </c>
      <c r="AG136" s="384">
        <v>305</v>
      </c>
      <c r="AH136" s="443">
        <v>3935</v>
      </c>
      <c r="AI136" s="384">
        <v>3240</v>
      </c>
      <c r="AJ136" s="384"/>
      <c r="AK136" s="384"/>
      <c r="AL136" s="384">
        <v>695</v>
      </c>
      <c r="AM136" s="384"/>
      <c r="AN136" s="384"/>
      <c r="AO136" s="385" t="s">
        <v>928</v>
      </c>
      <c r="AP136" s="385" t="s">
        <v>1314</v>
      </c>
      <c r="AQ136" s="385"/>
    </row>
    <row r="137" spans="1:43" ht="105">
      <c r="A137" s="437" t="s">
        <v>1328</v>
      </c>
      <c r="B137" s="491" t="s">
        <v>1329</v>
      </c>
      <c r="C137" s="23">
        <f t="shared" si="75"/>
        <v>12</v>
      </c>
      <c r="D137" s="492" t="s">
        <v>52</v>
      </c>
      <c r="E137" s="491" t="s">
        <v>1330</v>
      </c>
      <c r="F137" s="493" t="s">
        <v>1331</v>
      </c>
      <c r="G137" s="448">
        <f t="shared" si="63"/>
        <v>0.72260259304808583</v>
      </c>
      <c r="H137" s="448"/>
      <c r="I137" s="382">
        <v>15</v>
      </c>
      <c r="J137" s="383">
        <v>1</v>
      </c>
      <c r="K137" s="383">
        <v>1</v>
      </c>
      <c r="L137" s="383">
        <v>1</v>
      </c>
      <c r="M137" s="384">
        <v>985</v>
      </c>
      <c r="N137" s="384">
        <v>985</v>
      </c>
      <c r="O137" s="384">
        <v>985</v>
      </c>
      <c r="P137" s="383">
        <v>1</v>
      </c>
      <c r="Q137" s="383">
        <v>1</v>
      </c>
      <c r="R137" s="383">
        <v>1</v>
      </c>
      <c r="S137" s="384">
        <v>985</v>
      </c>
      <c r="T137" s="384">
        <v>985</v>
      </c>
      <c r="U137" s="384">
        <v>985</v>
      </c>
      <c r="V137" s="383">
        <v>1</v>
      </c>
      <c r="W137" s="383">
        <v>1</v>
      </c>
      <c r="X137" s="383">
        <v>1</v>
      </c>
      <c r="Y137" s="384">
        <v>985</v>
      </c>
      <c r="Z137" s="384">
        <v>985</v>
      </c>
      <c r="AA137" s="384">
        <v>985</v>
      </c>
      <c r="AB137" s="383">
        <v>1</v>
      </c>
      <c r="AC137" s="383">
        <v>1</v>
      </c>
      <c r="AD137" s="383">
        <v>1</v>
      </c>
      <c r="AE137" s="384">
        <v>985</v>
      </c>
      <c r="AF137" s="384">
        <v>985</v>
      </c>
      <c r="AG137" s="384">
        <v>975</v>
      </c>
      <c r="AH137" s="443">
        <v>11810</v>
      </c>
      <c r="AI137" s="384">
        <v>9720</v>
      </c>
      <c r="AJ137" s="384"/>
      <c r="AK137" s="384"/>
      <c r="AL137" s="384">
        <v>2090</v>
      </c>
      <c r="AM137" s="384"/>
      <c r="AN137" s="384"/>
      <c r="AO137" s="385" t="s">
        <v>928</v>
      </c>
      <c r="AP137" s="385" t="s">
        <v>1314</v>
      </c>
      <c r="AQ137" s="385"/>
    </row>
    <row r="138" spans="1:43" ht="60">
      <c r="A138" s="437" t="s">
        <v>1332</v>
      </c>
      <c r="B138" s="491" t="s">
        <v>1333</v>
      </c>
      <c r="C138" s="23">
        <f t="shared" si="75"/>
        <v>12</v>
      </c>
      <c r="D138" s="492" t="s">
        <v>52</v>
      </c>
      <c r="E138" s="491" t="s">
        <v>1334</v>
      </c>
      <c r="F138" s="493" t="s">
        <v>1335</v>
      </c>
      <c r="G138" s="448">
        <f t="shared" si="63"/>
        <v>1.3965625898664318</v>
      </c>
      <c r="H138" s="448"/>
      <c r="I138" s="382">
        <v>29</v>
      </c>
      <c r="J138" s="383">
        <v>1</v>
      </c>
      <c r="K138" s="383">
        <v>1</v>
      </c>
      <c r="L138" s="383">
        <v>1</v>
      </c>
      <c r="M138" s="384">
        <v>1900</v>
      </c>
      <c r="N138" s="384">
        <v>1900</v>
      </c>
      <c r="O138" s="384">
        <v>1900</v>
      </c>
      <c r="P138" s="383">
        <v>1</v>
      </c>
      <c r="Q138" s="383">
        <v>1</v>
      </c>
      <c r="R138" s="383">
        <v>1</v>
      </c>
      <c r="S138" s="384">
        <v>1900</v>
      </c>
      <c r="T138" s="384">
        <v>1900</v>
      </c>
      <c r="U138" s="384">
        <v>1900</v>
      </c>
      <c r="V138" s="383">
        <v>1</v>
      </c>
      <c r="W138" s="383">
        <v>1</v>
      </c>
      <c r="X138" s="383">
        <v>1</v>
      </c>
      <c r="Y138" s="384">
        <v>1900</v>
      </c>
      <c r="Z138" s="384">
        <v>1900</v>
      </c>
      <c r="AA138" s="384">
        <v>1900</v>
      </c>
      <c r="AB138" s="383">
        <v>1</v>
      </c>
      <c r="AC138" s="383">
        <v>1</v>
      </c>
      <c r="AD138" s="383">
        <v>1</v>
      </c>
      <c r="AE138" s="384">
        <v>1900</v>
      </c>
      <c r="AF138" s="384">
        <v>1900</v>
      </c>
      <c r="AG138" s="384">
        <v>1925</v>
      </c>
      <c r="AH138" s="443">
        <v>22825</v>
      </c>
      <c r="AI138" s="384">
        <v>18790</v>
      </c>
      <c r="AJ138" s="384"/>
      <c r="AK138" s="384"/>
      <c r="AL138" s="384">
        <v>4035</v>
      </c>
      <c r="AM138" s="384"/>
      <c r="AN138" s="384"/>
      <c r="AO138" s="385" t="s">
        <v>928</v>
      </c>
      <c r="AP138" s="385" t="s">
        <v>1314</v>
      </c>
      <c r="AQ138" s="385"/>
    </row>
    <row r="139" spans="1:43" ht="75">
      <c r="A139" s="437" t="s">
        <v>1336</v>
      </c>
      <c r="B139" s="491" t="s">
        <v>1337</v>
      </c>
      <c r="C139" s="23">
        <f t="shared" si="75"/>
        <v>12</v>
      </c>
      <c r="D139" s="492" t="s">
        <v>52</v>
      </c>
      <c r="E139" s="491" t="s">
        <v>1338</v>
      </c>
      <c r="F139" s="493" t="s">
        <v>1339</v>
      </c>
      <c r="G139" s="448">
        <f t="shared" ref="G139:G156" si="76">AH139/AH$157*100</f>
        <v>1.1077662952697369</v>
      </c>
      <c r="H139" s="448"/>
      <c r="I139" s="382">
        <v>23</v>
      </c>
      <c r="J139" s="383">
        <v>1</v>
      </c>
      <c r="K139" s="383">
        <v>1</v>
      </c>
      <c r="L139" s="383">
        <v>1</v>
      </c>
      <c r="M139" s="384">
        <v>1510</v>
      </c>
      <c r="N139" s="384">
        <v>1510</v>
      </c>
      <c r="O139" s="384">
        <v>1510</v>
      </c>
      <c r="P139" s="383">
        <v>1</v>
      </c>
      <c r="Q139" s="383">
        <v>1</v>
      </c>
      <c r="R139" s="383">
        <v>1</v>
      </c>
      <c r="S139" s="384">
        <v>1510</v>
      </c>
      <c r="T139" s="384">
        <v>1510</v>
      </c>
      <c r="U139" s="384">
        <v>1510</v>
      </c>
      <c r="V139" s="383">
        <v>1</v>
      </c>
      <c r="W139" s="383">
        <v>1</v>
      </c>
      <c r="X139" s="383">
        <v>1</v>
      </c>
      <c r="Y139" s="384">
        <v>1510</v>
      </c>
      <c r="Z139" s="384">
        <v>1510</v>
      </c>
      <c r="AA139" s="384">
        <v>1510</v>
      </c>
      <c r="AB139" s="383">
        <v>1</v>
      </c>
      <c r="AC139" s="383">
        <v>1</v>
      </c>
      <c r="AD139" s="383">
        <v>1</v>
      </c>
      <c r="AE139" s="384">
        <v>1510</v>
      </c>
      <c r="AF139" s="384">
        <v>1510</v>
      </c>
      <c r="AG139" s="384">
        <v>1495</v>
      </c>
      <c r="AH139" s="443">
        <v>18105</v>
      </c>
      <c r="AI139" s="384">
        <v>14905</v>
      </c>
      <c r="AJ139" s="384"/>
      <c r="AK139" s="384"/>
      <c r="AL139" s="384">
        <v>3200</v>
      </c>
      <c r="AM139" s="384"/>
      <c r="AN139" s="384"/>
      <c r="AO139" s="385" t="s">
        <v>928</v>
      </c>
      <c r="AP139" s="385" t="s">
        <v>1314</v>
      </c>
      <c r="AQ139" s="385"/>
    </row>
    <row r="140" spans="1:43" ht="15">
      <c r="A140" s="428" t="s">
        <v>1340</v>
      </c>
      <c r="B140" s="429" t="s">
        <v>1341</v>
      </c>
      <c r="C140" s="430"/>
      <c r="D140" s="431"/>
      <c r="E140" s="429"/>
      <c r="F140" s="432"/>
      <c r="G140" s="433">
        <f t="shared" si="76"/>
        <v>6.4945514173657131</v>
      </c>
      <c r="H140" s="433"/>
      <c r="I140" s="451"/>
      <c r="J140" s="430"/>
      <c r="K140" s="430"/>
      <c r="L140" s="430"/>
      <c r="M140" s="452">
        <v>6010</v>
      </c>
      <c r="N140" s="452">
        <v>10785</v>
      </c>
      <c r="O140" s="452">
        <v>11670</v>
      </c>
      <c r="P140" s="430"/>
      <c r="Q140" s="430"/>
      <c r="R140" s="430"/>
      <c r="S140" s="452">
        <v>9015</v>
      </c>
      <c r="T140" s="452">
        <v>11670</v>
      </c>
      <c r="U140" s="452">
        <v>13530</v>
      </c>
      <c r="V140" s="430"/>
      <c r="W140" s="430"/>
      <c r="X140" s="430"/>
      <c r="Y140" s="452">
        <v>7915</v>
      </c>
      <c r="Z140" s="452">
        <v>10570</v>
      </c>
      <c r="AA140" s="452">
        <v>9685</v>
      </c>
      <c r="AB140" s="430"/>
      <c r="AC140" s="430"/>
      <c r="AD140" s="430"/>
      <c r="AE140" s="452">
        <v>3050</v>
      </c>
      <c r="AF140" s="452">
        <v>6540</v>
      </c>
      <c r="AG140" s="452">
        <v>5705</v>
      </c>
      <c r="AH140" s="452">
        <v>106145</v>
      </c>
      <c r="AI140" s="452">
        <v>85675</v>
      </c>
      <c r="AJ140" s="452"/>
      <c r="AK140" s="452"/>
      <c r="AL140" s="452">
        <v>20470</v>
      </c>
      <c r="AM140" s="452"/>
      <c r="AN140" s="452"/>
      <c r="AO140" s="431"/>
      <c r="AP140" s="431"/>
      <c r="AQ140" s="431"/>
    </row>
    <row r="141" spans="1:43" ht="45">
      <c r="A141" s="437" t="s">
        <v>1342</v>
      </c>
      <c r="B141" s="455" t="s">
        <v>1343</v>
      </c>
      <c r="C141" s="23">
        <f t="shared" ref="C141:C146" si="77">SUM(J141,K141,L141,P141,Q141,R141,V141,W141,X141,AB141,AC141,AD141)</f>
        <v>500</v>
      </c>
      <c r="D141" s="471" t="s">
        <v>52</v>
      </c>
      <c r="E141" s="455" t="s">
        <v>1344</v>
      </c>
      <c r="F141" s="440" t="s">
        <v>52</v>
      </c>
      <c r="G141" s="448">
        <f t="shared" si="76"/>
        <v>1.2989714691287775</v>
      </c>
      <c r="H141" s="448"/>
      <c r="I141" s="389">
        <v>20</v>
      </c>
      <c r="J141" s="494">
        <v>50</v>
      </c>
      <c r="K141" s="494">
        <v>100</v>
      </c>
      <c r="L141" s="494">
        <v>100</v>
      </c>
      <c r="M141" s="384">
        <v>2125</v>
      </c>
      <c r="N141" s="384">
        <v>4245</v>
      </c>
      <c r="O141" s="384">
        <v>4245</v>
      </c>
      <c r="P141" s="494">
        <v>100</v>
      </c>
      <c r="Q141" s="494">
        <v>100</v>
      </c>
      <c r="R141" s="494">
        <v>50</v>
      </c>
      <c r="S141" s="384">
        <v>4245</v>
      </c>
      <c r="T141" s="384">
        <v>4245</v>
      </c>
      <c r="U141" s="384">
        <v>2125</v>
      </c>
      <c r="V141" s="383"/>
      <c r="W141" s="383"/>
      <c r="X141" s="383"/>
      <c r="Y141" s="384"/>
      <c r="Z141" s="384"/>
      <c r="AA141" s="384"/>
      <c r="AB141" s="383"/>
      <c r="AC141" s="383"/>
      <c r="AD141" s="383"/>
      <c r="AE141" s="384"/>
      <c r="AF141" s="384"/>
      <c r="AG141" s="384"/>
      <c r="AH141" s="443">
        <v>21230</v>
      </c>
      <c r="AI141" s="384">
        <v>17135</v>
      </c>
      <c r="AJ141" s="384"/>
      <c r="AK141" s="384"/>
      <c r="AL141" s="384">
        <v>4095</v>
      </c>
      <c r="AM141" s="384"/>
      <c r="AN141" s="384"/>
      <c r="AO141" s="385" t="s">
        <v>928</v>
      </c>
      <c r="AP141" s="385" t="s">
        <v>1345</v>
      </c>
      <c r="AQ141" s="385"/>
    </row>
    <row r="142" spans="1:43" ht="75">
      <c r="A142" s="437" t="s">
        <v>1346</v>
      </c>
      <c r="B142" s="455" t="s">
        <v>1347</v>
      </c>
      <c r="C142" s="23">
        <f t="shared" si="77"/>
        <v>19</v>
      </c>
      <c r="D142" s="471" t="s">
        <v>52</v>
      </c>
      <c r="E142" s="455" t="s">
        <v>1348</v>
      </c>
      <c r="F142" s="440" t="s">
        <v>52</v>
      </c>
      <c r="G142" s="448">
        <f t="shared" si="76"/>
        <v>0.97407563770749572</v>
      </c>
      <c r="H142" s="448"/>
      <c r="I142" s="389">
        <v>15</v>
      </c>
      <c r="J142" s="494">
        <v>2</v>
      </c>
      <c r="K142" s="494">
        <v>2</v>
      </c>
      <c r="L142" s="494">
        <v>2</v>
      </c>
      <c r="M142" s="384">
        <v>1675</v>
      </c>
      <c r="N142" s="384">
        <v>1675</v>
      </c>
      <c r="O142" s="384">
        <v>1675</v>
      </c>
      <c r="P142" s="494">
        <v>2</v>
      </c>
      <c r="Q142" s="494">
        <v>2</v>
      </c>
      <c r="R142" s="494">
        <v>2</v>
      </c>
      <c r="S142" s="384">
        <v>1675</v>
      </c>
      <c r="T142" s="384">
        <v>1675</v>
      </c>
      <c r="U142" s="384">
        <v>1675</v>
      </c>
      <c r="V142" s="494">
        <v>1</v>
      </c>
      <c r="W142" s="494">
        <v>1</v>
      </c>
      <c r="X142" s="494">
        <v>1</v>
      </c>
      <c r="Y142" s="384">
        <v>840</v>
      </c>
      <c r="Z142" s="384">
        <v>840</v>
      </c>
      <c r="AA142" s="384">
        <v>840</v>
      </c>
      <c r="AB142" s="494">
        <v>1</v>
      </c>
      <c r="AC142" s="494">
        <v>2</v>
      </c>
      <c r="AD142" s="494">
        <v>1</v>
      </c>
      <c r="AE142" s="384">
        <v>840</v>
      </c>
      <c r="AF142" s="384">
        <v>1675</v>
      </c>
      <c r="AG142" s="384">
        <v>835</v>
      </c>
      <c r="AH142" s="443">
        <v>15920</v>
      </c>
      <c r="AI142" s="384">
        <v>12850</v>
      </c>
      <c r="AJ142" s="384"/>
      <c r="AK142" s="384"/>
      <c r="AL142" s="384">
        <v>3070</v>
      </c>
      <c r="AM142" s="384"/>
      <c r="AN142" s="384"/>
      <c r="AO142" s="385" t="s">
        <v>928</v>
      </c>
      <c r="AP142" s="385" t="s">
        <v>1345</v>
      </c>
      <c r="AQ142" s="385"/>
    </row>
    <row r="143" spans="1:43" ht="45">
      <c r="A143" s="437" t="s">
        <v>1349</v>
      </c>
      <c r="B143" s="455" t="s">
        <v>1350</v>
      </c>
      <c r="C143" s="23">
        <f t="shared" si="77"/>
        <v>8</v>
      </c>
      <c r="D143" s="447" t="s">
        <v>252</v>
      </c>
      <c r="E143" s="455" t="s">
        <v>1351</v>
      </c>
      <c r="F143" s="440" t="s">
        <v>52</v>
      </c>
      <c r="G143" s="448">
        <f t="shared" si="76"/>
        <v>1.2989714691287775</v>
      </c>
      <c r="H143" s="448"/>
      <c r="I143" s="389">
        <v>20</v>
      </c>
      <c r="J143" s="494"/>
      <c r="K143" s="494">
        <v>1</v>
      </c>
      <c r="L143" s="494">
        <v>1</v>
      </c>
      <c r="M143" s="384"/>
      <c r="N143" s="384">
        <v>2655</v>
      </c>
      <c r="O143" s="384">
        <v>2655</v>
      </c>
      <c r="P143" s="494"/>
      <c r="Q143" s="494">
        <v>1</v>
      </c>
      <c r="R143" s="494">
        <v>1</v>
      </c>
      <c r="S143" s="384"/>
      <c r="T143" s="384">
        <v>2655</v>
      </c>
      <c r="U143" s="384">
        <v>2655</v>
      </c>
      <c r="V143" s="494"/>
      <c r="W143" s="494">
        <v>1</v>
      </c>
      <c r="X143" s="494">
        <v>1</v>
      </c>
      <c r="Y143" s="384"/>
      <c r="Z143" s="384">
        <v>2655</v>
      </c>
      <c r="AA143" s="384">
        <v>2655</v>
      </c>
      <c r="AB143" s="494"/>
      <c r="AC143" s="494">
        <v>1</v>
      </c>
      <c r="AD143" s="494">
        <v>1</v>
      </c>
      <c r="AE143" s="384"/>
      <c r="AF143" s="384">
        <v>2655</v>
      </c>
      <c r="AG143" s="384">
        <v>2645</v>
      </c>
      <c r="AH143" s="443">
        <v>21230</v>
      </c>
      <c r="AI143" s="384">
        <v>17135</v>
      </c>
      <c r="AJ143" s="384"/>
      <c r="AK143" s="384"/>
      <c r="AL143" s="384">
        <v>4095</v>
      </c>
      <c r="AM143" s="384"/>
      <c r="AN143" s="384"/>
      <c r="AO143" s="385" t="s">
        <v>928</v>
      </c>
      <c r="AP143" s="385" t="s">
        <v>1345</v>
      </c>
      <c r="AQ143" s="385"/>
    </row>
    <row r="144" spans="1:43" ht="60">
      <c r="A144" s="437" t="s">
        <v>1352</v>
      </c>
      <c r="B144" s="455" t="s">
        <v>1353</v>
      </c>
      <c r="C144" s="23">
        <f t="shared" si="77"/>
        <v>12</v>
      </c>
      <c r="D144" s="447" t="s">
        <v>52</v>
      </c>
      <c r="E144" s="455" t="s">
        <v>1354</v>
      </c>
      <c r="F144" s="440" t="s">
        <v>52</v>
      </c>
      <c r="G144" s="448">
        <f t="shared" si="76"/>
        <v>1.6235613722718847</v>
      </c>
      <c r="H144" s="448"/>
      <c r="I144" s="389">
        <v>25</v>
      </c>
      <c r="J144" s="494">
        <v>1</v>
      </c>
      <c r="K144" s="494">
        <v>1</v>
      </c>
      <c r="L144" s="494">
        <v>1</v>
      </c>
      <c r="M144" s="384">
        <v>2210</v>
      </c>
      <c r="N144" s="384">
        <v>2210</v>
      </c>
      <c r="O144" s="384">
        <v>2210</v>
      </c>
      <c r="P144" s="494">
        <v>1</v>
      </c>
      <c r="Q144" s="494">
        <v>1</v>
      </c>
      <c r="R144" s="494">
        <v>1</v>
      </c>
      <c r="S144" s="384">
        <v>2210</v>
      </c>
      <c r="T144" s="384">
        <v>2210</v>
      </c>
      <c r="U144" s="384">
        <v>2210</v>
      </c>
      <c r="V144" s="494">
        <v>1</v>
      </c>
      <c r="W144" s="494">
        <v>1</v>
      </c>
      <c r="X144" s="494">
        <v>1</v>
      </c>
      <c r="Y144" s="384">
        <v>2210</v>
      </c>
      <c r="Z144" s="384">
        <v>2210</v>
      </c>
      <c r="AA144" s="384">
        <v>2210</v>
      </c>
      <c r="AB144" s="494">
        <v>1</v>
      </c>
      <c r="AC144" s="494">
        <v>1</v>
      </c>
      <c r="AD144" s="494">
        <v>1</v>
      </c>
      <c r="AE144" s="384">
        <v>2210</v>
      </c>
      <c r="AF144" s="384">
        <v>2210</v>
      </c>
      <c r="AG144" s="384">
        <v>2225</v>
      </c>
      <c r="AH144" s="443">
        <v>26535</v>
      </c>
      <c r="AI144" s="384">
        <v>21420</v>
      </c>
      <c r="AJ144" s="384"/>
      <c r="AK144" s="384"/>
      <c r="AL144" s="384">
        <v>5115</v>
      </c>
      <c r="AM144" s="384"/>
      <c r="AN144" s="384"/>
      <c r="AO144" s="385" t="s">
        <v>928</v>
      </c>
      <c r="AP144" s="385" t="s">
        <v>1345</v>
      </c>
      <c r="AQ144" s="385"/>
    </row>
    <row r="145" spans="1:43" ht="75">
      <c r="A145" s="437" t="s">
        <v>1355</v>
      </c>
      <c r="B145" s="455" t="s">
        <v>1356</v>
      </c>
      <c r="C145" s="23">
        <f t="shared" si="77"/>
        <v>100</v>
      </c>
      <c r="D145" s="447" t="s">
        <v>747</v>
      </c>
      <c r="E145" s="455" t="s">
        <v>1357</v>
      </c>
      <c r="F145" s="440" t="s">
        <v>1026</v>
      </c>
      <c r="G145" s="448">
        <f t="shared" si="76"/>
        <v>0.97407563770749572</v>
      </c>
      <c r="H145" s="448"/>
      <c r="I145" s="389">
        <v>15</v>
      </c>
      <c r="J145" s="383"/>
      <c r="K145" s="383"/>
      <c r="L145" s="383"/>
      <c r="M145" s="384"/>
      <c r="N145" s="384"/>
      <c r="O145" s="384"/>
      <c r="P145" s="383"/>
      <c r="Q145" s="383"/>
      <c r="R145" s="383">
        <v>25</v>
      </c>
      <c r="S145" s="384"/>
      <c r="T145" s="384"/>
      <c r="U145" s="384">
        <v>3980</v>
      </c>
      <c r="V145" s="383">
        <v>25</v>
      </c>
      <c r="W145" s="383">
        <v>25</v>
      </c>
      <c r="X145" s="383">
        <v>25</v>
      </c>
      <c r="Y145" s="384">
        <v>3980</v>
      </c>
      <c r="Z145" s="384">
        <v>3980</v>
      </c>
      <c r="AA145" s="384">
        <v>3980</v>
      </c>
      <c r="AB145" s="383"/>
      <c r="AC145" s="383"/>
      <c r="AD145" s="383"/>
      <c r="AE145" s="384"/>
      <c r="AF145" s="384"/>
      <c r="AG145" s="384"/>
      <c r="AH145" s="443">
        <v>15920</v>
      </c>
      <c r="AI145" s="384">
        <v>12850</v>
      </c>
      <c r="AJ145" s="384"/>
      <c r="AK145" s="384"/>
      <c r="AL145" s="384">
        <v>3070</v>
      </c>
      <c r="AM145" s="384"/>
      <c r="AN145" s="384"/>
      <c r="AO145" s="385" t="s">
        <v>928</v>
      </c>
      <c r="AP145" s="385" t="s">
        <v>1345</v>
      </c>
      <c r="AQ145" s="385"/>
    </row>
    <row r="146" spans="1:43" ht="45">
      <c r="A146" s="437" t="s">
        <v>1358</v>
      </c>
      <c r="B146" s="455" t="s">
        <v>1359</v>
      </c>
      <c r="C146" s="23">
        <f t="shared" si="77"/>
        <v>6</v>
      </c>
      <c r="D146" s="447" t="s">
        <v>944</v>
      </c>
      <c r="E146" s="455" t="s">
        <v>1360</v>
      </c>
      <c r="F146" s="440" t="s">
        <v>52</v>
      </c>
      <c r="G146" s="448">
        <f t="shared" si="76"/>
        <v>0.32489583142128159</v>
      </c>
      <c r="H146" s="448"/>
      <c r="I146" s="389">
        <v>5</v>
      </c>
      <c r="J146" s="383"/>
      <c r="K146" s="383"/>
      <c r="L146" s="383">
        <v>1</v>
      </c>
      <c r="M146" s="384"/>
      <c r="N146" s="384"/>
      <c r="O146" s="384">
        <v>885</v>
      </c>
      <c r="P146" s="494">
        <v>1</v>
      </c>
      <c r="Q146" s="494">
        <v>1</v>
      </c>
      <c r="R146" s="494">
        <v>1</v>
      </c>
      <c r="S146" s="384">
        <v>885</v>
      </c>
      <c r="T146" s="384">
        <v>885</v>
      </c>
      <c r="U146" s="384">
        <v>885</v>
      </c>
      <c r="V146" s="494">
        <v>1</v>
      </c>
      <c r="W146" s="494">
        <v>1</v>
      </c>
      <c r="X146" s="383"/>
      <c r="Y146" s="384">
        <v>885</v>
      </c>
      <c r="Z146" s="384">
        <v>885</v>
      </c>
      <c r="AA146" s="384"/>
      <c r="AB146" s="383"/>
      <c r="AC146" s="383"/>
      <c r="AD146" s="383"/>
      <c r="AE146" s="384"/>
      <c r="AF146" s="384"/>
      <c r="AG146" s="384"/>
      <c r="AH146" s="443">
        <v>5310</v>
      </c>
      <c r="AI146" s="384">
        <v>4285</v>
      </c>
      <c r="AJ146" s="384"/>
      <c r="AK146" s="384"/>
      <c r="AL146" s="384">
        <v>1025</v>
      </c>
      <c r="AM146" s="384"/>
      <c r="AN146" s="384"/>
      <c r="AO146" s="385" t="s">
        <v>928</v>
      </c>
      <c r="AP146" s="385" t="s">
        <v>1345</v>
      </c>
      <c r="AQ146" s="385"/>
    </row>
    <row r="147" spans="1:43" ht="15">
      <c r="A147" s="428" t="s">
        <v>1361</v>
      </c>
      <c r="B147" s="429" t="s">
        <v>1362</v>
      </c>
      <c r="C147" s="430"/>
      <c r="D147" s="431"/>
      <c r="E147" s="429"/>
      <c r="F147" s="432"/>
      <c r="G147" s="433">
        <f t="shared" si="76"/>
        <v>17.757606906636809</v>
      </c>
      <c r="H147" s="433"/>
      <c r="I147" s="451"/>
      <c r="J147" s="430"/>
      <c r="K147" s="430"/>
      <c r="L147" s="430"/>
      <c r="M147" s="452">
        <v>5080</v>
      </c>
      <c r="N147" s="452">
        <v>9920</v>
      </c>
      <c r="O147" s="452">
        <v>15700</v>
      </c>
      <c r="P147" s="430"/>
      <c r="Q147" s="430"/>
      <c r="R147" s="430"/>
      <c r="S147" s="452">
        <v>75900</v>
      </c>
      <c r="T147" s="452">
        <v>17635</v>
      </c>
      <c r="U147" s="452">
        <v>33550</v>
      </c>
      <c r="V147" s="430"/>
      <c r="W147" s="430"/>
      <c r="X147" s="430"/>
      <c r="Y147" s="452">
        <v>24915</v>
      </c>
      <c r="Z147" s="452">
        <v>7015</v>
      </c>
      <c r="AA147" s="452">
        <v>11855</v>
      </c>
      <c r="AB147" s="430"/>
      <c r="AC147" s="430"/>
      <c r="AD147" s="430"/>
      <c r="AE147" s="452">
        <v>39375</v>
      </c>
      <c r="AF147" s="452">
        <v>38675</v>
      </c>
      <c r="AG147" s="452">
        <v>10605</v>
      </c>
      <c r="AH147" s="452">
        <v>290225</v>
      </c>
      <c r="AI147" s="452">
        <v>99840</v>
      </c>
      <c r="AJ147" s="452"/>
      <c r="AK147" s="452"/>
      <c r="AL147" s="452">
        <v>190385</v>
      </c>
      <c r="AM147" s="452"/>
      <c r="AN147" s="452"/>
      <c r="AO147" s="431"/>
      <c r="AP147" s="431"/>
      <c r="AQ147" s="431"/>
    </row>
    <row r="148" spans="1:43" ht="60">
      <c r="A148" s="437" t="s">
        <v>1363</v>
      </c>
      <c r="B148" s="455" t="s">
        <v>1364</v>
      </c>
      <c r="C148" s="23">
        <f t="shared" ref="C148:C156" si="78">SUM(J148,K148,L148,P148,Q148,R148,V148,W148,X148,AB148,AC148,AD148)</f>
        <v>11</v>
      </c>
      <c r="D148" s="447" t="s">
        <v>944</v>
      </c>
      <c r="E148" s="455" t="s">
        <v>1365</v>
      </c>
      <c r="F148" s="440" t="s">
        <v>52</v>
      </c>
      <c r="G148" s="448">
        <f t="shared" si="76"/>
        <v>3.7289597826685514</v>
      </c>
      <c r="H148" s="448"/>
      <c r="I148" s="382">
        <v>21</v>
      </c>
      <c r="J148" s="383"/>
      <c r="K148" s="383"/>
      <c r="L148" s="383">
        <v>1</v>
      </c>
      <c r="M148" s="384"/>
      <c r="N148" s="384"/>
      <c r="O148" s="384">
        <v>5540</v>
      </c>
      <c r="P148" s="383">
        <v>2</v>
      </c>
      <c r="Q148" s="383">
        <v>1</v>
      </c>
      <c r="R148" s="383">
        <v>3</v>
      </c>
      <c r="S148" s="384">
        <v>11080</v>
      </c>
      <c r="T148" s="384">
        <v>5540</v>
      </c>
      <c r="U148" s="384">
        <v>16620</v>
      </c>
      <c r="V148" s="383"/>
      <c r="W148" s="383"/>
      <c r="X148" s="383"/>
      <c r="Y148" s="384"/>
      <c r="Z148" s="384"/>
      <c r="AA148" s="384"/>
      <c r="AB148" s="383">
        <v>2</v>
      </c>
      <c r="AC148" s="383">
        <v>1</v>
      </c>
      <c r="AD148" s="383">
        <v>1</v>
      </c>
      <c r="AE148" s="384">
        <v>11080</v>
      </c>
      <c r="AF148" s="384">
        <v>5540</v>
      </c>
      <c r="AG148" s="384">
        <v>5545</v>
      </c>
      <c r="AH148" s="443">
        <v>60945</v>
      </c>
      <c r="AI148" s="384">
        <v>20965</v>
      </c>
      <c r="AJ148" s="384"/>
      <c r="AK148" s="384"/>
      <c r="AL148" s="384">
        <v>39980</v>
      </c>
      <c r="AM148" s="384"/>
      <c r="AN148" s="384"/>
      <c r="AO148" s="385" t="s">
        <v>928</v>
      </c>
      <c r="AP148" s="385" t="s">
        <v>974</v>
      </c>
      <c r="AQ148" s="385"/>
    </row>
    <row r="149" spans="1:43" ht="60">
      <c r="A149" s="437" t="s">
        <v>1366</v>
      </c>
      <c r="B149" s="455" t="s">
        <v>1367</v>
      </c>
      <c r="C149" s="23">
        <f t="shared" si="78"/>
        <v>2</v>
      </c>
      <c r="D149" s="447" t="s">
        <v>995</v>
      </c>
      <c r="E149" s="455" t="s">
        <v>1368</v>
      </c>
      <c r="F149" s="440" t="s">
        <v>57</v>
      </c>
      <c r="G149" s="448">
        <f t="shared" si="76"/>
        <v>1.5981693251834042</v>
      </c>
      <c r="H149" s="448"/>
      <c r="I149" s="382">
        <v>9</v>
      </c>
      <c r="J149" s="383"/>
      <c r="K149" s="383"/>
      <c r="L149" s="383"/>
      <c r="M149" s="384"/>
      <c r="N149" s="384"/>
      <c r="O149" s="384"/>
      <c r="P149" s="383">
        <v>1</v>
      </c>
      <c r="Q149" s="383"/>
      <c r="R149" s="383"/>
      <c r="S149" s="384">
        <v>13060</v>
      </c>
      <c r="T149" s="384"/>
      <c r="U149" s="384"/>
      <c r="V149" s="383">
        <v>1</v>
      </c>
      <c r="W149" s="383"/>
      <c r="X149" s="383"/>
      <c r="Y149" s="384">
        <v>13060</v>
      </c>
      <c r="Z149" s="384"/>
      <c r="AA149" s="384"/>
      <c r="AB149" s="383"/>
      <c r="AC149" s="383"/>
      <c r="AD149" s="383"/>
      <c r="AE149" s="384"/>
      <c r="AF149" s="384"/>
      <c r="AG149" s="384"/>
      <c r="AH149" s="443">
        <v>26120</v>
      </c>
      <c r="AI149" s="384">
        <v>8985</v>
      </c>
      <c r="AJ149" s="384"/>
      <c r="AK149" s="384"/>
      <c r="AL149" s="384">
        <v>17135</v>
      </c>
      <c r="AM149" s="384"/>
      <c r="AN149" s="384"/>
      <c r="AO149" s="385" t="s">
        <v>928</v>
      </c>
      <c r="AP149" s="385" t="s">
        <v>974</v>
      </c>
      <c r="AQ149" s="385"/>
    </row>
    <row r="150" spans="1:43" ht="60">
      <c r="A150" s="437" t="s">
        <v>1369</v>
      </c>
      <c r="B150" s="455" t="s">
        <v>1370</v>
      </c>
      <c r="C150" s="23">
        <f t="shared" si="78"/>
        <v>24</v>
      </c>
      <c r="D150" s="447" t="s">
        <v>944</v>
      </c>
      <c r="E150" s="455" t="s">
        <v>1371</v>
      </c>
      <c r="F150" s="440" t="s">
        <v>52</v>
      </c>
      <c r="G150" s="448">
        <f t="shared" si="76"/>
        <v>0.88780386326229677</v>
      </c>
      <c r="H150" s="448"/>
      <c r="I150" s="382">
        <v>5</v>
      </c>
      <c r="J150" s="383">
        <v>2</v>
      </c>
      <c r="K150" s="383">
        <v>2</v>
      </c>
      <c r="L150" s="383">
        <v>2</v>
      </c>
      <c r="M150" s="384">
        <v>1210</v>
      </c>
      <c r="N150" s="384">
        <v>1210</v>
      </c>
      <c r="O150" s="384">
        <v>1210</v>
      </c>
      <c r="P150" s="383">
        <v>2</v>
      </c>
      <c r="Q150" s="383">
        <v>2</v>
      </c>
      <c r="R150" s="383">
        <v>2</v>
      </c>
      <c r="S150" s="384">
        <v>1210</v>
      </c>
      <c r="T150" s="384">
        <v>1210</v>
      </c>
      <c r="U150" s="384">
        <v>1210</v>
      </c>
      <c r="V150" s="383">
        <v>2</v>
      </c>
      <c r="W150" s="383">
        <v>2</v>
      </c>
      <c r="X150" s="383">
        <v>2</v>
      </c>
      <c r="Y150" s="384">
        <v>1210</v>
      </c>
      <c r="Z150" s="384">
        <v>1210</v>
      </c>
      <c r="AA150" s="384">
        <v>1210</v>
      </c>
      <c r="AB150" s="383">
        <v>2</v>
      </c>
      <c r="AC150" s="383">
        <v>2</v>
      </c>
      <c r="AD150" s="383">
        <v>2</v>
      </c>
      <c r="AE150" s="384">
        <v>1210</v>
      </c>
      <c r="AF150" s="384">
        <v>1210</v>
      </c>
      <c r="AG150" s="384">
        <v>1200</v>
      </c>
      <c r="AH150" s="443">
        <v>14510</v>
      </c>
      <c r="AI150" s="384">
        <v>4990</v>
      </c>
      <c r="AJ150" s="384"/>
      <c r="AK150" s="384"/>
      <c r="AL150" s="384">
        <v>9520</v>
      </c>
      <c r="AM150" s="384"/>
      <c r="AN150" s="384"/>
      <c r="AO150" s="385" t="s">
        <v>928</v>
      </c>
      <c r="AP150" s="385" t="s">
        <v>974</v>
      </c>
      <c r="AQ150" s="385"/>
    </row>
    <row r="151" spans="1:43" ht="45">
      <c r="A151" s="437" t="s">
        <v>1372</v>
      </c>
      <c r="B151" s="455" t="s">
        <v>1373</v>
      </c>
      <c r="C151" s="23">
        <f t="shared" si="78"/>
        <v>300</v>
      </c>
      <c r="D151" s="447" t="s">
        <v>747</v>
      </c>
      <c r="E151" s="455" t="s">
        <v>1374</v>
      </c>
      <c r="F151" s="440" t="s">
        <v>52</v>
      </c>
      <c r="G151" s="448">
        <f t="shared" si="76"/>
        <v>3.5512154530491871</v>
      </c>
      <c r="H151" s="448"/>
      <c r="I151" s="382">
        <v>20</v>
      </c>
      <c r="J151" s="383">
        <v>20</v>
      </c>
      <c r="K151" s="383">
        <v>20</v>
      </c>
      <c r="L151" s="383">
        <v>20</v>
      </c>
      <c r="M151" s="384">
        <v>3870</v>
      </c>
      <c r="N151" s="384">
        <v>3870</v>
      </c>
      <c r="O151" s="384">
        <v>3870</v>
      </c>
      <c r="P151" s="383">
        <v>30</v>
      </c>
      <c r="Q151" s="383">
        <v>30</v>
      </c>
      <c r="R151" s="383">
        <v>30</v>
      </c>
      <c r="S151" s="384">
        <v>5805</v>
      </c>
      <c r="T151" s="384">
        <v>5805</v>
      </c>
      <c r="U151" s="384">
        <v>5805</v>
      </c>
      <c r="V151" s="383">
        <v>30</v>
      </c>
      <c r="W151" s="383">
        <v>30</v>
      </c>
      <c r="X151" s="383">
        <v>30</v>
      </c>
      <c r="Y151" s="384">
        <v>5805</v>
      </c>
      <c r="Z151" s="384">
        <v>5805</v>
      </c>
      <c r="AA151" s="384">
        <v>5805</v>
      </c>
      <c r="AB151" s="383">
        <v>20</v>
      </c>
      <c r="AC151" s="383">
        <v>20</v>
      </c>
      <c r="AD151" s="383">
        <v>20</v>
      </c>
      <c r="AE151" s="384">
        <v>3870</v>
      </c>
      <c r="AF151" s="384">
        <v>3870</v>
      </c>
      <c r="AG151" s="384">
        <v>3860</v>
      </c>
      <c r="AH151" s="443">
        <v>58040</v>
      </c>
      <c r="AI151" s="384">
        <v>19965</v>
      </c>
      <c r="AJ151" s="384"/>
      <c r="AK151" s="384"/>
      <c r="AL151" s="384">
        <v>38075</v>
      </c>
      <c r="AM151" s="384"/>
      <c r="AN151" s="384"/>
      <c r="AO151" s="385" t="s">
        <v>928</v>
      </c>
      <c r="AP151" s="385" t="s">
        <v>974</v>
      </c>
      <c r="AQ151" s="385"/>
    </row>
    <row r="152" spans="1:43" ht="30">
      <c r="A152" s="437" t="s">
        <v>1375</v>
      </c>
      <c r="B152" s="455" t="s">
        <v>1376</v>
      </c>
      <c r="C152" s="23">
        <f t="shared" si="78"/>
        <v>1</v>
      </c>
      <c r="D152" s="447" t="s">
        <v>55</v>
      </c>
      <c r="E152" s="455" t="s">
        <v>1377</v>
      </c>
      <c r="F152" s="440" t="s">
        <v>55</v>
      </c>
      <c r="G152" s="448">
        <f t="shared" si="76"/>
        <v>1.4204249955640398</v>
      </c>
      <c r="H152" s="448"/>
      <c r="I152" s="382">
        <v>8</v>
      </c>
      <c r="J152" s="383"/>
      <c r="K152" s="383"/>
      <c r="L152" s="383"/>
      <c r="M152" s="384"/>
      <c r="N152" s="384"/>
      <c r="O152" s="384"/>
      <c r="P152" s="383"/>
      <c r="Q152" s="383"/>
      <c r="R152" s="383"/>
      <c r="S152" s="384"/>
      <c r="T152" s="384"/>
      <c r="U152" s="384"/>
      <c r="V152" s="383"/>
      <c r="W152" s="383"/>
      <c r="X152" s="383"/>
      <c r="Y152" s="384"/>
      <c r="Z152" s="384"/>
      <c r="AA152" s="384"/>
      <c r="AB152" s="383"/>
      <c r="AC152" s="383">
        <v>1</v>
      </c>
      <c r="AD152" s="383"/>
      <c r="AE152" s="384"/>
      <c r="AF152" s="384">
        <v>23215</v>
      </c>
      <c r="AG152" s="384"/>
      <c r="AH152" s="443">
        <v>23215</v>
      </c>
      <c r="AI152" s="384">
        <v>7985</v>
      </c>
      <c r="AJ152" s="384"/>
      <c r="AK152" s="384"/>
      <c r="AL152" s="384">
        <v>15230</v>
      </c>
      <c r="AM152" s="384"/>
      <c r="AN152" s="384"/>
      <c r="AO152" s="385" t="s">
        <v>928</v>
      </c>
      <c r="AP152" s="385" t="s">
        <v>974</v>
      </c>
      <c r="AQ152" s="385"/>
    </row>
    <row r="153" spans="1:43" ht="45">
      <c r="A153" s="437" t="s">
        <v>1378</v>
      </c>
      <c r="B153" s="455" t="s">
        <v>1379</v>
      </c>
      <c r="C153" s="23">
        <f t="shared" si="78"/>
        <v>2</v>
      </c>
      <c r="D153" s="447" t="s">
        <v>944</v>
      </c>
      <c r="E153" s="455" t="s">
        <v>1380</v>
      </c>
      <c r="F153" s="440" t="s">
        <v>52</v>
      </c>
      <c r="G153" s="448">
        <f t="shared" si="76"/>
        <v>1.4204249955640398</v>
      </c>
      <c r="H153" s="448"/>
      <c r="I153" s="382">
        <v>8</v>
      </c>
      <c r="J153" s="383"/>
      <c r="K153" s="383"/>
      <c r="L153" s="383"/>
      <c r="M153" s="384"/>
      <c r="N153" s="384"/>
      <c r="O153" s="384"/>
      <c r="P153" s="383"/>
      <c r="Q153" s="383"/>
      <c r="R153" s="383"/>
      <c r="S153" s="384"/>
      <c r="T153" s="384"/>
      <c r="U153" s="384"/>
      <c r="V153" s="383"/>
      <c r="W153" s="383"/>
      <c r="X153" s="383"/>
      <c r="Y153" s="384"/>
      <c r="Z153" s="384"/>
      <c r="AA153" s="384"/>
      <c r="AB153" s="383">
        <v>2</v>
      </c>
      <c r="AC153" s="383"/>
      <c r="AD153" s="383"/>
      <c r="AE153" s="384">
        <v>23215</v>
      </c>
      <c r="AF153" s="384"/>
      <c r="AG153" s="384"/>
      <c r="AH153" s="443">
        <v>23215</v>
      </c>
      <c r="AI153" s="384">
        <v>7985</v>
      </c>
      <c r="AJ153" s="384"/>
      <c r="AK153" s="384"/>
      <c r="AL153" s="384">
        <v>15230</v>
      </c>
      <c r="AM153" s="384"/>
      <c r="AN153" s="384"/>
      <c r="AO153" s="385" t="s">
        <v>928</v>
      </c>
      <c r="AP153" s="385" t="s">
        <v>974</v>
      </c>
      <c r="AQ153" s="385"/>
    </row>
    <row r="154" spans="1:43" ht="45">
      <c r="A154" s="437" t="s">
        <v>1381</v>
      </c>
      <c r="B154" s="440" t="s">
        <v>1382</v>
      </c>
      <c r="C154" s="23">
        <f t="shared" si="78"/>
        <v>20</v>
      </c>
      <c r="D154" s="447" t="s">
        <v>747</v>
      </c>
      <c r="E154" s="440" t="s">
        <v>1383</v>
      </c>
      <c r="F154" s="440" t="s">
        <v>52</v>
      </c>
      <c r="G154" s="448">
        <f t="shared" si="76"/>
        <v>2.1307904574851473</v>
      </c>
      <c r="H154" s="448"/>
      <c r="I154" s="382">
        <v>12</v>
      </c>
      <c r="J154" s="383"/>
      <c r="K154" s="383"/>
      <c r="L154" s="383"/>
      <c r="M154" s="384"/>
      <c r="N154" s="384"/>
      <c r="O154" s="384"/>
      <c r="P154" s="383">
        <v>20</v>
      </c>
      <c r="Q154" s="383"/>
      <c r="R154" s="383"/>
      <c r="S154" s="384">
        <v>34825</v>
      </c>
      <c r="T154" s="384"/>
      <c r="U154" s="384"/>
      <c r="V154" s="383"/>
      <c r="W154" s="383"/>
      <c r="X154" s="383"/>
      <c r="Y154" s="384"/>
      <c r="Z154" s="384"/>
      <c r="AA154" s="384"/>
      <c r="AB154" s="383"/>
      <c r="AC154" s="383"/>
      <c r="AD154" s="383"/>
      <c r="AE154" s="384"/>
      <c r="AF154" s="384"/>
      <c r="AG154" s="384"/>
      <c r="AH154" s="443">
        <v>34825</v>
      </c>
      <c r="AI154" s="384">
        <v>11980</v>
      </c>
      <c r="AJ154" s="384"/>
      <c r="AK154" s="384"/>
      <c r="AL154" s="384">
        <v>22845</v>
      </c>
      <c r="AM154" s="384"/>
      <c r="AN154" s="384"/>
      <c r="AO154" s="385" t="s">
        <v>928</v>
      </c>
      <c r="AP154" s="385" t="s">
        <v>974</v>
      </c>
      <c r="AQ154" s="385"/>
    </row>
    <row r="155" spans="1:43" ht="45">
      <c r="A155" s="437" t="s">
        <v>1384</v>
      </c>
      <c r="B155" s="440" t="s">
        <v>1385</v>
      </c>
      <c r="C155" s="23">
        <f t="shared" si="78"/>
        <v>60</v>
      </c>
      <c r="D155" s="447" t="s">
        <v>747</v>
      </c>
      <c r="E155" s="440" t="s">
        <v>1386</v>
      </c>
      <c r="F155" s="440" t="s">
        <v>361</v>
      </c>
      <c r="G155" s="448">
        <f t="shared" si="76"/>
        <v>1.2429865942228504</v>
      </c>
      <c r="H155" s="448"/>
      <c r="I155" s="382">
        <v>7</v>
      </c>
      <c r="J155" s="383"/>
      <c r="K155" s="383"/>
      <c r="L155" s="383">
        <v>15</v>
      </c>
      <c r="M155" s="384"/>
      <c r="N155" s="384"/>
      <c r="O155" s="384">
        <v>5080</v>
      </c>
      <c r="P155" s="383">
        <v>15</v>
      </c>
      <c r="Q155" s="383">
        <v>15</v>
      </c>
      <c r="R155" s="383">
        <v>15</v>
      </c>
      <c r="S155" s="384">
        <v>5080</v>
      </c>
      <c r="T155" s="384">
        <v>5080</v>
      </c>
      <c r="U155" s="384">
        <v>5075</v>
      </c>
      <c r="V155" s="383"/>
      <c r="W155" s="383"/>
      <c r="X155" s="383"/>
      <c r="Y155" s="384"/>
      <c r="Z155" s="384"/>
      <c r="AA155" s="384"/>
      <c r="AB155" s="383"/>
      <c r="AC155" s="383"/>
      <c r="AD155" s="383"/>
      <c r="AE155" s="384"/>
      <c r="AF155" s="384"/>
      <c r="AG155" s="384"/>
      <c r="AH155" s="443">
        <v>20315</v>
      </c>
      <c r="AI155" s="384">
        <v>6990</v>
      </c>
      <c r="AJ155" s="384"/>
      <c r="AK155" s="384"/>
      <c r="AL155" s="384">
        <v>13325</v>
      </c>
      <c r="AM155" s="384"/>
      <c r="AN155" s="384"/>
      <c r="AO155" s="385" t="s">
        <v>928</v>
      </c>
      <c r="AP155" s="385" t="s">
        <v>974</v>
      </c>
      <c r="AQ155" s="385"/>
    </row>
    <row r="156" spans="1:43" ht="30">
      <c r="A156" s="437" t="s">
        <v>1387</v>
      </c>
      <c r="B156" s="440" t="s">
        <v>1388</v>
      </c>
      <c r="C156" s="23">
        <f t="shared" si="78"/>
        <v>6</v>
      </c>
      <c r="D156" s="447" t="s">
        <v>944</v>
      </c>
      <c r="E156" s="440" t="s">
        <v>1389</v>
      </c>
      <c r="F156" s="440" t="s">
        <v>309</v>
      </c>
      <c r="G156" s="448">
        <f t="shared" si="76"/>
        <v>1.7768314396372915</v>
      </c>
      <c r="H156" s="448"/>
      <c r="I156" s="382">
        <v>10</v>
      </c>
      <c r="J156" s="383"/>
      <c r="K156" s="383">
        <v>1</v>
      </c>
      <c r="L156" s="383"/>
      <c r="M156" s="384"/>
      <c r="N156" s="384">
        <v>4840</v>
      </c>
      <c r="O156" s="384"/>
      <c r="P156" s="383">
        <v>1</v>
      </c>
      <c r="Q156" s="383"/>
      <c r="R156" s="383">
        <v>1</v>
      </c>
      <c r="S156" s="384">
        <v>4840</v>
      </c>
      <c r="T156" s="384"/>
      <c r="U156" s="384">
        <v>4840</v>
      </c>
      <c r="V156" s="383">
        <v>1</v>
      </c>
      <c r="W156" s="383"/>
      <c r="X156" s="383">
        <v>1</v>
      </c>
      <c r="Y156" s="384">
        <v>4840</v>
      </c>
      <c r="Z156" s="384"/>
      <c r="AA156" s="384">
        <v>4840</v>
      </c>
      <c r="AB156" s="383"/>
      <c r="AC156" s="383">
        <v>1</v>
      </c>
      <c r="AD156" s="383"/>
      <c r="AE156" s="384"/>
      <c r="AF156" s="384">
        <v>4840</v>
      </c>
      <c r="AG156" s="384"/>
      <c r="AH156" s="443">
        <v>29040</v>
      </c>
      <c r="AI156" s="384">
        <v>9995</v>
      </c>
      <c r="AJ156" s="384"/>
      <c r="AK156" s="384"/>
      <c r="AL156" s="384">
        <v>19045</v>
      </c>
      <c r="AM156" s="384"/>
      <c r="AN156" s="384"/>
      <c r="AO156" s="385" t="s">
        <v>928</v>
      </c>
      <c r="AP156" s="385" t="s">
        <v>974</v>
      </c>
      <c r="AQ156" s="385"/>
    </row>
    <row r="157" spans="1:43" ht="15">
      <c r="A157" s="495"/>
      <c r="B157" s="496"/>
      <c r="C157" s="497"/>
      <c r="D157" s="498"/>
      <c r="E157" s="495"/>
      <c r="F157" s="496"/>
      <c r="G157" s="499"/>
      <c r="H157" s="499"/>
      <c r="I157" s="499"/>
      <c r="J157" s="500"/>
      <c r="K157" s="500"/>
      <c r="L157" s="500"/>
      <c r="M157" s="501">
        <f>SUM(M69,M56,M47,M42,M10)</f>
        <v>58055</v>
      </c>
      <c r="N157" s="501">
        <f t="shared" ref="N157:O157" si="79">SUM(N69,N56,N47,N42,N10)</f>
        <v>66550</v>
      </c>
      <c r="O157" s="501">
        <f t="shared" si="79"/>
        <v>123395</v>
      </c>
      <c r="P157" s="500"/>
      <c r="Q157" s="500"/>
      <c r="R157" s="500"/>
      <c r="S157" s="501">
        <f t="shared" ref="S157:U157" si="80">SUM(S69,S56,S47,S42,S10)</f>
        <v>198965</v>
      </c>
      <c r="T157" s="501">
        <f t="shared" si="80"/>
        <v>84180</v>
      </c>
      <c r="U157" s="501">
        <f t="shared" si="80"/>
        <v>357055</v>
      </c>
      <c r="V157" s="500"/>
      <c r="W157" s="500"/>
      <c r="X157" s="500"/>
      <c r="Y157" s="501">
        <f t="shared" ref="Y157:AA157" si="81">SUM(Y69,Y56,Y47,Y42,Y10)</f>
        <v>119490</v>
      </c>
      <c r="Z157" s="501">
        <f t="shared" si="81"/>
        <v>106700</v>
      </c>
      <c r="AA157" s="501">
        <f t="shared" si="81"/>
        <v>188320</v>
      </c>
      <c r="AB157" s="500"/>
      <c r="AC157" s="500"/>
      <c r="AD157" s="500"/>
      <c r="AE157" s="501">
        <f t="shared" ref="AE157:AI157" si="82">SUM(AE69,AE56,AE47,AE42,AE10)</f>
        <v>110825</v>
      </c>
      <c r="AF157" s="501">
        <f t="shared" si="82"/>
        <v>111140</v>
      </c>
      <c r="AG157" s="501">
        <f t="shared" si="82"/>
        <v>109695</v>
      </c>
      <c r="AH157" s="501">
        <f t="shared" si="82"/>
        <v>1634370</v>
      </c>
      <c r="AI157" s="501">
        <f t="shared" si="82"/>
        <v>1003000</v>
      </c>
      <c r="AJ157" s="501"/>
      <c r="AK157" s="501"/>
      <c r="AL157" s="501">
        <f>SUM(AL69,AL56,AL47,AL42,AL10)</f>
        <v>416350</v>
      </c>
      <c r="AM157" s="501">
        <f>SUM(AM69,AM56,AM47,AM42,AM10)</f>
        <v>215020</v>
      </c>
      <c r="AN157" s="501"/>
      <c r="AO157" s="502"/>
      <c r="AP157" s="502"/>
      <c r="AQ157" s="502"/>
    </row>
  </sheetData>
  <sheetProtection algorithmName="SHA-512" hashValue="JvjpjxoISussRoss016vvwGG0feQuet67AbUelYTKA2DPvgYIOmKB8/9LusW5kSYoKIkS5XIMuXmytEMq5F/pw==" saltValue="Qs9y4E9wFon3/IfTvy/z1w==" spinCount="100000" sheet="1" objects="1" scenarios="1"/>
  <mergeCells count="38">
    <mergeCell ref="A83:A84"/>
    <mergeCell ref="B83:B84"/>
    <mergeCell ref="E83:E84"/>
    <mergeCell ref="AN7:AN9"/>
    <mergeCell ref="J8:L8"/>
    <mergeCell ref="M8:O8"/>
    <mergeCell ref="P8:R8"/>
    <mergeCell ref="S8:U8"/>
    <mergeCell ref="V8:X8"/>
    <mergeCell ref="Y8:AA8"/>
    <mergeCell ref="AB8:AD8"/>
    <mergeCell ref="AE8:AG8"/>
    <mergeCell ref="AH7:AH9"/>
    <mergeCell ref="AI7:AI9"/>
    <mergeCell ref="AJ7:AJ9"/>
    <mergeCell ref="AK7:AK9"/>
    <mergeCell ref="AB7:AG7"/>
    <mergeCell ref="AL7:AL9"/>
    <mergeCell ref="AM7:AM9"/>
    <mergeCell ref="I6:I9"/>
    <mergeCell ref="J6:AH6"/>
    <mergeCell ref="AI6:AN6"/>
    <mergeCell ref="A1:AQ1"/>
    <mergeCell ref="A2:AQ2"/>
    <mergeCell ref="A6:A9"/>
    <mergeCell ref="B6:B9"/>
    <mergeCell ref="C6:C9"/>
    <mergeCell ref="D6:D9"/>
    <mergeCell ref="E6:E9"/>
    <mergeCell ref="F6:F9"/>
    <mergeCell ref="G6:G9"/>
    <mergeCell ref="H6:H9"/>
    <mergeCell ref="AO6:AO9"/>
    <mergeCell ref="AP6:AP9"/>
    <mergeCell ref="AQ6:AQ9"/>
    <mergeCell ref="J7:O7"/>
    <mergeCell ref="P7:U7"/>
    <mergeCell ref="V7:AA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31"/>
  <sheetViews>
    <sheetView workbookViewId="0">
      <selection activeCell="E15" sqref="E15"/>
    </sheetView>
  </sheetViews>
  <sheetFormatPr baseColWidth="10" defaultRowHeight="14.4"/>
  <cols>
    <col min="1" max="1" width="17.44140625" bestFit="1" customWidth="1"/>
    <col min="2" max="2" width="29.88671875" customWidth="1"/>
    <col min="3" max="3" width="14.33203125" customWidth="1"/>
    <col min="4" max="4" width="14.44140625" bestFit="1" customWidth="1"/>
    <col min="5" max="5" width="31.6640625" customWidth="1"/>
    <col min="6" max="6" width="19.5546875" customWidth="1"/>
    <col min="7" max="7" width="9" customWidth="1"/>
    <col min="8" max="8" width="8.44140625" customWidth="1"/>
    <col min="9" max="9" width="9.109375" customWidth="1"/>
    <col min="10" max="11" width="5.6640625" bestFit="1" customWidth="1"/>
    <col min="12" max="12" width="8.33203125" bestFit="1" customWidth="1"/>
    <col min="13" max="13" width="14.5546875" customWidth="1"/>
    <col min="14" max="14" width="12.6640625" bestFit="1" customWidth="1"/>
    <col min="15" max="15" width="14.5546875" bestFit="1" customWidth="1"/>
    <col min="16" max="16" width="9.44140625" bestFit="1" customWidth="1"/>
    <col min="17" max="17" width="9.88671875" bestFit="1" customWidth="1"/>
    <col min="18" max="18" width="9" bestFit="1" customWidth="1"/>
    <col min="19" max="21" width="12.6640625" bestFit="1" customWidth="1"/>
    <col min="22" max="24" width="11.44140625" bestFit="1" customWidth="1"/>
    <col min="25" max="27" width="14.5546875" bestFit="1" customWidth="1"/>
    <col min="28" max="28" width="9.44140625" bestFit="1" customWidth="1"/>
    <col min="29" max="30" width="9.109375" bestFit="1" customWidth="1"/>
    <col min="31" max="33" width="12.6640625" bestFit="1" customWidth="1"/>
    <col min="34" max="34" width="16.44140625" bestFit="1" customWidth="1"/>
    <col min="35" max="37" width="15" bestFit="1" customWidth="1"/>
    <col min="38" max="38" width="5.33203125" customWidth="1"/>
    <col min="39" max="39" width="8.44140625" customWidth="1"/>
    <col min="40" max="40" width="6.44140625" customWidth="1"/>
    <col min="41" max="41" width="17.109375" customWidth="1"/>
    <col min="42" max="42" width="18.5546875" customWidth="1"/>
    <col min="43" max="43" width="13" customWidth="1"/>
  </cols>
  <sheetData>
    <row r="1" spans="1:43" ht="17.399999999999999">
      <c r="A1" s="2038" t="s">
        <v>0</v>
      </c>
      <c r="B1" s="2038"/>
      <c r="C1" s="2038"/>
      <c r="D1" s="2038"/>
      <c r="E1" s="2038"/>
      <c r="F1" s="2038"/>
      <c r="G1" s="2038"/>
      <c r="H1" s="2038"/>
      <c r="I1" s="2038"/>
      <c r="J1" s="2038"/>
      <c r="K1" s="2038"/>
      <c r="L1" s="2038"/>
      <c r="M1" s="2038"/>
      <c r="N1" s="2038"/>
      <c r="O1" s="2038"/>
      <c r="P1" s="2038"/>
      <c r="Q1" s="2038"/>
      <c r="R1" s="2038"/>
      <c r="S1" s="2038"/>
      <c r="T1" s="2038"/>
      <c r="U1" s="2038"/>
      <c r="V1" s="2038"/>
      <c r="W1" s="2038"/>
      <c r="X1" s="2038"/>
      <c r="Y1" s="2038"/>
      <c r="Z1" s="2038"/>
      <c r="AA1" s="2038"/>
      <c r="AB1" s="2038"/>
      <c r="AC1" s="2038"/>
      <c r="AD1" s="2038"/>
      <c r="AE1" s="2038"/>
      <c r="AF1" s="2038"/>
      <c r="AG1" s="2038"/>
      <c r="AH1" s="2038"/>
      <c r="AI1" s="2038"/>
      <c r="AJ1" s="2038"/>
      <c r="AK1" s="2038"/>
      <c r="AL1" s="2038"/>
      <c r="AM1" s="2038"/>
      <c r="AN1" s="2038"/>
      <c r="AO1" s="2038"/>
      <c r="AP1" s="2038"/>
      <c r="AQ1" s="2038"/>
    </row>
    <row r="2" spans="1:43" ht="17.399999999999999">
      <c r="A2" s="2038" t="s">
        <v>1</v>
      </c>
      <c r="B2" s="2038"/>
      <c r="C2" s="2038"/>
      <c r="D2" s="2038"/>
      <c r="E2" s="2038"/>
      <c r="F2" s="2038"/>
      <c r="G2" s="2038"/>
      <c r="H2" s="2038"/>
      <c r="I2" s="2038"/>
      <c r="J2" s="2038"/>
      <c r="K2" s="2038"/>
      <c r="L2" s="2038"/>
      <c r="M2" s="2038"/>
      <c r="N2" s="2038"/>
      <c r="O2" s="2038"/>
      <c r="P2" s="2038"/>
      <c r="Q2" s="2038"/>
      <c r="R2" s="2038"/>
      <c r="S2" s="2038"/>
      <c r="T2" s="2038"/>
      <c r="U2" s="2038"/>
      <c r="V2" s="2038"/>
      <c r="W2" s="2038"/>
      <c r="X2" s="2038"/>
      <c r="Y2" s="2038"/>
      <c r="Z2" s="2038"/>
      <c r="AA2" s="2038"/>
      <c r="AB2" s="2038"/>
      <c r="AC2" s="2038"/>
      <c r="AD2" s="2038"/>
      <c r="AE2" s="2038"/>
      <c r="AF2" s="2038"/>
      <c r="AG2" s="2038"/>
      <c r="AH2" s="2038"/>
      <c r="AI2" s="2038"/>
      <c r="AJ2" s="2038"/>
      <c r="AK2" s="2038"/>
      <c r="AL2" s="2038"/>
      <c r="AM2" s="2038"/>
      <c r="AN2" s="2038"/>
      <c r="AO2" s="2038"/>
      <c r="AP2" s="2038"/>
      <c r="AQ2" s="2038"/>
    </row>
    <row r="3" spans="1:43" ht="17.399999999999999">
      <c r="A3" s="2039"/>
      <c r="B3" s="2039"/>
      <c r="C3" s="2039"/>
      <c r="D3" s="2039"/>
      <c r="E3" s="2039"/>
      <c r="F3" s="2039"/>
      <c r="G3" s="2039"/>
      <c r="H3" s="2039"/>
      <c r="I3" s="2039"/>
      <c r="J3" s="2039"/>
      <c r="K3" s="2039"/>
      <c r="L3" s="2039"/>
      <c r="M3" s="2039"/>
      <c r="N3" s="2039"/>
      <c r="O3" s="2039"/>
      <c r="P3" s="2039"/>
      <c r="Q3" s="2039"/>
      <c r="R3" s="2039"/>
      <c r="S3" s="2039"/>
      <c r="T3" s="2039"/>
      <c r="U3" s="2039"/>
      <c r="V3" s="2039"/>
      <c r="W3" s="2039"/>
      <c r="X3" s="2039"/>
      <c r="Y3" s="2039"/>
      <c r="Z3" s="2039"/>
      <c r="AA3" s="2039"/>
      <c r="AB3" s="2039"/>
      <c r="AC3" s="2039"/>
      <c r="AD3" s="2039"/>
      <c r="AE3" s="2039"/>
      <c r="AF3" s="2039"/>
      <c r="AG3" s="2039"/>
      <c r="AH3" s="2039"/>
      <c r="AI3" s="2039"/>
      <c r="AJ3" s="2039"/>
      <c r="AK3" s="2039"/>
      <c r="AL3" s="2039"/>
      <c r="AM3" s="2039"/>
      <c r="AN3" s="2039"/>
      <c r="AO3" s="2039"/>
      <c r="AP3" s="2039"/>
      <c r="AQ3" s="2039"/>
    </row>
    <row r="4" spans="1:43" ht="15.6">
      <c r="A4" s="503"/>
      <c r="B4" s="504" t="s">
        <v>1390</v>
      </c>
      <c r="C4" s="505"/>
      <c r="D4" s="505"/>
      <c r="E4" s="506"/>
      <c r="F4" s="507"/>
      <c r="G4" s="505"/>
      <c r="H4" s="508"/>
      <c r="I4" s="505"/>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7"/>
    </row>
    <row r="5" spans="1:43" ht="15.6">
      <c r="A5" s="503"/>
      <c r="B5" s="504" t="s">
        <v>1391</v>
      </c>
      <c r="C5" s="505"/>
      <c r="D5" s="505"/>
      <c r="E5" s="506"/>
      <c r="F5" s="507"/>
      <c r="G5" s="505"/>
      <c r="H5" s="508"/>
      <c r="I5" s="505"/>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507"/>
      <c r="AL5" s="507"/>
      <c r="AM5" s="507"/>
      <c r="AN5" s="507"/>
      <c r="AO5" s="507"/>
      <c r="AP5" s="507"/>
      <c r="AQ5" s="507"/>
    </row>
    <row r="6" spans="1:43" ht="15.6">
      <c r="A6" s="503"/>
      <c r="B6" s="504" t="s">
        <v>1392</v>
      </c>
      <c r="C6" s="505"/>
      <c r="D6" s="505"/>
      <c r="E6" s="503"/>
      <c r="F6" s="509"/>
      <c r="G6" s="510"/>
      <c r="H6" s="511"/>
      <c r="I6" s="512"/>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513"/>
      <c r="AK6" s="513"/>
      <c r="AL6" s="513"/>
      <c r="AM6" s="513"/>
      <c r="AN6" s="513"/>
      <c r="AO6" s="513"/>
      <c r="AP6" s="513"/>
      <c r="AQ6" s="513"/>
    </row>
    <row r="7" spans="1:43" ht="15.6">
      <c r="A7" s="80" t="s">
        <v>5</v>
      </c>
      <c r="B7" s="2040" t="s">
        <v>1393</v>
      </c>
      <c r="C7" s="2042" t="s">
        <v>7</v>
      </c>
      <c r="D7" s="1957" t="s">
        <v>1394</v>
      </c>
      <c r="E7" s="1957" t="s">
        <v>9</v>
      </c>
      <c r="F7" s="1957" t="s">
        <v>10</v>
      </c>
      <c r="G7" s="2044" t="s">
        <v>11</v>
      </c>
      <c r="H7" s="2044" t="s">
        <v>12</v>
      </c>
      <c r="I7" s="2044" t="s">
        <v>401</v>
      </c>
      <c r="J7" s="2042" t="s">
        <v>14</v>
      </c>
      <c r="K7" s="2042"/>
      <c r="L7" s="2042"/>
      <c r="M7" s="2042"/>
      <c r="N7" s="2042"/>
      <c r="O7" s="2042"/>
      <c r="P7" s="2042"/>
      <c r="Q7" s="2042"/>
      <c r="R7" s="2042"/>
      <c r="S7" s="2042"/>
      <c r="T7" s="2042"/>
      <c r="U7" s="2042"/>
      <c r="V7" s="2042"/>
      <c r="W7" s="2042"/>
      <c r="X7" s="2042"/>
      <c r="Y7" s="2042"/>
      <c r="Z7" s="2042"/>
      <c r="AA7" s="2042"/>
      <c r="AB7" s="2042"/>
      <c r="AC7" s="2042"/>
      <c r="AD7" s="2042"/>
      <c r="AE7" s="2042"/>
      <c r="AF7" s="2042"/>
      <c r="AG7" s="2042"/>
      <c r="AH7" s="2042"/>
      <c r="AI7" s="1957" t="s">
        <v>15</v>
      </c>
      <c r="AJ7" s="1957"/>
      <c r="AK7" s="1957"/>
      <c r="AL7" s="1957"/>
      <c r="AM7" s="1957"/>
      <c r="AN7" s="1957"/>
      <c r="AO7" s="1957" t="s">
        <v>16</v>
      </c>
      <c r="AP7" s="1957" t="s">
        <v>17</v>
      </c>
      <c r="AQ7" s="2044" t="s">
        <v>18</v>
      </c>
    </row>
    <row r="8" spans="1:43" ht="15.6">
      <c r="A8" s="2046" t="s">
        <v>1395</v>
      </c>
      <c r="B8" s="2040"/>
      <c r="C8" s="2042"/>
      <c r="D8" s="1957"/>
      <c r="E8" s="1957"/>
      <c r="F8" s="1957"/>
      <c r="G8" s="2044"/>
      <c r="H8" s="2044"/>
      <c r="I8" s="2044"/>
      <c r="J8" s="2048" t="s">
        <v>19</v>
      </c>
      <c r="K8" s="2048"/>
      <c r="L8" s="2048"/>
      <c r="M8" s="2048"/>
      <c r="N8" s="2048"/>
      <c r="O8" s="2048"/>
      <c r="P8" s="2048" t="s">
        <v>20</v>
      </c>
      <c r="Q8" s="2048"/>
      <c r="R8" s="2048"/>
      <c r="S8" s="2048"/>
      <c r="T8" s="2048"/>
      <c r="U8" s="2048"/>
      <c r="V8" s="2049" t="s">
        <v>21</v>
      </c>
      <c r="W8" s="2049"/>
      <c r="X8" s="2049"/>
      <c r="Y8" s="2049"/>
      <c r="Z8" s="2049"/>
      <c r="AA8" s="2049"/>
      <c r="AB8" s="2048" t="s">
        <v>22</v>
      </c>
      <c r="AC8" s="2048"/>
      <c r="AD8" s="2048"/>
      <c r="AE8" s="2048"/>
      <c r="AF8" s="2048"/>
      <c r="AG8" s="2048"/>
      <c r="AH8" s="2042" t="s">
        <v>403</v>
      </c>
      <c r="AI8" s="1957" t="s">
        <v>24</v>
      </c>
      <c r="AJ8" s="1958" t="s">
        <v>25</v>
      </c>
      <c r="AK8" s="2052" t="s">
        <v>916</v>
      </c>
      <c r="AL8" s="1954" t="s">
        <v>27</v>
      </c>
      <c r="AM8" s="1954" t="s">
        <v>28</v>
      </c>
      <c r="AN8" s="1954" t="s">
        <v>29</v>
      </c>
      <c r="AO8" s="1957"/>
      <c r="AP8" s="1957"/>
      <c r="AQ8" s="2044"/>
    </row>
    <row r="9" spans="1:43" ht="15.6">
      <c r="A9" s="2047"/>
      <c r="B9" s="2040"/>
      <c r="C9" s="2042"/>
      <c r="D9" s="1957"/>
      <c r="E9" s="1957"/>
      <c r="F9" s="1957"/>
      <c r="G9" s="2044"/>
      <c r="H9" s="2044"/>
      <c r="I9" s="2044"/>
      <c r="J9" s="2048" t="s">
        <v>1396</v>
      </c>
      <c r="K9" s="2048"/>
      <c r="L9" s="2048"/>
      <c r="M9" s="2048" t="s">
        <v>31</v>
      </c>
      <c r="N9" s="2048"/>
      <c r="O9" s="2048"/>
      <c r="P9" s="2048" t="s">
        <v>1396</v>
      </c>
      <c r="Q9" s="2048"/>
      <c r="R9" s="2048"/>
      <c r="S9" s="2048" t="s">
        <v>31</v>
      </c>
      <c r="T9" s="2048"/>
      <c r="U9" s="2048"/>
      <c r="V9" s="2048" t="s">
        <v>1396</v>
      </c>
      <c r="W9" s="2048"/>
      <c r="X9" s="2048"/>
      <c r="Y9" s="2048" t="s">
        <v>31</v>
      </c>
      <c r="Z9" s="2048"/>
      <c r="AA9" s="2048"/>
      <c r="AB9" s="2048" t="s">
        <v>1396</v>
      </c>
      <c r="AC9" s="2048"/>
      <c r="AD9" s="2048"/>
      <c r="AE9" s="2048" t="s">
        <v>31</v>
      </c>
      <c r="AF9" s="2048"/>
      <c r="AG9" s="2048"/>
      <c r="AH9" s="2042"/>
      <c r="AI9" s="1957"/>
      <c r="AJ9" s="1959"/>
      <c r="AK9" s="2053"/>
      <c r="AL9" s="1955"/>
      <c r="AM9" s="1955"/>
      <c r="AN9" s="1955"/>
      <c r="AO9" s="1957"/>
      <c r="AP9" s="1957"/>
      <c r="AQ9" s="2044"/>
    </row>
    <row r="10" spans="1:43" ht="15.6">
      <c r="A10" s="2047"/>
      <c r="B10" s="2041"/>
      <c r="C10" s="2043"/>
      <c r="D10" s="1958"/>
      <c r="E10" s="1958"/>
      <c r="F10" s="1958"/>
      <c r="G10" s="1954"/>
      <c r="H10" s="1954"/>
      <c r="I10" s="1954"/>
      <c r="J10" s="514" t="s">
        <v>32</v>
      </c>
      <c r="K10" s="514" t="s">
        <v>33</v>
      </c>
      <c r="L10" s="514" t="s">
        <v>34</v>
      </c>
      <c r="M10" s="514" t="s">
        <v>32</v>
      </c>
      <c r="N10" s="514" t="s">
        <v>33</v>
      </c>
      <c r="O10" s="514" t="s">
        <v>34</v>
      </c>
      <c r="P10" s="514" t="s">
        <v>35</v>
      </c>
      <c r="Q10" s="514" t="s">
        <v>34</v>
      </c>
      <c r="R10" s="514" t="s">
        <v>36</v>
      </c>
      <c r="S10" s="514" t="s">
        <v>35</v>
      </c>
      <c r="T10" s="514" t="s">
        <v>34</v>
      </c>
      <c r="U10" s="514" t="s">
        <v>36</v>
      </c>
      <c r="V10" s="514" t="s">
        <v>36</v>
      </c>
      <c r="W10" s="514" t="s">
        <v>35</v>
      </c>
      <c r="X10" s="514" t="s">
        <v>37</v>
      </c>
      <c r="Y10" s="514" t="s">
        <v>36</v>
      </c>
      <c r="Z10" s="514" t="s">
        <v>35</v>
      </c>
      <c r="AA10" s="514" t="s">
        <v>37</v>
      </c>
      <c r="AB10" s="514" t="s">
        <v>38</v>
      </c>
      <c r="AC10" s="514" t="s">
        <v>39</v>
      </c>
      <c r="AD10" s="514" t="s">
        <v>40</v>
      </c>
      <c r="AE10" s="514" t="s">
        <v>38</v>
      </c>
      <c r="AF10" s="514" t="s">
        <v>39</v>
      </c>
      <c r="AG10" s="514" t="s">
        <v>40</v>
      </c>
      <c r="AH10" s="2043"/>
      <c r="AI10" s="1958"/>
      <c r="AJ10" s="2045"/>
      <c r="AK10" s="2054"/>
      <c r="AL10" s="1955"/>
      <c r="AM10" s="1955"/>
      <c r="AN10" s="1955"/>
      <c r="AO10" s="1958"/>
      <c r="AP10" s="1958"/>
      <c r="AQ10" s="1954"/>
    </row>
    <row r="11" spans="1:43" ht="60">
      <c r="A11" s="47" t="s">
        <v>41</v>
      </c>
      <c r="B11" s="47" t="s">
        <v>42</v>
      </c>
      <c r="C11" s="47"/>
      <c r="D11" s="515"/>
      <c r="E11" s="47"/>
      <c r="F11" s="47"/>
      <c r="G11" s="47"/>
      <c r="H11" s="47"/>
      <c r="I11" s="47"/>
      <c r="J11" s="7"/>
      <c r="K11" s="7"/>
      <c r="L11" s="7"/>
      <c r="M11" s="9">
        <f>SUM(M12,M29)</f>
        <v>118610</v>
      </c>
      <c r="N11" s="9"/>
      <c r="O11" s="9">
        <f t="shared" ref="O11" si="0">SUM(O12,O29)</f>
        <v>136445</v>
      </c>
      <c r="P11" s="7"/>
      <c r="Q11" s="7"/>
      <c r="R11" s="7"/>
      <c r="S11" s="9">
        <f t="shared" ref="S11:U11" si="1">SUM(S12,S29)</f>
        <v>89890</v>
      </c>
      <c r="T11" s="9">
        <f t="shared" si="1"/>
        <v>136445</v>
      </c>
      <c r="U11" s="9">
        <f t="shared" si="1"/>
        <v>136445</v>
      </c>
      <c r="V11" s="7"/>
      <c r="W11" s="7"/>
      <c r="X11" s="7"/>
      <c r="Y11" s="9">
        <f t="shared" ref="Y11:AA11" si="2">SUM(Y12,Y29)</f>
        <v>2147830</v>
      </c>
      <c r="Z11" s="9">
        <f t="shared" si="2"/>
        <v>1628945</v>
      </c>
      <c r="AA11" s="9">
        <f t="shared" si="2"/>
        <v>2342440</v>
      </c>
      <c r="AB11" s="7"/>
      <c r="AC11" s="7"/>
      <c r="AD11" s="7"/>
      <c r="AE11" s="9">
        <f t="shared" ref="AE11:AK11" si="3">SUM(AE12,AE29)</f>
        <v>77890</v>
      </c>
      <c r="AF11" s="9">
        <f t="shared" si="3"/>
        <v>195000</v>
      </c>
      <c r="AG11" s="9">
        <f t="shared" si="3"/>
        <v>27820</v>
      </c>
      <c r="AH11" s="9">
        <f t="shared" si="3"/>
        <v>7037760</v>
      </c>
      <c r="AI11" s="9">
        <f t="shared" si="3"/>
        <v>5600940</v>
      </c>
      <c r="AJ11" s="9">
        <f t="shared" si="3"/>
        <v>1303820</v>
      </c>
      <c r="AK11" s="9">
        <f t="shared" si="3"/>
        <v>133000</v>
      </c>
      <c r="AL11" s="9"/>
      <c r="AM11" s="9"/>
      <c r="AN11" s="9"/>
      <c r="AO11" s="47"/>
      <c r="AP11" s="47"/>
      <c r="AQ11" s="47"/>
    </row>
    <row r="12" spans="1:43" ht="60">
      <c r="A12" s="355" t="s">
        <v>44</v>
      </c>
      <c r="B12" s="355" t="s">
        <v>1397</v>
      </c>
      <c r="C12" s="355"/>
      <c r="D12" s="516"/>
      <c r="E12" s="355"/>
      <c r="F12" s="355"/>
      <c r="G12" s="355"/>
      <c r="H12" s="355"/>
      <c r="I12" s="355"/>
      <c r="J12" s="11"/>
      <c r="K12" s="11"/>
      <c r="L12" s="11"/>
      <c r="M12" s="13">
        <f>SUM(M13,M17,M21,M25)</f>
        <v>118610</v>
      </c>
      <c r="N12" s="13"/>
      <c r="O12" s="13">
        <f t="shared" ref="O12" si="4">SUM(O13,O17,O21,O25)</f>
        <v>58555</v>
      </c>
      <c r="P12" s="11"/>
      <c r="Q12" s="11"/>
      <c r="R12" s="11"/>
      <c r="S12" s="13">
        <f t="shared" ref="S12:U12" si="5">SUM(S13,S17,S21,S25)</f>
        <v>12000</v>
      </c>
      <c r="T12" s="13">
        <f t="shared" si="5"/>
        <v>58555</v>
      </c>
      <c r="U12" s="13">
        <f t="shared" si="5"/>
        <v>58555</v>
      </c>
      <c r="V12" s="11"/>
      <c r="W12" s="11"/>
      <c r="X12" s="11"/>
      <c r="Y12" s="13">
        <f t="shared" ref="Y12:AA12" si="6">SUM(Y13,Y17,Y21,Y25)</f>
        <v>469940</v>
      </c>
      <c r="Z12" s="13">
        <f t="shared" si="6"/>
        <v>15000</v>
      </c>
      <c r="AA12" s="13">
        <f t="shared" si="6"/>
        <v>528495</v>
      </c>
      <c r="AB12" s="11"/>
      <c r="AC12" s="11"/>
      <c r="AD12" s="11"/>
      <c r="AE12" s="13"/>
      <c r="AF12" s="13">
        <f>SUM(AF13,AF17,AF21,AF25)</f>
        <v>117110</v>
      </c>
      <c r="AG12" s="13"/>
      <c r="AH12" s="13">
        <f>SUM(AH13,AH17,AH21,AH25)</f>
        <v>1436820</v>
      </c>
      <c r="AI12" s="13"/>
      <c r="AJ12" s="13">
        <f t="shared" ref="AJ12:AK12" si="7">SUM(AJ13,AJ17,AJ21,AJ25)</f>
        <v>1303820</v>
      </c>
      <c r="AK12" s="13">
        <f t="shared" si="7"/>
        <v>133000</v>
      </c>
      <c r="AL12" s="13"/>
      <c r="AM12" s="13"/>
      <c r="AN12" s="13"/>
      <c r="AO12" s="355"/>
      <c r="AP12" s="355"/>
      <c r="AQ12" s="355"/>
    </row>
    <row r="13" spans="1:43" ht="75">
      <c r="A13" s="517" t="s">
        <v>1398</v>
      </c>
      <c r="B13" s="517" t="s">
        <v>1399</v>
      </c>
      <c r="C13" s="518"/>
      <c r="D13" s="519"/>
      <c r="E13" s="517"/>
      <c r="F13" s="517"/>
      <c r="G13" s="520"/>
      <c r="H13" s="521"/>
      <c r="I13" s="522"/>
      <c r="J13" s="523"/>
      <c r="K13" s="523"/>
      <c r="L13" s="523"/>
      <c r="M13" s="524"/>
      <c r="N13" s="524"/>
      <c r="O13" s="524">
        <f>SUM(O14)</f>
        <v>58555</v>
      </c>
      <c r="P13" s="523"/>
      <c r="Q13" s="523"/>
      <c r="R13" s="523"/>
      <c r="S13" s="524">
        <f t="shared" ref="S13:U13" si="8">SUM(S14)</f>
        <v>3000</v>
      </c>
      <c r="T13" s="524">
        <f t="shared" si="8"/>
        <v>58555</v>
      </c>
      <c r="U13" s="524">
        <f t="shared" si="8"/>
        <v>58555</v>
      </c>
      <c r="V13" s="523"/>
      <c r="W13" s="523"/>
      <c r="X13" s="523"/>
      <c r="Y13" s="524">
        <f t="shared" ref="Y13:AA13" si="9">SUM(Y14)</f>
        <v>58555</v>
      </c>
      <c r="Z13" s="524">
        <f t="shared" si="9"/>
        <v>6000</v>
      </c>
      <c r="AA13" s="524">
        <f t="shared" si="9"/>
        <v>117110</v>
      </c>
      <c r="AB13" s="523"/>
      <c r="AC13" s="523"/>
      <c r="AD13" s="523"/>
      <c r="AE13" s="524"/>
      <c r="AF13" s="524">
        <f>SUM(AF14)</f>
        <v>117110</v>
      </c>
      <c r="AG13" s="524"/>
      <c r="AH13" s="524">
        <f>SUM(AH14)</f>
        <v>477440</v>
      </c>
      <c r="AI13" s="524"/>
      <c r="AJ13" s="524">
        <f t="shared" ref="AJ13:AK13" si="10">SUM(AJ14)</f>
        <v>421440</v>
      </c>
      <c r="AK13" s="524">
        <f t="shared" si="10"/>
        <v>56000</v>
      </c>
      <c r="AL13" s="525"/>
      <c r="AM13" s="525"/>
      <c r="AN13" s="525"/>
      <c r="AO13" s="526"/>
      <c r="AP13" s="526" t="s">
        <v>1400</v>
      </c>
      <c r="AQ13" s="527"/>
    </row>
    <row r="14" spans="1:43" ht="105">
      <c r="A14" s="371" t="s">
        <v>1401</v>
      </c>
      <c r="B14" s="371" t="s">
        <v>1402</v>
      </c>
      <c r="C14" s="372"/>
      <c r="D14" s="528" t="s">
        <v>55</v>
      </c>
      <c r="E14" s="371" t="s">
        <v>1403</v>
      </c>
      <c r="F14" s="371"/>
      <c r="G14" s="529"/>
      <c r="H14" s="530"/>
      <c r="I14" s="531"/>
      <c r="J14" s="532"/>
      <c r="K14" s="532"/>
      <c r="L14" s="532"/>
      <c r="M14" s="533"/>
      <c r="N14" s="533"/>
      <c r="O14" s="533">
        <f>SUM(O15:O16)</f>
        <v>58555</v>
      </c>
      <c r="P14" s="532"/>
      <c r="Q14" s="532"/>
      <c r="R14" s="532"/>
      <c r="S14" s="533">
        <f t="shared" ref="S14:U14" si="11">SUM(S15:S16)</f>
        <v>3000</v>
      </c>
      <c r="T14" s="533">
        <f t="shared" si="11"/>
        <v>58555</v>
      </c>
      <c r="U14" s="533">
        <f t="shared" si="11"/>
        <v>58555</v>
      </c>
      <c r="V14" s="532"/>
      <c r="W14" s="532"/>
      <c r="X14" s="532"/>
      <c r="Y14" s="533">
        <f t="shared" ref="Y14:AA14" si="12">SUM(Y15:Y16)</f>
        <v>58555</v>
      </c>
      <c r="Z14" s="533">
        <f t="shared" si="12"/>
        <v>6000</v>
      </c>
      <c r="AA14" s="533">
        <f t="shared" si="12"/>
        <v>117110</v>
      </c>
      <c r="AB14" s="532"/>
      <c r="AC14" s="532"/>
      <c r="AD14" s="532"/>
      <c r="AE14" s="533"/>
      <c r="AF14" s="533">
        <f>SUM(AF15:AF16)</f>
        <v>117110</v>
      </c>
      <c r="AG14" s="533"/>
      <c r="AH14" s="533">
        <f>SUM(AH15:AH16)</f>
        <v>477440</v>
      </c>
      <c r="AI14" s="533"/>
      <c r="AJ14" s="533">
        <f t="shared" ref="AJ14:AK14" si="13">SUM(AJ15:AJ16)</f>
        <v>421440</v>
      </c>
      <c r="AK14" s="533">
        <f t="shared" si="13"/>
        <v>56000</v>
      </c>
      <c r="AL14" s="534"/>
      <c r="AM14" s="534"/>
      <c r="AN14" s="534"/>
      <c r="AO14" s="535"/>
      <c r="AP14" s="371" t="s">
        <v>1404</v>
      </c>
      <c r="AQ14" s="536"/>
    </row>
    <row r="15" spans="1:43" ht="60">
      <c r="A15" s="537" t="s">
        <v>1405</v>
      </c>
      <c r="B15" s="538" t="s">
        <v>1406</v>
      </c>
      <c r="C15" s="539">
        <f>+J15+K15+L15+P15+Q15+R15+V15+W15+X15+AB15+AC15+AD15</f>
        <v>6</v>
      </c>
      <c r="D15" s="540" t="s">
        <v>55</v>
      </c>
      <c r="E15" s="538" t="s">
        <v>1407</v>
      </c>
      <c r="F15" s="22" t="s">
        <v>1408</v>
      </c>
      <c r="G15" s="541"/>
      <c r="H15" s="542"/>
      <c r="I15" s="541"/>
      <c r="J15" s="543"/>
      <c r="K15" s="543"/>
      <c r="L15" s="543"/>
      <c r="M15" s="544"/>
      <c r="N15" s="544"/>
      <c r="O15" s="544"/>
      <c r="P15" s="543">
        <v>2</v>
      </c>
      <c r="Q15" s="543"/>
      <c r="R15" s="543"/>
      <c r="S15" s="544">
        <f>1500*2</f>
        <v>3000</v>
      </c>
      <c r="T15" s="544"/>
      <c r="U15" s="544"/>
      <c r="V15" s="543"/>
      <c r="W15" s="543">
        <v>4</v>
      </c>
      <c r="X15" s="543"/>
      <c r="Y15" s="544"/>
      <c r="Z15" s="544">
        <f>1500*4</f>
        <v>6000</v>
      </c>
      <c r="AA15" s="544"/>
      <c r="AB15" s="543"/>
      <c r="AC15" s="543"/>
      <c r="AD15" s="543"/>
      <c r="AE15" s="544"/>
      <c r="AF15" s="544"/>
      <c r="AG15" s="544"/>
      <c r="AH15" s="26">
        <f t="shared" ref="AH15:AH16" si="14">SUM(M15,N15,O15,S15,T15,U15,Y15,Z15,AA15,AE15,AF15,AG15)</f>
        <v>9000</v>
      </c>
      <c r="AI15" s="545"/>
      <c r="AJ15" s="545">
        <f>+AH15</f>
        <v>9000</v>
      </c>
      <c r="AK15" s="545"/>
      <c r="AL15" s="546"/>
      <c r="AM15" s="545"/>
      <c r="AN15" s="545"/>
      <c r="AO15" s="538" t="s">
        <v>1409</v>
      </c>
      <c r="AP15" s="538" t="s">
        <v>1410</v>
      </c>
      <c r="AQ15" s="547"/>
    </row>
    <row r="16" spans="1:43" ht="75">
      <c r="A16" s="537" t="s">
        <v>1411</v>
      </c>
      <c r="B16" s="538" t="s">
        <v>1412</v>
      </c>
      <c r="C16" s="539">
        <f>+J16+K16+L16+P16+Q16+R16+V16+W16+X16+AB16+AC16+AD16</f>
        <v>8</v>
      </c>
      <c r="D16" s="540" t="s">
        <v>159</v>
      </c>
      <c r="E16" s="538" t="s">
        <v>1403</v>
      </c>
      <c r="F16" s="22" t="s">
        <v>1413</v>
      </c>
      <c r="G16" s="541"/>
      <c r="H16" s="542"/>
      <c r="I16" s="541"/>
      <c r="J16" s="548"/>
      <c r="K16" s="548"/>
      <c r="L16" s="548">
        <v>1</v>
      </c>
      <c r="M16" s="549"/>
      <c r="N16" s="549"/>
      <c r="O16" s="549">
        <v>58555</v>
      </c>
      <c r="P16" s="548"/>
      <c r="Q16" s="548">
        <v>1</v>
      </c>
      <c r="R16" s="548">
        <v>1</v>
      </c>
      <c r="S16" s="549"/>
      <c r="T16" s="549">
        <v>58555</v>
      </c>
      <c r="U16" s="549">
        <v>58555</v>
      </c>
      <c r="V16" s="548">
        <v>1</v>
      </c>
      <c r="W16" s="548"/>
      <c r="X16" s="548">
        <v>2</v>
      </c>
      <c r="Y16" s="549">
        <v>58555</v>
      </c>
      <c r="Z16" s="549"/>
      <c r="AA16" s="549">
        <f>58555*2</f>
        <v>117110</v>
      </c>
      <c r="AB16" s="548"/>
      <c r="AC16" s="548">
        <v>2</v>
      </c>
      <c r="AD16" s="548"/>
      <c r="AE16" s="549"/>
      <c r="AF16" s="549">
        <f>58555*2</f>
        <v>117110</v>
      </c>
      <c r="AG16" s="549"/>
      <c r="AH16" s="26">
        <f t="shared" si="14"/>
        <v>468440</v>
      </c>
      <c r="AI16" s="545"/>
      <c r="AJ16" s="545">
        <v>412440</v>
      </c>
      <c r="AK16" s="545">
        <v>56000</v>
      </c>
      <c r="AL16" s="546"/>
      <c r="AM16" s="545"/>
      <c r="AN16" s="545"/>
      <c r="AO16" s="538" t="s">
        <v>1409</v>
      </c>
      <c r="AP16" s="538" t="s">
        <v>1410</v>
      </c>
      <c r="AQ16" s="547"/>
    </row>
    <row r="17" spans="1:43" ht="30">
      <c r="A17" s="517" t="s">
        <v>1414</v>
      </c>
      <c r="B17" s="517" t="s">
        <v>534</v>
      </c>
      <c r="C17" s="518"/>
      <c r="D17" s="519"/>
      <c r="E17" s="517"/>
      <c r="F17" s="273"/>
      <c r="G17" s="520"/>
      <c r="H17" s="521"/>
      <c r="I17" s="522"/>
      <c r="J17" s="523"/>
      <c r="K17" s="523"/>
      <c r="L17" s="523"/>
      <c r="M17" s="524">
        <f>SUM(M18)</f>
        <v>118610</v>
      </c>
      <c r="N17" s="524"/>
      <c r="O17" s="524"/>
      <c r="P17" s="523"/>
      <c r="Q17" s="523"/>
      <c r="R17" s="523"/>
      <c r="S17" s="524"/>
      <c r="T17" s="524"/>
      <c r="U17" s="524"/>
      <c r="V17" s="523"/>
      <c r="W17" s="523"/>
      <c r="X17" s="523"/>
      <c r="Y17" s="524"/>
      <c r="Z17" s="524">
        <f>SUM(Z18)</f>
        <v>3000</v>
      </c>
      <c r="AA17" s="524">
        <f>SUM(AA18)</f>
        <v>117110</v>
      </c>
      <c r="AB17" s="523"/>
      <c r="AC17" s="523"/>
      <c r="AD17" s="523"/>
      <c r="AE17" s="524"/>
      <c r="AF17" s="524"/>
      <c r="AG17" s="524"/>
      <c r="AH17" s="524">
        <f>SUM(AH18)</f>
        <v>238720</v>
      </c>
      <c r="AI17" s="524"/>
      <c r="AJ17" s="524">
        <f t="shared" ref="AJ17:AK17" si="15">SUM(AJ18)</f>
        <v>224720</v>
      </c>
      <c r="AK17" s="524">
        <f t="shared" si="15"/>
        <v>14000</v>
      </c>
      <c r="AL17" s="525"/>
      <c r="AM17" s="525"/>
      <c r="AN17" s="525"/>
      <c r="AO17" s="526"/>
      <c r="AP17" s="526"/>
      <c r="AQ17" s="527"/>
    </row>
    <row r="18" spans="1:43" ht="90">
      <c r="A18" s="371" t="s">
        <v>1415</v>
      </c>
      <c r="B18" s="371" t="s">
        <v>1416</v>
      </c>
      <c r="C18" s="372"/>
      <c r="D18" s="528" t="s">
        <v>55</v>
      </c>
      <c r="E18" s="371" t="s">
        <v>1417</v>
      </c>
      <c r="F18" s="18"/>
      <c r="G18" s="529"/>
      <c r="H18" s="530"/>
      <c r="I18" s="531"/>
      <c r="J18" s="532"/>
      <c r="K18" s="532"/>
      <c r="L18" s="532"/>
      <c r="M18" s="533">
        <f>SUM(M19:M20)</f>
        <v>118610</v>
      </c>
      <c r="N18" s="533"/>
      <c r="O18" s="533"/>
      <c r="P18" s="532"/>
      <c r="Q18" s="532"/>
      <c r="R18" s="532"/>
      <c r="S18" s="533"/>
      <c r="T18" s="533"/>
      <c r="U18" s="533"/>
      <c r="V18" s="532"/>
      <c r="W18" s="532"/>
      <c r="X18" s="532"/>
      <c r="Y18" s="533"/>
      <c r="Z18" s="533">
        <f>SUM(Z19:Z20)</f>
        <v>3000</v>
      </c>
      <c r="AA18" s="533">
        <f>SUM(AA19:AA20)</f>
        <v>117110</v>
      </c>
      <c r="AB18" s="532"/>
      <c r="AC18" s="532"/>
      <c r="AD18" s="532"/>
      <c r="AE18" s="533"/>
      <c r="AF18" s="533"/>
      <c r="AG18" s="533"/>
      <c r="AH18" s="533">
        <f>SUM(AH19:AH20)</f>
        <v>238720</v>
      </c>
      <c r="AI18" s="533"/>
      <c r="AJ18" s="533">
        <f t="shared" ref="AJ18:AK18" si="16">SUM(AJ19:AJ20)</f>
        <v>224720</v>
      </c>
      <c r="AK18" s="533">
        <f t="shared" si="16"/>
        <v>14000</v>
      </c>
      <c r="AL18" s="534"/>
      <c r="AM18" s="534"/>
      <c r="AN18" s="534"/>
      <c r="AO18" s="535"/>
      <c r="AP18" s="371"/>
      <c r="AQ18" s="536"/>
    </row>
    <row r="19" spans="1:43" ht="60">
      <c r="A19" s="537" t="s">
        <v>1418</v>
      </c>
      <c r="B19" s="538" t="s">
        <v>1419</v>
      </c>
      <c r="C19" s="539">
        <f t="shared" ref="C19:C20" si="17">+J19+K19+L19+P19+Q19+R19+V19+W19+X19+AB19+AC19+AD19</f>
        <v>3</v>
      </c>
      <c r="D19" s="540" t="s">
        <v>55</v>
      </c>
      <c r="E19" s="538" t="s">
        <v>1420</v>
      </c>
      <c r="F19" s="550" t="s">
        <v>52</v>
      </c>
      <c r="G19" s="541"/>
      <c r="H19" s="542"/>
      <c r="I19" s="541"/>
      <c r="J19" s="551">
        <v>1</v>
      </c>
      <c r="K19" s="551"/>
      <c r="L19" s="551"/>
      <c r="M19" s="544">
        <v>1500</v>
      </c>
      <c r="N19" s="544"/>
      <c r="O19" s="544"/>
      <c r="P19" s="543"/>
      <c r="Q19" s="543"/>
      <c r="R19" s="543"/>
      <c r="S19" s="544"/>
      <c r="T19" s="544"/>
      <c r="U19" s="544"/>
      <c r="V19" s="543"/>
      <c r="W19" s="551">
        <v>2</v>
      </c>
      <c r="X19" s="543"/>
      <c r="Y19" s="544"/>
      <c r="Z19" s="544">
        <f>1500*2</f>
        <v>3000</v>
      </c>
      <c r="AA19" s="544"/>
      <c r="AB19" s="543"/>
      <c r="AC19" s="543"/>
      <c r="AD19" s="543"/>
      <c r="AE19" s="544"/>
      <c r="AF19" s="544"/>
      <c r="AG19" s="544"/>
      <c r="AH19" s="26">
        <f t="shared" ref="AH19:AH20" si="18">SUM(M19,N19,O19,S19,T19,U19,Y19,Z19,AA19,AE19,AF19,AG19)</f>
        <v>4500</v>
      </c>
      <c r="AI19" s="545"/>
      <c r="AJ19" s="545">
        <v>4500</v>
      </c>
      <c r="AK19" s="545"/>
      <c r="AL19" s="546"/>
      <c r="AM19" s="545"/>
      <c r="AN19" s="545"/>
      <c r="AO19" s="538" t="s">
        <v>1409</v>
      </c>
      <c r="AP19" s="538" t="s">
        <v>1410</v>
      </c>
      <c r="AQ19" s="547"/>
    </row>
    <row r="20" spans="1:43" ht="75">
      <c r="A20" s="537" t="s">
        <v>1421</v>
      </c>
      <c r="B20" s="538" t="s">
        <v>1422</v>
      </c>
      <c r="C20" s="539">
        <f t="shared" si="17"/>
        <v>4</v>
      </c>
      <c r="D20" s="540" t="s">
        <v>159</v>
      </c>
      <c r="E20" s="538" t="s">
        <v>1417</v>
      </c>
      <c r="F20" s="550" t="s">
        <v>52</v>
      </c>
      <c r="G20" s="541"/>
      <c r="H20" s="542"/>
      <c r="I20" s="541"/>
      <c r="J20" s="551">
        <v>2</v>
      </c>
      <c r="K20" s="551"/>
      <c r="L20" s="551"/>
      <c r="M20" s="549">
        <f>58555*2</f>
        <v>117110</v>
      </c>
      <c r="N20" s="549"/>
      <c r="O20" s="549"/>
      <c r="P20" s="548"/>
      <c r="Q20" s="548"/>
      <c r="R20" s="548"/>
      <c r="S20" s="549"/>
      <c r="T20" s="549"/>
      <c r="U20" s="544"/>
      <c r="V20" s="548"/>
      <c r="W20" s="548"/>
      <c r="X20" s="551">
        <v>2</v>
      </c>
      <c r="Y20" s="549"/>
      <c r="Z20" s="549"/>
      <c r="AA20" s="549">
        <f>58555*2</f>
        <v>117110</v>
      </c>
      <c r="AB20" s="548"/>
      <c r="AC20" s="548"/>
      <c r="AD20" s="548"/>
      <c r="AE20" s="549"/>
      <c r="AF20" s="549"/>
      <c r="AG20" s="549"/>
      <c r="AH20" s="26">
        <f t="shared" si="18"/>
        <v>234220</v>
      </c>
      <c r="AI20" s="545"/>
      <c r="AJ20" s="545">
        <v>220220</v>
      </c>
      <c r="AK20" s="545">
        <v>14000</v>
      </c>
      <c r="AL20" s="546"/>
      <c r="AM20" s="545"/>
      <c r="AN20" s="545"/>
      <c r="AO20" s="538" t="s">
        <v>1409</v>
      </c>
      <c r="AP20" s="538" t="s">
        <v>1410</v>
      </c>
      <c r="AQ20" s="547"/>
    </row>
    <row r="21" spans="1:43" ht="60">
      <c r="A21" s="517" t="s">
        <v>1423</v>
      </c>
      <c r="B21" s="517" t="s">
        <v>1424</v>
      </c>
      <c r="C21" s="518"/>
      <c r="D21" s="519"/>
      <c r="E21" s="517"/>
      <c r="F21" s="273"/>
      <c r="G21" s="520"/>
      <c r="H21" s="521"/>
      <c r="I21" s="522"/>
      <c r="J21" s="523"/>
      <c r="K21" s="523"/>
      <c r="L21" s="523"/>
      <c r="M21" s="524"/>
      <c r="N21" s="524"/>
      <c r="O21" s="524"/>
      <c r="P21" s="523"/>
      <c r="Q21" s="523"/>
      <c r="R21" s="523"/>
      <c r="S21" s="524">
        <f>SUM(S22)</f>
        <v>4500</v>
      </c>
      <c r="T21" s="524"/>
      <c r="U21" s="524"/>
      <c r="V21" s="523"/>
      <c r="W21" s="523"/>
      <c r="X21" s="523"/>
      <c r="Y21" s="524">
        <f>SUM(Y22)</f>
        <v>175665</v>
      </c>
      <c r="Z21" s="524"/>
      <c r="AA21" s="524"/>
      <c r="AB21" s="523"/>
      <c r="AC21" s="523"/>
      <c r="AD21" s="523"/>
      <c r="AE21" s="524"/>
      <c r="AF21" s="524"/>
      <c r="AG21" s="524"/>
      <c r="AH21" s="524">
        <f>SUM(AH22)</f>
        <v>180165</v>
      </c>
      <c r="AI21" s="524"/>
      <c r="AJ21" s="524">
        <f t="shared" ref="AJ21:AK21" si="19">SUM(AJ22)</f>
        <v>166165</v>
      </c>
      <c r="AK21" s="524">
        <f t="shared" si="19"/>
        <v>14000</v>
      </c>
      <c r="AL21" s="525"/>
      <c r="AM21" s="525"/>
      <c r="AN21" s="525"/>
      <c r="AO21" s="526"/>
      <c r="AP21" s="526" t="s">
        <v>1425</v>
      </c>
      <c r="AQ21" s="527"/>
    </row>
    <row r="22" spans="1:43" ht="90">
      <c r="A22" s="371" t="s">
        <v>1426</v>
      </c>
      <c r="B22" s="371" t="s">
        <v>1427</v>
      </c>
      <c r="C22" s="372"/>
      <c r="D22" s="528" t="s">
        <v>55</v>
      </c>
      <c r="E22" s="371" t="s">
        <v>1428</v>
      </c>
      <c r="F22" s="18"/>
      <c r="G22" s="529"/>
      <c r="H22" s="530"/>
      <c r="I22" s="531"/>
      <c r="J22" s="532"/>
      <c r="K22" s="532"/>
      <c r="L22" s="532"/>
      <c r="M22" s="533"/>
      <c r="N22" s="533"/>
      <c r="O22" s="533"/>
      <c r="P22" s="532"/>
      <c r="Q22" s="532"/>
      <c r="R22" s="532"/>
      <c r="S22" s="533">
        <f>SUM(S23:S24)</f>
        <v>4500</v>
      </c>
      <c r="T22" s="533"/>
      <c r="U22" s="533"/>
      <c r="V22" s="532"/>
      <c r="W22" s="532"/>
      <c r="X22" s="532"/>
      <c r="Y22" s="533">
        <f>SUM(Y23:Y24)</f>
        <v>175665</v>
      </c>
      <c r="Z22" s="533"/>
      <c r="AA22" s="533"/>
      <c r="AB22" s="532"/>
      <c r="AC22" s="532"/>
      <c r="AD22" s="532"/>
      <c r="AE22" s="533"/>
      <c r="AF22" s="533"/>
      <c r="AG22" s="533"/>
      <c r="AH22" s="533">
        <f>SUM(AH23:AH24)</f>
        <v>180165</v>
      </c>
      <c r="AI22" s="533"/>
      <c r="AJ22" s="533">
        <f t="shared" ref="AJ22:AK22" si="20">SUM(AJ23:AJ24)</f>
        <v>166165</v>
      </c>
      <c r="AK22" s="533">
        <f t="shared" si="20"/>
        <v>14000</v>
      </c>
      <c r="AL22" s="534"/>
      <c r="AM22" s="534"/>
      <c r="AN22" s="534"/>
      <c r="AO22" s="535"/>
      <c r="AP22" s="371" t="s">
        <v>1404</v>
      </c>
      <c r="AQ22" s="536"/>
    </row>
    <row r="23" spans="1:43" ht="60">
      <c r="A23" s="537" t="s">
        <v>1429</v>
      </c>
      <c r="B23" s="538" t="s">
        <v>1430</v>
      </c>
      <c r="C23" s="539">
        <f t="shared" ref="C23:C24" si="21">+J23+K23+L23+P23+Q23+R23+V23+W23+X23+AB23+AC23+AD23</f>
        <v>3</v>
      </c>
      <c r="D23" s="540" t="s">
        <v>55</v>
      </c>
      <c r="E23" s="538" t="s">
        <v>1431</v>
      </c>
      <c r="F23" s="22" t="s">
        <v>361</v>
      </c>
      <c r="G23" s="541"/>
      <c r="H23" s="542"/>
      <c r="I23" s="541"/>
      <c r="J23" s="548"/>
      <c r="K23" s="548"/>
      <c r="L23" s="548"/>
      <c r="M23" s="549"/>
      <c r="N23" s="549"/>
      <c r="O23" s="549"/>
      <c r="P23" s="551">
        <v>3</v>
      </c>
      <c r="Q23" s="548"/>
      <c r="R23" s="548"/>
      <c r="S23" s="544">
        <f>1500*3</f>
        <v>4500</v>
      </c>
      <c r="T23" s="549"/>
      <c r="U23" s="549"/>
      <c r="V23" s="548"/>
      <c r="W23" s="548"/>
      <c r="X23" s="548"/>
      <c r="Y23" s="549"/>
      <c r="Z23" s="549"/>
      <c r="AA23" s="549"/>
      <c r="AB23" s="548"/>
      <c r="AC23" s="548"/>
      <c r="AD23" s="548"/>
      <c r="AE23" s="549"/>
      <c r="AF23" s="549"/>
      <c r="AG23" s="549"/>
      <c r="AH23" s="26">
        <f t="shared" ref="AH23:AH24" si="22">SUM(M23,N23,O23,S23,T23,U23,Y23,Z23,AA23,AE23,AF23,AG23)</f>
        <v>4500</v>
      </c>
      <c r="AI23" s="545"/>
      <c r="AJ23" s="545">
        <v>4500</v>
      </c>
      <c r="AK23" s="545"/>
      <c r="AL23" s="546"/>
      <c r="AM23" s="545"/>
      <c r="AN23" s="545"/>
      <c r="AO23" s="538" t="s">
        <v>1409</v>
      </c>
      <c r="AP23" s="538" t="s">
        <v>1410</v>
      </c>
      <c r="AQ23" s="547"/>
    </row>
    <row r="24" spans="1:43" ht="75">
      <c r="A24" s="537" t="s">
        <v>1432</v>
      </c>
      <c r="B24" s="538" t="s">
        <v>1433</v>
      </c>
      <c r="C24" s="539">
        <f t="shared" si="21"/>
        <v>3</v>
      </c>
      <c r="D24" s="540" t="s">
        <v>159</v>
      </c>
      <c r="E24" s="538" t="s">
        <v>1428</v>
      </c>
      <c r="F24" s="22" t="s">
        <v>1434</v>
      </c>
      <c r="G24" s="552"/>
      <c r="H24" s="553"/>
      <c r="I24" s="541"/>
      <c r="J24" s="548"/>
      <c r="K24" s="548"/>
      <c r="L24" s="548"/>
      <c r="M24" s="549"/>
      <c r="N24" s="549"/>
      <c r="O24" s="549"/>
      <c r="P24" s="548"/>
      <c r="Q24" s="548"/>
      <c r="R24" s="548"/>
      <c r="S24" s="549"/>
      <c r="T24" s="549"/>
      <c r="U24" s="549"/>
      <c r="V24" s="551">
        <v>3</v>
      </c>
      <c r="W24" s="548"/>
      <c r="X24" s="548"/>
      <c r="Y24" s="549">
        <f>58555*3</f>
        <v>175665</v>
      </c>
      <c r="Z24" s="549"/>
      <c r="AA24" s="544"/>
      <c r="AB24" s="548"/>
      <c r="AC24" s="548"/>
      <c r="AD24" s="548"/>
      <c r="AE24" s="549"/>
      <c r="AF24" s="549"/>
      <c r="AG24" s="549"/>
      <c r="AH24" s="26">
        <f t="shared" si="22"/>
        <v>175665</v>
      </c>
      <c r="AI24" s="545"/>
      <c r="AJ24" s="545">
        <v>161665</v>
      </c>
      <c r="AK24" s="545">
        <v>14000</v>
      </c>
      <c r="AL24" s="546"/>
      <c r="AM24" s="545"/>
      <c r="AN24" s="545"/>
      <c r="AO24" s="538" t="s">
        <v>1409</v>
      </c>
      <c r="AP24" s="538" t="s">
        <v>1410</v>
      </c>
      <c r="AQ24" s="547"/>
    </row>
    <row r="25" spans="1:43" ht="60">
      <c r="A25" s="517" t="s">
        <v>267</v>
      </c>
      <c r="B25" s="517" t="s">
        <v>268</v>
      </c>
      <c r="C25" s="518"/>
      <c r="D25" s="519"/>
      <c r="E25" s="517"/>
      <c r="F25" s="273"/>
      <c r="G25" s="520"/>
      <c r="H25" s="521"/>
      <c r="I25" s="522"/>
      <c r="J25" s="523"/>
      <c r="K25" s="523"/>
      <c r="L25" s="523"/>
      <c r="M25" s="524"/>
      <c r="N25" s="524"/>
      <c r="O25" s="524"/>
      <c r="P25" s="523"/>
      <c r="Q25" s="523"/>
      <c r="R25" s="523"/>
      <c r="S25" s="524">
        <f>SUM(S26)</f>
        <v>4500</v>
      </c>
      <c r="T25" s="524"/>
      <c r="U25" s="524"/>
      <c r="V25" s="523"/>
      <c r="W25" s="523"/>
      <c r="X25" s="523"/>
      <c r="Y25" s="524">
        <f t="shared" ref="Y25:AA25" si="23">SUM(Y26)</f>
        <v>235720</v>
      </c>
      <c r="Z25" s="524">
        <f t="shared" si="23"/>
        <v>6000</v>
      </c>
      <c r="AA25" s="524">
        <f t="shared" si="23"/>
        <v>294275</v>
      </c>
      <c r="AB25" s="523"/>
      <c r="AC25" s="523"/>
      <c r="AD25" s="523"/>
      <c r="AE25" s="524"/>
      <c r="AF25" s="524"/>
      <c r="AG25" s="524"/>
      <c r="AH25" s="524">
        <f>SUM(AH26)</f>
        <v>540495</v>
      </c>
      <c r="AI25" s="524"/>
      <c r="AJ25" s="524">
        <f t="shared" ref="AJ25:AK25" si="24">SUM(AJ26)</f>
        <v>491495</v>
      </c>
      <c r="AK25" s="524">
        <f t="shared" si="24"/>
        <v>49000</v>
      </c>
      <c r="AL25" s="525"/>
      <c r="AM25" s="525"/>
      <c r="AN25" s="525"/>
      <c r="AO25" s="526"/>
      <c r="AP25" s="526" t="s">
        <v>1435</v>
      </c>
      <c r="AQ25" s="527"/>
    </row>
    <row r="26" spans="1:43" ht="75">
      <c r="A26" s="371" t="s">
        <v>1436</v>
      </c>
      <c r="B26" s="371" t="s">
        <v>1437</v>
      </c>
      <c r="C26" s="372"/>
      <c r="D26" s="528" t="s">
        <v>55</v>
      </c>
      <c r="E26" s="371" t="s">
        <v>1438</v>
      </c>
      <c r="F26" s="18"/>
      <c r="G26" s="529"/>
      <c r="H26" s="530"/>
      <c r="I26" s="531"/>
      <c r="J26" s="532"/>
      <c r="K26" s="532"/>
      <c r="L26" s="532"/>
      <c r="M26" s="533"/>
      <c r="N26" s="533"/>
      <c r="O26" s="533"/>
      <c r="P26" s="532"/>
      <c r="Q26" s="532"/>
      <c r="R26" s="532"/>
      <c r="S26" s="533">
        <f>SUM(S27:S28)</f>
        <v>4500</v>
      </c>
      <c r="T26" s="533"/>
      <c r="U26" s="533"/>
      <c r="V26" s="532"/>
      <c r="W26" s="532"/>
      <c r="X26" s="532"/>
      <c r="Y26" s="533">
        <f t="shared" ref="Y26:AA26" si="25">SUM(Y27:Y28)</f>
        <v>235720</v>
      </c>
      <c r="Z26" s="533">
        <f t="shared" si="25"/>
        <v>6000</v>
      </c>
      <c r="AA26" s="533">
        <f t="shared" si="25"/>
        <v>294275</v>
      </c>
      <c r="AB26" s="532"/>
      <c r="AC26" s="532"/>
      <c r="AD26" s="532"/>
      <c r="AE26" s="533"/>
      <c r="AF26" s="533"/>
      <c r="AG26" s="533"/>
      <c r="AH26" s="533">
        <f>SUM(AH27:AH28)</f>
        <v>540495</v>
      </c>
      <c r="AI26" s="533"/>
      <c r="AJ26" s="533">
        <f t="shared" ref="AJ26:AK26" si="26">SUM(AJ27:AJ28)</f>
        <v>491495</v>
      </c>
      <c r="AK26" s="533">
        <f t="shared" si="26"/>
        <v>49000</v>
      </c>
      <c r="AL26" s="534"/>
      <c r="AM26" s="534"/>
      <c r="AN26" s="534"/>
      <c r="AO26" s="535"/>
      <c r="AP26" s="371" t="s">
        <v>1404</v>
      </c>
      <c r="AQ26" s="536"/>
    </row>
    <row r="27" spans="1:43" ht="60">
      <c r="A27" s="537" t="s">
        <v>1439</v>
      </c>
      <c r="B27" s="538" t="s">
        <v>1440</v>
      </c>
      <c r="C27" s="539">
        <f t="shared" ref="C27:C28" si="27">+J27+K27+L27+P27+Q27+R27+V27+W27+X27+AB27+AC27+AD27</f>
        <v>9</v>
      </c>
      <c r="D27" s="540" t="s">
        <v>55</v>
      </c>
      <c r="E27" s="538" t="s">
        <v>1441</v>
      </c>
      <c r="F27" s="22" t="s">
        <v>361</v>
      </c>
      <c r="G27" s="541"/>
      <c r="H27" s="542"/>
      <c r="I27" s="541"/>
      <c r="J27" s="548"/>
      <c r="K27" s="548"/>
      <c r="L27" s="548"/>
      <c r="M27" s="549"/>
      <c r="N27" s="549"/>
      <c r="O27" s="549"/>
      <c r="P27" s="551">
        <v>3</v>
      </c>
      <c r="Q27" s="548"/>
      <c r="R27" s="548"/>
      <c r="S27" s="549">
        <f>1500*3</f>
        <v>4500</v>
      </c>
      <c r="T27" s="549"/>
      <c r="U27" s="549"/>
      <c r="V27" s="551">
        <v>1</v>
      </c>
      <c r="W27" s="551">
        <v>4</v>
      </c>
      <c r="X27" s="551">
        <v>1</v>
      </c>
      <c r="Y27" s="544">
        <v>1500</v>
      </c>
      <c r="Z27" s="549">
        <f>1500*4</f>
        <v>6000</v>
      </c>
      <c r="AA27" s="549">
        <v>1500</v>
      </c>
      <c r="AB27" s="548"/>
      <c r="AC27" s="548"/>
      <c r="AD27" s="548"/>
      <c r="AE27" s="549"/>
      <c r="AF27" s="549"/>
      <c r="AG27" s="549"/>
      <c r="AH27" s="26">
        <f t="shared" ref="AH27:AH28" si="28">SUM(M27,N27,O27,S27,T27,U27,Y27,Z27,AA27,AE27,AF27,AG27)</f>
        <v>13500</v>
      </c>
      <c r="AI27" s="545"/>
      <c r="AJ27" s="545">
        <v>13500</v>
      </c>
      <c r="AK27" s="545"/>
      <c r="AL27" s="546"/>
      <c r="AM27" s="545"/>
      <c r="AN27" s="545"/>
      <c r="AO27" s="538" t="s">
        <v>1409</v>
      </c>
      <c r="AP27" s="538" t="s">
        <v>1410</v>
      </c>
      <c r="AQ27" s="547"/>
    </row>
    <row r="28" spans="1:43" ht="75">
      <c r="A28" s="537" t="s">
        <v>1442</v>
      </c>
      <c r="B28" s="538" t="s">
        <v>1443</v>
      </c>
      <c r="C28" s="539">
        <f t="shared" si="27"/>
        <v>9</v>
      </c>
      <c r="D28" s="540" t="s">
        <v>159</v>
      </c>
      <c r="E28" s="538" t="s">
        <v>1438</v>
      </c>
      <c r="F28" s="22" t="s">
        <v>1434</v>
      </c>
      <c r="G28" s="541"/>
      <c r="H28" s="542"/>
      <c r="I28" s="541"/>
      <c r="J28" s="548"/>
      <c r="K28" s="548"/>
      <c r="L28" s="548"/>
      <c r="M28" s="549"/>
      <c r="N28" s="549"/>
      <c r="O28" s="549"/>
      <c r="P28" s="548"/>
      <c r="Q28" s="548"/>
      <c r="R28" s="548"/>
      <c r="S28" s="549"/>
      <c r="T28" s="549"/>
      <c r="U28" s="549"/>
      <c r="V28" s="551">
        <v>4</v>
      </c>
      <c r="W28" s="548"/>
      <c r="X28" s="551">
        <v>5</v>
      </c>
      <c r="Y28" s="549">
        <f>58555*4</f>
        <v>234220</v>
      </c>
      <c r="Z28" s="549"/>
      <c r="AA28" s="549">
        <f>58555*5</f>
        <v>292775</v>
      </c>
      <c r="AB28" s="548"/>
      <c r="AC28" s="548"/>
      <c r="AD28" s="548"/>
      <c r="AE28" s="544"/>
      <c r="AF28" s="549"/>
      <c r="AG28" s="549"/>
      <c r="AH28" s="26">
        <f t="shared" si="28"/>
        <v>526995</v>
      </c>
      <c r="AI28" s="545"/>
      <c r="AJ28" s="545">
        <v>477995</v>
      </c>
      <c r="AK28" s="545">
        <v>49000</v>
      </c>
      <c r="AL28" s="546"/>
      <c r="AM28" s="545"/>
      <c r="AN28" s="545"/>
      <c r="AO28" s="538" t="s">
        <v>1409</v>
      </c>
      <c r="AP28" s="538" t="s">
        <v>1410</v>
      </c>
      <c r="AQ28" s="547"/>
    </row>
    <row r="29" spans="1:43" ht="30">
      <c r="A29" s="355" t="s">
        <v>917</v>
      </c>
      <c r="B29" s="355" t="s">
        <v>918</v>
      </c>
      <c r="C29" s="355"/>
      <c r="D29" s="516"/>
      <c r="E29" s="355"/>
      <c r="F29" s="10"/>
      <c r="G29" s="355"/>
      <c r="H29" s="355"/>
      <c r="I29" s="355"/>
      <c r="J29" s="11"/>
      <c r="K29" s="11"/>
      <c r="L29" s="11"/>
      <c r="M29" s="13"/>
      <c r="N29" s="13"/>
      <c r="O29" s="13">
        <f>SUM(O30)</f>
        <v>77890</v>
      </c>
      <c r="P29" s="11"/>
      <c r="Q29" s="11"/>
      <c r="R29" s="11"/>
      <c r="S29" s="13">
        <f t="shared" ref="S29:U29" si="29">SUM(S30)</f>
        <v>77890</v>
      </c>
      <c r="T29" s="13">
        <f t="shared" si="29"/>
        <v>77890</v>
      </c>
      <c r="U29" s="13">
        <f t="shared" si="29"/>
        <v>77890</v>
      </c>
      <c r="V29" s="11"/>
      <c r="W29" s="11"/>
      <c r="X29" s="11"/>
      <c r="Y29" s="13">
        <f t="shared" ref="Y29:AA29" si="30">SUM(Y30)</f>
        <v>1677890</v>
      </c>
      <c r="Z29" s="13">
        <f t="shared" si="30"/>
        <v>1613945</v>
      </c>
      <c r="AA29" s="13">
        <f t="shared" si="30"/>
        <v>1813945</v>
      </c>
      <c r="AB29" s="11"/>
      <c r="AC29" s="11"/>
      <c r="AD29" s="11"/>
      <c r="AE29" s="13">
        <f t="shared" ref="AE29:AI29" si="31">SUM(AE30)</f>
        <v>77890</v>
      </c>
      <c r="AF29" s="13">
        <f t="shared" si="31"/>
        <v>77890</v>
      </c>
      <c r="AG29" s="13">
        <f t="shared" si="31"/>
        <v>27820</v>
      </c>
      <c r="AH29" s="13">
        <f t="shared" si="31"/>
        <v>5600940</v>
      </c>
      <c r="AI29" s="13">
        <f t="shared" si="31"/>
        <v>5600940</v>
      </c>
      <c r="AJ29" s="13"/>
      <c r="AK29" s="13"/>
      <c r="AL29" s="13"/>
      <c r="AM29" s="13"/>
      <c r="AN29" s="13"/>
      <c r="AO29" s="355"/>
      <c r="AP29" s="355"/>
      <c r="AQ29" s="355"/>
    </row>
    <row r="30" spans="1:43" ht="30">
      <c r="A30" s="517" t="s">
        <v>919</v>
      </c>
      <c r="B30" s="517" t="s">
        <v>920</v>
      </c>
      <c r="C30" s="518"/>
      <c r="D30" s="519"/>
      <c r="E30" s="517"/>
      <c r="F30" s="273"/>
      <c r="G30" s="520"/>
      <c r="H30" s="521"/>
      <c r="I30" s="522"/>
      <c r="J30" s="523"/>
      <c r="K30" s="523"/>
      <c r="L30" s="523"/>
      <c r="M30" s="524"/>
      <c r="N30" s="524"/>
      <c r="O30" s="524">
        <f>SUM(O31,O33)</f>
        <v>77890</v>
      </c>
      <c r="P30" s="523"/>
      <c r="Q30" s="523"/>
      <c r="R30" s="523"/>
      <c r="S30" s="524">
        <f t="shared" ref="S30:U30" si="32">SUM(S31,S33)</f>
        <v>77890</v>
      </c>
      <c r="T30" s="524">
        <f t="shared" si="32"/>
        <v>77890</v>
      </c>
      <c r="U30" s="524">
        <f t="shared" si="32"/>
        <v>77890</v>
      </c>
      <c r="V30" s="523"/>
      <c r="W30" s="523"/>
      <c r="X30" s="523"/>
      <c r="Y30" s="524">
        <f t="shared" ref="Y30:AA30" si="33">SUM(Y31,Y33)</f>
        <v>1677890</v>
      </c>
      <c r="Z30" s="524">
        <f t="shared" si="33"/>
        <v>1613945</v>
      </c>
      <c r="AA30" s="524">
        <f t="shared" si="33"/>
        <v>1813945</v>
      </c>
      <c r="AB30" s="523"/>
      <c r="AC30" s="523"/>
      <c r="AD30" s="523"/>
      <c r="AE30" s="524">
        <f t="shared" ref="AE30:AI30" si="34">SUM(AE31,AE33)</f>
        <v>77890</v>
      </c>
      <c r="AF30" s="524">
        <f t="shared" si="34"/>
        <v>77890</v>
      </c>
      <c r="AG30" s="524">
        <f t="shared" si="34"/>
        <v>27820</v>
      </c>
      <c r="AH30" s="524">
        <f t="shared" si="34"/>
        <v>5600940</v>
      </c>
      <c r="AI30" s="524">
        <f t="shared" si="34"/>
        <v>5600940</v>
      </c>
      <c r="AJ30" s="525"/>
      <c r="AK30" s="525"/>
      <c r="AL30" s="525"/>
      <c r="AM30" s="525"/>
      <c r="AN30" s="525"/>
      <c r="AO30" s="526"/>
      <c r="AP30" s="526"/>
      <c r="AQ30" s="527"/>
    </row>
    <row r="31" spans="1:43" ht="90">
      <c r="A31" s="371" t="s">
        <v>1444</v>
      </c>
      <c r="B31" s="371" t="s">
        <v>1445</v>
      </c>
      <c r="C31" s="372"/>
      <c r="D31" s="554" t="s">
        <v>478</v>
      </c>
      <c r="E31" s="18" t="s">
        <v>1446</v>
      </c>
      <c r="F31" s="18"/>
      <c r="G31" s="529"/>
      <c r="H31" s="530"/>
      <c r="I31" s="531"/>
      <c r="J31" s="532"/>
      <c r="K31" s="532"/>
      <c r="L31" s="532"/>
      <c r="M31" s="533"/>
      <c r="N31" s="533"/>
      <c r="O31" s="533"/>
      <c r="P31" s="532"/>
      <c r="Q31" s="532"/>
      <c r="R31" s="532"/>
      <c r="S31" s="533"/>
      <c r="T31" s="533"/>
      <c r="U31" s="533"/>
      <c r="V31" s="532"/>
      <c r="W31" s="532"/>
      <c r="X31" s="532"/>
      <c r="Y31" s="533">
        <f>SUM(Y32)</f>
        <v>1600000</v>
      </c>
      <c r="Z31" s="533">
        <f t="shared" ref="Z31:AA31" si="35">SUM(Z32)</f>
        <v>1600000</v>
      </c>
      <c r="AA31" s="533">
        <f t="shared" si="35"/>
        <v>1800000</v>
      </c>
      <c r="AB31" s="532"/>
      <c r="AC31" s="532"/>
      <c r="AD31" s="532"/>
      <c r="AE31" s="533"/>
      <c r="AF31" s="533"/>
      <c r="AG31" s="533"/>
      <c r="AH31" s="533">
        <f t="shared" ref="AH31:AI31" si="36">SUM(AH32)</f>
        <v>5000000</v>
      </c>
      <c r="AI31" s="533">
        <f t="shared" si="36"/>
        <v>5000000</v>
      </c>
      <c r="AJ31" s="534"/>
      <c r="AK31" s="534"/>
      <c r="AL31" s="534"/>
      <c r="AM31" s="534"/>
      <c r="AN31" s="534"/>
      <c r="AO31" s="535"/>
      <c r="AP31" s="371"/>
      <c r="AQ31" s="536"/>
    </row>
    <row r="32" spans="1:43" ht="90">
      <c r="A32" s="537" t="s">
        <v>1447</v>
      </c>
      <c r="B32" s="538" t="s">
        <v>1448</v>
      </c>
      <c r="C32" s="539">
        <v>12500000</v>
      </c>
      <c r="D32" s="540" t="s">
        <v>484</v>
      </c>
      <c r="E32" s="538" t="s">
        <v>1449</v>
      </c>
      <c r="F32" s="22" t="s">
        <v>52</v>
      </c>
      <c r="G32" s="541"/>
      <c r="H32" s="542"/>
      <c r="I32" s="541"/>
      <c r="J32" s="555"/>
      <c r="K32" s="555"/>
      <c r="L32" s="555"/>
      <c r="M32" s="545"/>
      <c r="N32" s="545"/>
      <c r="O32" s="545"/>
      <c r="P32" s="555"/>
      <c r="Q32" s="555"/>
      <c r="R32" s="555"/>
      <c r="S32" s="545"/>
      <c r="T32" s="545"/>
      <c r="U32" s="545"/>
      <c r="V32" s="555">
        <v>4000000</v>
      </c>
      <c r="W32" s="555">
        <v>4000000</v>
      </c>
      <c r="X32" s="555">
        <v>4500000</v>
      </c>
      <c r="Y32" s="545">
        <v>1600000</v>
      </c>
      <c r="Z32" s="545">
        <v>1600000</v>
      </c>
      <c r="AA32" s="545">
        <v>1800000</v>
      </c>
      <c r="AB32" s="555"/>
      <c r="AC32" s="555"/>
      <c r="AD32" s="551"/>
      <c r="AE32" s="545"/>
      <c r="AF32" s="545"/>
      <c r="AG32" s="549"/>
      <c r="AH32" s="26">
        <f>SUM(M32,N32,O32,S32,T32,U32,Y32,Z32,AA32,AE32,AF32,AG32)</f>
        <v>5000000</v>
      </c>
      <c r="AI32" s="545">
        <f>AH32</f>
        <v>5000000</v>
      </c>
      <c r="AJ32" s="545"/>
      <c r="AK32" s="545"/>
      <c r="AL32" s="546"/>
      <c r="AM32" s="545"/>
      <c r="AN32" s="545"/>
      <c r="AO32" s="538" t="s">
        <v>1450</v>
      </c>
      <c r="AP32" s="538" t="s">
        <v>1404</v>
      </c>
      <c r="AQ32" s="547"/>
    </row>
    <row r="33" spans="1:43" ht="60">
      <c r="A33" s="371" t="s">
        <v>1451</v>
      </c>
      <c r="B33" s="18" t="s">
        <v>1452</v>
      </c>
      <c r="C33" s="556"/>
      <c r="D33" s="554" t="s">
        <v>445</v>
      </c>
      <c r="E33" s="18" t="s">
        <v>1453</v>
      </c>
      <c r="F33" s="557"/>
      <c r="G33" s="558"/>
      <c r="H33" s="559"/>
      <c r="I33" s="559"/>
      <c r="J33" s="560"/>
      <c r="K33" s="560"/>
      <c r="L33" s="560"/>
      <c r="M33" s="561"/>
      <c r="N33" s="561"/>
      <c r="O33" s="562">
        <f>SUM(O34:O35)</f>
        <v>77890</v>
      </c>
      <c r="P33" s="560"/>
      <c r="Q33" s="560"/>
      <c r="R33" s="560"/>
      <c r="S33" s="562">
        <f t="shared" ref="S33:U33" si="37">SUM(S34:S35)</f>
        <v>77890</v>
      </c>
      <c r="T33" s="562">
        <f t="shared" si="37"/>
        <v>77890</v>
      </c>
      <c r="U33" s="562">
        <f t="shared" si="37"/>
        <v>77890</v>
      </c>
      <c r="V33" s="560"/>
      <c r="W33" s="560"/>
      <c r="X33" s="560"/>
      <c r="Y33" s="562">
        <f t="shared" ref="Y33:AA33" si="38">SUM(Y34:Y35)</f>
        <v>77890</v>
      </c>
      <c r="Z33" s="562">
        <f t="shared" si="38"/>
        <v>13945</v>
      </c>
      <c r="AA33" s="562">
        <f t="shared" si="38"/>
        <v>13945</v>
      </c>
      <c r="AB33" s="560"/>
      <c r="AC33" s="560"/>
      <c r="AD33" s="560"/>
      <c r="AE33" s="562">
        <f t="shared" ref="AE33:AH33" si="39">SUM(AE34:AE35)</f>
        <v>77890</v>
      </c>
      <c r="AF33" s="562">
        <f t="shared" si="39"/>
        <v>77890</v>
      </c>
      <c r="AG33" s="562">
        <f t="shared" si="39"/>
        <v>27820</v>
      </c>
      <c r="AH33" s="562">
        <f t="shared" si="39"/>
        <v>600940</v>
      </c>
      <c r="AI33" s="562">
        <f>SUM(AI34:AI35)</f>
        <v>600940</v>
      </c>
      <c r="AJ33" s="561"/>
      <c r="AK33" s="561"/>
      <c r="AL33" s="561"/>
      <c r="AM33" s="561"/>
      <c r="AN33" s="561"/>
      <c r="AO33" s="557"/>
      <c r="AP33" s="557"/>
      <c r="AQ33" s="557"/>
    </row>
    <row r="34" spans="1:43" ht="15.6">
      <c r="A34" s="2055" t="s">
        <v>1454</v>
      </c>
      <c r="B34" s="2057" t="s">
        <v>1455</v>
      </c>
      <c r="C34" s="563">
        <v>4648</v>
      </c>
      <c r="D34" s="564" t="s">
        <v>419</v>
      </c>
      <c r="E34" s="2059" t="s">
        <v>1453</v>
      </c>
      <c r="F34" s="2057" t="s">
        <v>52</v>
      </c>
      <c r="G34" s="565"/>
      <c r="H34" s="566"/>
      <c r="I34" s="565"/>
      <c r="J34" s="567"/>
      <c r="K34" s="567"/>
      <c r="L34" s="567">
        <v>616</v>
      </c>
      <c r="M34" s="568"/>
      <c r="N34" s="568"/>
      <c r="O34" s="568">
        <v>61200</v>
      </c>
      <c r="P34" s="567">
        <v>616</v>
      </c>
      <c r="Q34" s="567">
        <v>616</v>
      </c>
      <c r="R34" s="567">
        <v>616</v>
      </c>
      <c r="S34" s="568">
        <v>61200</v>
      </c>
      <c r="T34" s="568">
        <v>61200</v>
      </c>
      <c r="U34" s="568">
        <v>61200</v>
      </c>
      <c r="V34" s="567">
        <v>616</v>
      </c>
      <c r="W34" s="567">
        <v>84</v>
      </c>
      <c r="X34" s="567">
        <v>84</v>
      </c>
      <c r="Y34" s="568">
        <v>61200</v>
      </c>
      <c r="Z34" s="568">
        <v>8345</v>
      </c>
      <c r="AA34" s="568">
        <v>8345</v>
      </c>
      <c r="AB34" s="567">
        <v>616</v>
      </c>
      <c r="AC34" s="567">
        <v>616</v>
      </c>
      <c r="AD34" s="567">
        <v>168</v>
      </c>
      <c r="AE34" s="568">
        <v>61200</v>
      </c>
      <c r="AF34" s="569">
        <v>61200</v>
      </c>
      <c r="AG34" s="568">
        <v>16690</v>
      </c>
      <c r="AH34" s="26">
        <f t="shared" ref="AH34" si="40">SUM(M34,N34,O34,S34,T34,U34,Y34,Z34,AA34,AE34,AF34,AG34)</f>
        <v>461780</v>
      </c>
      <c r="AI34" s="568">
        <f>SUM(O34,S34,T34,U34,Y34,Z34,AA34,AE34,AF34,AG34)</f>
        <v>461780</v>
      </c>
      <c r="AJ34" s="568"/>
      <c r="AK34" s="568"/>
      <c r="AL34" s="568"/>
      <c r="AM34" s="568"/>
      <c r="AN34" s="568"/>
      <c r="AO34" s="2050" t="s">
        <v>1450</v>
      </c>
      <c r="AP34" s="2050" t="s">
        <v>1404</v>
      </c>
      <c r="AQ34" s="570"/>
    </row>
    <row r="35" spans="1:43" ht="15.6">
      <c r="A35" s="2056"/>
      <c r="B35" s="2058"/>
      <c r="C35" s="563">
        <v>1400</v>
      </c>
      <c r="D35" s="564" t="s">
        <v>424</v>
      </c>
      <c r="E35" s="2060"/>
      <c r="F35" s="2060"/>
      <c r="G35" s="565"/>
      <c r="H35" s="566"/>
      <c r="I35" s="565"/>
      <c r="J35" s="567"/>
      <c r="K35" s="567"/>
      <c r="L35" s="571">
        <v>168</v>
      </c>
      <c r="M35" s="572"/>
      <c r="N35" s="572"/>
      <c r="O35" s="572">
        <v>16690</v>
      </c>
      <c r="P35" s="571">
        <v>168</v>
      </c>
      <c r="Q35" s="571">
        <v>168</v>
      </c>
      <c r="R35" s="571">
        <v>168</v>
      </c>
      <c r="S35" s="572">
        <v>16690</v>
      </c>
      <c r="T35" s="572">
        <v>16690</v>
      </c>
      <c r="U35" s="572">
        <v>16690</v>
      </c>
      <c r="V35" s="571">
        <v>168</v>
      </c>
      <c r="W35" s="571">
        <v>56</v>
      </c>
      <c r="X35" s="571">
        <v>56</v>
      </c>
      <c r="Y35" s="572">
        <v>16690</v>
      </c>
      <c r="Z35" s="572">
        <v>5600</v>
      </c>
      <c r="AA35" s="572">
        <v>5600</v>
      </c>
      <c r="AB35" s="571">
        <v>168</v>
      </c>
      <c r="AC35" s="571">
        <v>168</v>
      </c>
      <c r="AD35" s="571">
        <v>112</v>
      </c>
      <c r="AE35" s="572">
        <v>16690</v>
      </c>
      <c r="AF35" s="572">
        <v>16690</v>
      </c>
      <c r="AG35" s="572">
        <v>11130</v>
      </c>
      <c r="AH35" s="572">
        <f>SUM(O35+S35+T35+U35+Y35+Z35+AA35+AE35+AF35+AG35)</f>
        <v>139160</v>
      </c>
      <c r="AI35" s="573">
        <f>AH35</f>
        <v>139160</v>
      </c>
      <c r="AJ35" s="568"/>
      <c r="AK35" s="568"/>
      <c r="AL35" s="568"/>
      <c r="AM35" s="568"/>
      <c r="AN35" s="568"/>
      <c r="AO35" s="2051"/>
      <c r="AP35" s="2051"/>
      <c r="AQ35" s="570"/>
    </row>
    <row r="36" spans="1:43" ht="30">
      <c r="A36" s="47" t="s">
        <v>296</v>
      </c>
      <c r="B36" s="47" t="s">
        <v>297</v>
      </c>
      <c r="C36" s="47"/>
      <c r="D36" s="515"/>
      <c r="E36" s="47"/>
      <c r="F36" s="6"/>
      <c r="G36" s="47"/>
      <c r="H36" s="47"/>
      <c r="I36" s="47"/>
      <c r="J36" s="7"/>
      <c r="K36" s="7"/>
      <c r="L36" s="7"/>
      <c r="M36" s="9"/>
      <c r="N36" s="9"/>
      <c r="O36" s="9"/>
      <c r="P36" s="7"/>
      <c r="Q36" s="7"/>
      <c r="R36" s="7"/>
      <c r="S36" s="9"/>
      <c r="T36" s="9"/>
      <c r="U36" s="9"/>
      <c r="V36" s="7"/>
      <c r="W36" s="7"/>
      <c r="X36" s="7"/>
      <c r="Y36" s="9"/>
      <c r="Z36" s="9"/>
      <c r="AA36" s="9"/>
      <c r="AB36" s="7"/>
      <c r="AC36" s="7"/>
      <c r="AD36" s="7"/>
      <c r="AE36" s="9">
        <f>SUM(AE37)</f>
        <v>300000</v>
      </c>
      <c r="AF36" s="9">
        <f t="shared" ref="AF36:AH37" si="41">SUM(AF37)</f>
        <v>325000</v>
      </c>
      <c r="AG36" s="9">
        <f t="shared" si="41"/>
        <v>138590</v>
      </c>
      <c r="AH36" s="9">
        <f t="shared" si="41"/>
        <v>763590</v>
      </c>
      <c r="AI36" s="9"/>
      <c r="AJ36" s="9">
        <f t="shared" ref="AJ36:AK37" si="42">SUM(AJ37)</f>
        <v>25000</v>
      </c>
      <c r="AK36" s="9">
        <f t="shared" si="42"/>
        <v>738590</v>
      </c>
      <c r="AL36" s="9"/>
      <c r="AM36" s="9"/>
      <c r="AN36" s="9"/>
      <c r="AO36" s="47"/>
      <c r="AP36" s="47"/>
      <c r="AQ36" s="47"/>
    </row>
    <row r="37" spans="1:43" ht="45">
      <c r="A37" s="355" t="s">
        <v>298</v>
      </c>
      <c r="B37" s="355" t="s">
        <v>299</v>
      </c>
      <c r="C37" s="355"/>
      <c r="D37" s="516"/>
      <c r="E37" s="355"/>
      <c r="F37" s="10"/>
      <c r="G37" s="355"/>
      <c r="H37" s="355"/>
      <c r="I37" s="355"/>
      <c r="J37" s="11"/>
      <c r="K37" s="11"/>
      <c r="L37" s="11"/>
      <c r="M37" s="13"/>
      <c r="N37" s="13"/>
      <c r="O37" s="13"/>
      <c r="P37" s="11"/>
      <c r="Q37" s="11"/>
      <c r="R37" s="11"/>
      <c r="S37" s="13"/>
      <c r="T37" s="13"/>
      <c r="U37" s="13"/>
      <c r="V37" s="11"/>
      <c r="W37" s="11"/>
      <c r="X37" s="11"/>
      <c r="Y37" s="13"/>
      <c r="Z37" s="13"/>
      <c r="AA37" s="13"/>
      <c r="AB37" s="11"/>
      <c r="AC37" s="11"/>
      <c r="AD37" s="11"/>
      <c r="AE37" s="13">
        <f>SUM(AE38)</f>
        <v>300000</v>
      </c>
      <c r="AF37" s="13">
        <f t="shared" si="41"/>
        <v>325000</v>
      </c>
      <c r="AG37" s="13">
        <f t="shared" si="41"/>
        <v>138590</v>
      </c>
      <c r="AH37" s="13">
        <f t="shared" si="41"/>
        <v>763590</v>
      </c>
      <c r="AI37" s="13"/>
      <c r="AJ37" s="13">
        <f t="shared" si="42"/>
        <v>25000</v>
      </c>
      <c r="AK37" s="13">
        <f t="shared" si="42"/>
        <v>738590</v>
      </c>
      <c r="AL37" s="13"/>
      <c r="AM37" s="13"/>
      <c r="AN37" s="13"/>
      <c r="AO37" s="355"/>
      <c r="AP37" s="355"/>
      <c r="AQ37" s="355"/>
    </row>
    <row r="38" spans="1:43" ht="45">
      <c r="A38" s="517" t="s">
        <v>1456</v>
      </c>
      <c r="B38" s="517" t="s">
        <v>1457</v>
      </c>
      <c r="C38" s="518"/>
      <c r="D38" s="519"/>
      <c r="E38" s="517"/>
      <c r="F38" s="273"/>
      <c r="G38" s="520"/>
      <c r="H38" s="521"/>
      <c r="I38" s="522"/>
      <c r="J38" s="523"/>
      <c r="K38" s="523"/>
      <c r="L38" s="523"/>
      <c r="M38" s="524"/>
      <c r="N38" s="524"/>
      <c r="O38" s="524"/>
      <c r="P38" s="523"/>
      <c r="Q38" s="523"/>
      <c r="R38" s="523"/>
      <c r="S38" s="524"/>
      <c r="T38" s="524"/>
      <c r="U38" s="524"/>
      <c r="V38" s="523"/>
      <c r="W38" s="523"/>
      <c r="X38" s="523"/>
      <c r="Y38" s="524"/>
      <c r="Z38" s="524"/>
      <c r="AA38" s="524"/>
      <c r="AB38" s="523"/>
      <c r="AC38" s="523"/>
      <c r="AD38" s="523"/>
      <c r="AE38" s="525">
        <f t="shared" ref="AE38:AH38" si="43">SUM(AE39,AE42,AE44,AE46,)</f>
        <v>300000</v>
      </c>
      <c r="AF38" s="525">
        <f t="shared" si="43"/>
        <v>325000</v>
      </c>
      <c r="AG38" s="525">
        <f t="shared" si="43"/>
        <v>138590</v>
      </c>
      <c r="AH38" s="525">
        <f t="shared" si="43"/>
        <v>763590</v>
      </c>
      <c r="AI38" s="525"/>
      <c r="AJ38" s="525">
        <f t="shared" ref="AJ38" si="44">SUM(AJ39,AJ42,AJ44,AJ46,)</f>
        <v>25000</v>
      </c>
      <c r="AK38" s="525">
        <f>SUM(AK39,AK42,AK44,AK46,)</f>
        <v>738590</v>
      </c>
      <c r="AL38" s="525"/>
      <c r="AM38" s="525"/>
      <c r="AN38" s="525"/>
      <c r="AO38" s="526"/>
      <c r="AP38" s="526" t="s">
        <v>1425</v>
      </c>
      <c r="AQ38" s="527"/>
    </row>
    <row r="39" spans="1:43" ht="45">
      <c r="A39" s="371" t="s">
        <v>1458</v>
      </c>
      <c r="B39" s="371" t="s">
        <v>1459</v>
      </c>
      <c r="C39" s="372"/>
      <c r="D39" s="528" t="s">
        <v>1460</v>
      </c>
      <c r="E39" s="371" t="s">
        <v>1461</v>
      </c>
      <c r="F39" s="18"/>
      <c r="G39" s="529"/>
      <c r="H39" s="530"/>
      <c r="I39" s="531"/>
      <c r="J39" s="532"/>
      <c r="K39" s="532"/>
      <c r="L39" s="532"/>
      <c r="M39" s="533"/>
      <c r="N39" s="533"/>
      <c r="O39" s="533"/>
      <c r="P39" s="532"/>
      <c r="Q39" s="532"/>
      <c r="R39" s="532"/>
      <c r="S39" s="533"/>
      <c r="T39" s="533"/>
      <c r="U39" s="533"/>
      <c r="V39" s="532"/>
      <c r="W39" s="532"/>
      <c r="X39" s="532"/>
      <c r="Y39" s="533"/>
      <c r="Z39" s="533"/>
      <c r="AA39" s="533"/>
      <c r="AB39" s="532"/>
      <c r="AC39" s="532"/>
      <c r="AD39" s="532"/>
      <c r="AE39" s="533"/>
      <c r="AF39" s="533"/>
      <c r="AG39" s="533">
        <f>SUM(AG40:AG41)</f>
        <v>49000</v>
      </c>
      <c r="AH39" s="533">
        <f>SUM(AH40:AH41)</f>
        <v>49000</v>
      </c>
      <c r="AI39" s="533"/>
      <c r="AJ39" s="534"/>
      <c r="AK39" s="533">
        <f>SUM(AK40:AK41)</f>
        <v>49000</v>
      </c>
      <c r="AL39" s="534"/>
      <c r="AM39" s="534"/>
      <c r="AN39" s="534"/>
      <c r="AO39" s="535"/>
      <c r="AP39" s="371" t="s">
        <v>1425</v>
      </c>
      <c r="AQ39" s="536"/>
    </row>
    <row r="40" spans="1:43" ht="45">
      <c r="A40" s="537" t="s">
        <v>1462</v>
      </c>
      <c r="B40" s="538" t="s">
        <v>1463</v>
      </c>
      <c r="C40" s="539">
        <f t="shared" ref="C40:C47" si="45">+J40+K40+L40+P40+Q40+R40+V40+W40+X40+AB40+AC40+AD40</f>
        <v>1</v>
      </c>
      <c r="D40" s="540" t="s">
        <v>1464</v>
      </c>
      <c r="E40" s="538" t="s">
        <v>1465</v>
      </c>
      <c r="F40" s="22" t="s">
        <v>52</v>
      </c>
      <c r="G40" s="541"/>
      <c r="H40" s="542"/>
      <c r="I40" s="541"/>
      <c r="J40" s="555"/>
      <c r="K40" s="555"/>
      <c r="L40" s="555"/>
      <c r="M40" s="545"/>
      <c r="N40" s="545"/>
      <c r="O40" s="545"/>
      <c r="P40" s="555"/>
      <c r="Q40" s="555"/>
      <c r="R40" s="555"/>
      <c r="S40" s="545"/>
      <c r="T40" s="545"/>
      <c r="U40" s="545"/>
      <c r="V40" s="555"/>
      <c r="W40" s="555"/>
      <c r="X40" s="555"/>
      <c r="Y40" s="545"/>
      <c r="Z40" s="545"/>
      <c r="AA40" s="545"/>
      <c r="AB40" s="555"/>
      <c r="AC40" s="555"/>
      <c r="AD40" s="551">
        <v>1</v>
      </c>
      <c r="AE40" s="545"/>
      <c r="AF40" s="545"/>
      <c r="AG40" s="549">
        <v>20000</v>
      </c>
      <c r="AH40" s="26">
        <f t="shared" ref="AH40:AH41" si="46">SUM(M40,N40,O40,S40,T40,U40,Y40,Z40,AA40,AE40,AF40,AG40)</f>
        <v>20000</v>
      </c>
      <c r="AI40" s="545"/>
      <c r="AJ40" s="545"/>
      <c r="AK40" s="545">
        <v>20000</v>
      </c>
      <c r="AL40" s="546"/>
      <c r="AM40" s="545"/>
      <c r="AN40" s="545"/>
      <c r="AO40" s="538" t="s">
        <v>1409</v>
      </c>
      <c r="AP40" s="538" t="s">
        <v>1466</v>
      </c>
      <c r="AQ40" s="547"/>
    </row>
    <row r="41" spans="1:43" ht="45">
      <c r="A41" s="537" t="s">
        <v>1467</v>
      </c>
      <c r="B41" s="538" t="s">
        <v>1468</v>
      </c>
      <c r="C41" s="539">
        <f t="shared" si="45"/>
        <v>1</v>
      </c>
      <c r="D41" s="540" t="s">
        <v>1460</v>
      </c>
      <c r="E41" s="538" t="s">
        <v>1469</v>
      </c>
      <c r="F41" s="22" t="s">
        <v>52</v>
      </c>
      <c r="G41" s="541"/>
      <c r="H41" s="542"/>
      <c r="I41" s="541"/>
      <c r="J41" s="555"/>
      <c r="K41" s="555"/>
      <c r="L41" s="555"/>
      <c r="M41" s="545"/>
      <c r="N41" s="545"/>
      <c r="O41" s="545"/>
      <c r="P41" s="555"/>
      <c r="Q41" s="555"/>
      <c r="R41" s="555"/>
      <c r="S41" s="545"/>
      <c r="T41" s="545"/>
      <c r="U41" s="545"/>
      <c r="V41" s="555"/>
      <c r="W41" s="555"/>
      <c r="X41" s="555"/>
      <c r="Y41" s="545"/>
      <c r="Z41" s="545"/>
      <c r="AA41" s="545"/>
      <c r="AB41" s="555"/>
      <c r="AC41" s="555"/>
      <c r="AD41" s="551">
        <v>1</v>
      </c>
      <c r="AE41" s="545"/>
      <c r="AF41" s="545"/>
      <c r="AG41" s="549">
        <v>29000</v>
      </c>
      <c r="AH41" s="26">
        <f t="shared" si="46"/>
        <v>29000</v>
      </c>
      <c r="AI41" s="545"/>
      <c r="AJ41" s="545"/>
      <c r="AK41" s="545">
        <v>29000</v>
      </c>
      <c r="AL41" s="546"/>
      <c r="AM41" s="545"/>
      <c r="AN41" s="545"/>
      <c r="AO41" s="538" t="s">
        <v>1409</v>
      </c>
      <c r="AP41" s="538" t="s">
        <v>1466</v>
      </c>
      <c r="AQ41" s="547"/>
    </row>
    <row r="42" spans="1:43" ht="75">
      <c r="A42" s="371" t="s">
        <v>1470</v>
      </c>
      <c r="B42" s="371" t="s">
        <v>1471</v>
      </c>
      <c r="C42" s="372"/>
      <c r="D42" s="371" t="s">
        <v>1472</v>
      </c>
      <c r="E42" s="371" t="s">
        <v>1473</v>
      </c>
      <c r="F42" s="18"/>
      <c r="G42" s="529"/>
      <c r="H42" s="530"/>
      <c r="I42" s="531"/>
      <c r="J42" s="532"/>
      <c r="K42" s="532"/>
      <c r="L42" s="532"/>
      <c r="M42" s="533"/>
      <c r="N42" s="533"/>
      <c r="O42" s="533"/>
      <c r="P42" s="532"/>
      <c r="Q42" s="532"/>
      <c r="R42" s="532"/>
      <c r="S42" s="533"/>
      <c r="T42" s="533"/>
      <c r="U42" s="533"/>
      <c r="V42" s="532"/>
      <c r="W42" s="532"/>
      <c r="X42" s="532"/>
      <c r="Y42" s="533"/>
      <c r="Z42" s="533"/>
      <c r="AA42" s="533"/>
      <c r="AB42" s="532"/>
      <c r="AC42" s="532"/>
      <c r="AD42" s="532"/>
      <c r="AE42" s="533"/>
      <c r="AF42" s="533"/>
      <c r="AG42" s="533">
        <f>SUM(AG43)</f>
        <v>89590</v>
      </c>
      <c r="AH42" s="533">
        <f>SUM(AH43)</f>
        <v>89590</v>
      </c>
      <c r="AI42" s="533"/>
      <c r="AJ42" s="534"/>
      <c r="AK42" s="533">
        <f>SUM(AK43)</f>
        <v>89590</v>
      </c>
      <c r="AL42" s="534"/>
      <c r="AM42" s="534"/>
      <c r="AN42" s="534"/>
      <c r="AO42" s="535"/>
      <c r="AP42" s="371" t="s">
        <v>1404</v>
      </c>
      <c r="AQ42" s="536"/>
    </row>
    <row r="43" spans="1:43" ht="60">
      <c r="A43" s="537" t="s">
        <v>1474</v>
      </c>
      <c r="B43" s="538" t="s">
        <v>1475</v>
      </c>
      <c r="C43" s="539">
        <f t="shared" si="45"/>
        <v>2</v>
      </c>
      <c r="D43" s="540" t="s">
        <v>1472</v>
      </c>
      <c r="E43" s="538" t="s">
        <v>1476</v>
      </c>
      <c r="F43" s="22" t="s">
        <v>52</v>
      </c>
      <c r="G43" s="541"/>
      <c r="H43" s="542"/>
      <c r="I43" s="541"/>
      <c r="J43" s="548"/>
      <c r="K43" s="548"/>
      <c r="L43" s="548"/>
      <c r="M43" s="549"/>
      <c r="N43" s="549"/>
      <c r="O43" s="549"/>
      <c r="P43" s="548"/>
      <c r="Q43" s="548"/>
      <c r="R43" s="548"/>
      <c r="S43" s="549"/>
      <c r="T43" s="549"/>
      <c r="U43" s="549"/>
      <c r="V43" s="548"/>
      <c r="W43" s="548"/>
      <c r="X43" s="548"/>
      <c r="Y43" s="549"/>
      <c r="Z43" s="549"/>
      <c r="AA43" s="549"/>
      <c r="AB43" s="548"/>
      <c r="AC43" s="548"/>
      <c r="AD43" s="551">
        <v>2</v>
      </c>
      <c r="AE43" s="544"/>
      <c r="AF43" s="549"/>
      <c r="AG43" s="549">
        <v>89590</v>
      </c>
      <c r="AH43" s="26">
        <f>SUM(M43,N43,O43,S43,T43,U43,Y43,Z43,AA43,AE43,AF43,AG43)</f>
        <v>89590</v>
      </c>
      <c r="AI43" s="545"/>
      <c r="AJ43" s="545"/>
      <c r="AK43" s="545">
        <f>+AH43</f>
        <v>89590</v>
      </c>
      <c r="AL43" s="546"/>
      <c r="AM43" s="545"/>
      <c r="AN43" s="545"/>
      <c r="AO43" s="538" t="s">
        <v>1409</v>
      </c>
      <c r="AP43" s="538" t="s">
        <v>1466</v>
      </c>
      <c r="AQ43" s="547"/>
    </row>
    <row r="44" spans="1:43" ht="75">
      <c r="A44" s="371" t="s">
        <v>1477</v>
      </c>
      <c r="B44" s="371" t="s">
        <v>1478</v>
      </c>
      <c r="C44" s="372"/>
      <c r="D44" s="528" t="s">
        <v>55</v>
      </c>
      <c r="E44" s="371" t="s">
        <v>1479</v>
      </c>
      <c r="F44" s="18"/>
      <c r="G44" s="529"/>
      <c r="H44" s="530"/>
      <c r="I44" s="531"/>
      <c r="J44" s="532"/>
      <c r="K44" s="532"/>
      <c r="L44" s="532"/>
      <c r="M44" s="533"/>
      <c r="N44" s="533"/>
      <c r="O44" s="533"/>
      <c r="P44" s="532"/>
      <c r="Q44" s="532"/>
      <c r="R44" s="532"/>
      <c r="S44" s="533"/>
      <c r="T44" s="533"/>
      <c r="U44" s="533"/>
      <c r="V44" s="532"/>
      <c r="W44" s="532"/>
      <c r="X44" s="532"/>
      <c r="Y44" s="533"/>
      <c r="Z44" s="533"/>
      <c r="AA44" s="533"/>
      <c r="AB44" s="532"/>
      <c r="AC44" s="532"/>
      <c r="AD44" s="532"/>
      <c r="AE44" s="533"/>
      <c r="AF44" s="533">
        <f>SUM(AF45)</f>
        <v>25000</v>
      </c>
      <c r="AG44" s="533"/>
      <c r="AH44" s="533">
        <f>SUM(AH45)</f>
        <v>25000</v>
      </c>
      <c r="AI44" s="533"/>
      <c r="AJ44" s="533">
        <f>SUM(AJ45)</f>
        <v>25000</v>
      </c>
      <c r="AK44" s="534"/>
      <c r="AL44" s="534"/>
      <c r="AM44" s="534"/>
      <c r="AN44" s="534"/>
      <c r="AO44" s="535"/>
      <c r="AP44" s="371" t="s">
        <v>1404</v>
      </c>
      <c r="AQ44" s="536"/>
    </row>
    <row r="45" spans="1:43" ht="45">
      <c r="A45" s="537" t="s">
        <v>1480</v>
      </c>
      <c r="B45" s="538" t="s">
        <v>1481</v>
      </c>
      <c r="C45" s="539">
        <f t="shared" si="45"/>
        <v>1</v>
      </c>
      <c r="D45" s="540" t="s">
        <v>55</v>
      </c>
      <c r="E45" s="538" t="s">
        <v>1479</v>
      </c>
      <c r="F45" s="22" t="s">
        <v>52</v>
      </c>
      <c r="G45" s="541"/>
      <c r="H45" s="542"/>
      <c r="I45" s="541"/>
      <c r="J45" s="543"/>
      <c r="K45" s="543"/>
      <c r="L45" s="543"/>
      <c r="M45" s="544"/>
      <c r="N45" s="544"/>
      <c r="O45" s="544"/>
      <c r="P45" s="543"/>
      <c r="Q45" s="543"/>
      <c r="R45" s="543"/>
      <c r="S45" s="544"/>
      <c r="T45" s="544"/>
      <c r="U45" s="544"/>
      <c r="V45" s="543"/>
      <c r="W45" s="543"/>
      <c r="X45" s="543"/>
      <c r="Y45" s="544"/>
      <c r="Z45" s="544"/>
      <c r="AA45" s="544"/>
      <c r="AB45" s="543"/>
      <c r="AC45" s="551">
        <v>1</v>
      </c>
      <c r="AD45" s="543"/>
      <c r="AE45" s="544"/>
      <c r="AF45" s="544">
        <v>25000</v>
      </c>
      <c r="AG45" s="544"/>
      <c r="AH45" s="26">
        <f>SUM(M45,N45,O45,S45,T45,U45,Y45,Z45,AA45,AE45,AF45,AG45)</f>
        <v>25000</v>
      </c>
      <c r="AI45" s="545"/>
      <c r="AJ45" s="545">
        <v>25000</v>
      </c>
      <c r="AK45" s="545"/>
      <c r="AL45" s="546"/>
      <c r="AM45" s="545"/>
      <c r="AN45" s="545"/>
      <c r="AO45" s="538" t="s">
        <v>1409</v>
      </c>
      <c r="AP45" s="538" t="s">
        <v>1466</v>
      </c>
      <c r="AQ45" s="547"/>
    </row>
    <row r="46" spans="1:43" ht="90">
      <c r="A46" s="371" t="s">
        <v>1482</v>
      </c>
      <c r="B46" s="371" t="s">
        <v>1483</v>
      </c>
      <c r="C46" s="372"/>
      <c r="D46" s="528" t="s">
        <v>55</v>
      </c>
      <c r="E46" s="371" t="s">
        <v>1484</v>
      </c>
      <c r="F46" s="18"/>
      <c r="G46" s="529"/>
      <c r="H46" s="530"/>
      <c r="I46" s="531"/>
      <c r="J46" s="532"/>
      <c r="K46" s="532"/>
      <c r="L46" s="532"/>
      <c r="M46" s="533"/>
      <c r="N46" s="533"/>
      <c r="O46" s="533"/>
      <c r="P46" s="532"/>
      <c r="Q46" s="532"/>
      <c r="R46" s="532"/>
      <c r="S46" s="533"/>
      <c r="T46" s="533"/>
      <c r="U46" s="533"/>
      <c r="V46" s="532"/>
      <c r="W46" s="532"/>
      <c r="X46" s="532"/>
      <c r="Y46" s="533"/>
      <c r="Z46" s="533"/>
      <c r="AA46" s="533"/>
      <c r="AB46" s="532"/>
      <c r="AC46" s="532"/>
      <c r="AD46" s="532"/>
      <c r="AE46" s="533">
        <f t="shared" ref="AE46:AF46" si="47">SUM(AE47)</f>
        <v>300000</v>
      </c>
      <c r="AF46" s="533">
        <f t="shared" si="47"/>
        <v>300000</v>
      </c>
      <c r="AG46" s="533"/>
      <c r="AH46" s="533">
        <f>SUM(AH47)</f>
        <v>600000</v>
      </c>
      <c r="AI46" s="533"/>
      <c r="AJ46" s="534"/>
      <c r="AK46" s="533">
        <f>SUM(AK47)</f>
        <v>600000</v>
      </c>
      <c r="AL46" s="534"/>
      <c r="AM46" s="534"/>
      <c r="AN46" s="534"/>
      <c r="AO46" s="535"/>
      <c r="AP46" s="371" t="s">
        <v>1404</v>
      </c>
      <c r="AQ46" s="536"/>
    </row>
    <row r="47" spans="1:43" ht="60">
      <c r="A47" s="537" t="s">
        <v>1485</v>
      </c>
      <c r="B47" s="538" t="s">
        <v>1486</v>
      </c>
      <c r="C47" s="539">
        <f t="shared" si="45"/>
        <v>6</v>
      </c>
      <c r="D47" s="540" t="s">
        <v>55</v>
      </c>
      <c r="E47" s="538" t="s">
        <v>1487</v>
      </c>
      <c r="F47" s="574" t="s">
        <v>57</v>
      </c>
      <c r="G47" s="541"/>
      <c r="H47" s="542"/>
      <c r="I47" s="541"/>
      <c r="J47" s="548"/>
      <c r="K47" s="548"/>
      <c r="L47" s="548"/>
      <c r="M47" s="549"/>
      <c r="N47" s="549"/>
      <c r="O47" s="549"/>
      <c r="P47" s="548"/>
      <c r="Q47" s="548"/>
      <c r="R47" s="548"/>
      <c r="S47" s="549"/>
      <c r="T47" s="549"/>
      <c r="U47" s="549"/>
      <c r="V47" s="548"/>
      <c r="W47" s="548"/>
      <c r="X47" s="548"/>
      <c r="Y47" s="549"/>
      <c r="Z47" s="549"/>
      <c r="AA47" s="549"/>
      <c r="AB47" s="551">
        <v>3</v>
      </c>
      <c r="AC47" s="551">
        <v>3</v>
      </c>
      <c r="AD47" s="548"/>
      <c r="AE47" s="544">
        <f>100000*3</f>
        <v>300000</v>
      </c>
      <c r="AF47" s="544">
        <f>100000*3</f>
        <v>300000</v>
      </c>
      <c r="AG47" s="549"/>
      <c r="AH47" s="26">
        <f>SUM(M47,N47,O47,S47,T47,U47,Y47,Z47,AA47,AE47,AF47,AG47)</f>
        <v>600000</v>
      </c>
      <c r="AI47" s="545"/>
      <c r="AJ47" s="545"/>
      <c r="AK47" s="545">
        <f>+AH47</f>
        <v>600000</v>
      </c>
      <c r="AL47" s="546"/>
      <c r="AM47" s="545"/>
      <c r="AN47" s="545"/>
      <c r="AO47" s="538" t="s">
        <v>1409</v>
      </c>
      <c r="AP47" s="538" t="s">
        <v>1466</v>
      </c>
      <c r="AQ47" s="547"/>
    </row>
    <row r="48" spans="1:43" ht="60">
      <c r="A48" s="47" t="s">
        <v>322</v>
      </c>
      <c r="B48" s="47" t="s">
        <v>323</v>
      </c>
      <c r="C48" s="47"/>
      <c r="D48" s="575"/>
      <c r="E48" s="576"/>
      <c r="F48" s="577"/>
      <c r="G48" s="578"/>
      <c r="H48" s="579"/>
      <c r="I48" s="578"/>
      <c r="J48" s="580"/>
      <c r="K48" s="580"/>
      <c r="L48" s="580"/>
      <c r="M48" s="581">
        <f>SUM(M49,M53,M63)</f>
        <v>4272</v>
      </c>
      <c r="N48" s="581">
        <f t="shared" ref="N48:O48" si="48">SUM(N49,N53,N63)</f>
        <v>4272</v>
      </c>
      <c r="O48" s="581">
        <f t="shared" si="48"/>
        <v>6308</v>
      </c>
      <c r="P48" s="580"/>
      <c r="Q48" s="580"/>
      <c r="R48" s="580"/>
      <c r="S48" s="581">
        <f t="shared" ref="S48:U48" si="49">SUM(S49,S53,S63)</f>
        <v>4272</v>
      </c>
      <c r="T48" s="581">
        <f t="shared" si="49"/>
        <v>12227</v>
      </c>
      <c r="U48" s="581">
        <f t="shared" si="49"/>
        <v>133831</v>
      </c>
      <c r="V48" s="580"/>
      <c r="W48" s="580"/>
      <c r="X48" s="580"/>
      <c r="Y48" s="581">
        <f t="shared" ref="Y48:AA48" si="50">SUM(Y49,Y53,Y63)</f>
        <v>7472</v>
      </c>
      <c r="Z48" s="581">
        <f t="shared" si="50"/>
        <v>9150</v>
      </c>
      <c r="AA48" s="581">
        <f t="shared" si="50"/>
        <v>7472</v>
      </c>
      <c r="AB48" s="580"/>
      <c r="AC48" s="580"/>
      <c r="AD48" s="580"/>
      <c r="AE48" s="581">
        <f t="shared" ref="AE48:AG48" si="51">SUM(AE49,AE53,AE63)</f>
        <v>36558</v>
      </c>
      <c r="AF48" s="581">
        <f t="shared" si="51"/>
        <v>6272</v>
      </c>
      <c r="AG48" s="581">
        <f t="shared" si="51"/>
        <v>28272</v>
      </c>
      <c r="AH48" s="581">
        <f>SUM(AH49,AH53,AH63)</f>
        <v>260378</v>
      </c>
      <c r="AI48" s="581"/>
      <c r="AJ48" s="581">
        <f>SUM(AJ49,AJ53,AJ63)</f>
        <v>260378</v>
      </c>
      <c r="AK48" s="581"/>
      <c r="AL48" s="582"/>
      <c r="AM48" s="581"/>
      <c r="AN48" s="581"/>
      <c r="AO48" s="576"/>
      <c r="AP48" s="47" t="s">
        <v>1488</v>
      </c>
      <c r="AQ48" s="583"/>
    </row>
    <row r="49" spans="1:43" ht="105">
      <c r="A49" s="355" t="s">
        <v>324</v>
      </c>
      <c r="B49" s="355" t="s">
        <v>325</v>
      </c>
      <c r="C49" s="584"/>
      <c r="D49" s="585"/>
      <c r="E49" s="586"/>
      <c r="F49" s="587"/>
      <c r="G49" s="588"/>
      <c r="H49" s="589"/>
      <c r="I49" s="588"/>
      <c r="J49" s="590"/>
      <c r="K49" s="590"/>
      <c r="L49" s="590"/>
      <c r="M49" s="591"/>
      <c r="N49" s="591"/>
      <c r="O49" s="591"/>
      <c r="P49" s="590"/>
      <c r="Q49" s="590"/>
      <c r="R49" s="590"/>
      <c r="S49" s="591"/>
      <c r="T49" s="591"/>
      <c r="U49" s="591"/>
      <c r="V49" s="590"/>
      <c r="W49" s="590"/>
      <c r="X49" s="590"/>
      <c r="Y49" s="591"/>
      <c r="Z49" s="591"/>
      <c r="AA49" s="591"/>
      <c r="AB49" s="590"/>
      <c r="AC49" s="590"/>
      <c r="AD49" s="590"/>
      <c r="AE49" s="591">
        <f>SUM(AE50)</f>
        <v>5000</v>
      </c>
      <c r="AF49" s="591"/>
      <c r="AG49" s="591"/>
      <c r="AH49" s="591">
        <f>SUM(AH50)</f>
        <v>5000</v>
      </c>
      <c r="AI49" s="591"/>
      <c r="AJ49" s="591">
        <f>SUM(AJ50)</f>
        <v>5000</v>
      </c>
      <c r="AK49" s="591"/>
      <c r="AL49" s="592"/>
      <c r="AM49" s="591"/>
      <c r="AN49" s="591"/>
      <c r="AO49" s="586"/>
      <c r="AP49" s="355" t="s">
        <v>1489</v>
      </c>
      <c r="AQ49" s="593"/>
    </row>
    <row r="50" spans="1:43" ht="60">
      <c r="A50" s="517" t="s">
        <v>326</v>
      </c>
      <c r="B50" s="517" t="s">
        <v>327</v>
      </c>
      <c r="C50" s="518"/>
      <c r="D50" s="519"/>
      <c r="E50" s="517"/>
      <c r="F50" s="273"/>
      <c r="G50" s="520"/>
      <c r="H50" s="521"/>
      <c r="I50" s="522"/>
      <c r="J50" s="523"/>
      <c r="K50" s="523"/>
      <c r="L50" s="523"/>
      <c r="M50" s="524"/>
      <c r="N50" s="524"/>
      <c r="O50" s="524"/>
      <c r="P50" s="523"/>
      <c r="Q50" s="523"/>
      <c r="R50" s="523"/>
      <c r="S50" s="524"/>
      <c r="T50" s="524"/>
      <c r="U50" s="524"/>
      <c r="V50" s="523"/>
      <c r="W50" s="523"/>
      <c r="X50" s="523"/>
      <c r="Y50" s="524"/>
      <c r="Z50" s="524"/>
      <c r="AA50" s="524"/>
      <c r="AB50" s="523"/>
      <c r="AC50" s="523"/>
      <c r="AD50" s="523"/>
      <c r="AE50" s="524">
        <f>SUM(AE51)</f>
        <v>5000</v>
      </c>
      <c r="AF50" s="524"/>
      <c r="AG50" s="524"/>
      <c r="AH50" s="524">
        <f>SUM(AH51)</f>
        <v>5000</v>
      </c>
      <c r="AI50" s="524"/>
      <c r="AJ50" s="524">
        <f>SUM(AJ51)</f>
        <v>5000</v>
      </c>
      <c r="AK50" s="525"/>
      <c r="AL50" s="525"/>
      <c r="AM50" s="525"/>
      <c r="AN50" s="525"/>
      <c r="AO50" s="526"/>
      <c r="AP50" s="526" t="s">
        <v>1489</v>
      </c>
      <c r="AQ50" s="527"/>
    </row>
    <row r="51" spans="1:43" ht="135">
      <c r="A51" s="371" t="s">
        <v>1490</v>
      </c>
      <c r="B51" s="371" t="s">
        <v>1491</v>
      </c>
      <c r="C51" s="372"/>
      <c r="D51" s="371" t="s">
        <v>1492</v>
      </c>
      <c r="E51" s="371" t="s">
        <v>1493</v>
      </c>
      <c r="F51" s="18"/>
      <c r="G51" s="529"/>
      <c r="H51" s="530"/>
      <c r="I51" s="531"/>
      <c r="J51" s="532"/>
      <c r="K51" s="532"/>
      <c r="L51" s="532"/>
      <c r="M51" s="533"/>
      <c r="N51" s="533"/>
      <c r="O51" s="533"/>
      <c r="P51" s="532"/>
      <c r="Q51" s="532"/>
      <c r="R51" s="532"/>
      <c r="S51" s="533"/>
      <c r="T51" s="533"/>
      <c r="U51" s="533"/>
      <c r="V51" s="532"/>
      <c r="W51" s="532"/>
      <c r="X51" s="532"/>
      <c r="Y51" s="533"/>
      <c r="Z51" s="533"/>
      <c r="AA51" s="533"/>
      <c r="AB51" s="532"/>
      <c r="AC51" s="532"/>
      <c r="AD51" s="532"/>
      <c r="AE51" s="533">
        <f>SUM(AE52)</f>
        <v>5000</v>
      </c>
      <c r="AF51" s="533"/>
      <c r="AG51" s="533"/>
      <c r="AH51" s="533">
        <f>SUM(AH52)</f>
        <v>5000</v>
      </c>
      <c r="AI51" s="533"/>
      <c r="AJ51" s="533">
        <f>SUM(AJ52)</f>
        <v>5000</v>
      </c>
      <c r="AK51" s="534"/>
      <c r="AL51" s="534"/>
      <c r="AM51" s="534"/>
      <c r="AN51" s="534"/>
      <c r="AO51" s="535"/>
      <c r="AP51" s="371" t="s">
        <v>1494</v>
      </c>
      <c r="AQ51" s="536"/>
    </row>
    <row r="52" spans="1:43" ht="75">
      <c r="A52" s="537" t="s">
        <v>1495</v>
      </c>
      <c r="B52" s="538" t="s">
        <v>1496</v>
      </c>
      <c r="C52" s="539">
        <f t="shared" ref="C52" si="52">+J52+K52+L52+P52+Q52+R52+V52+W52+X52+AB52+AC52+AD52</f>
        <v>1</v>
      </c>
      <c r="D52" s="540" t="s">
        <v>1497</v>
      </c>
      <c r="E52" s="538" t="s">
        <v>1498</v>
      </c>
      <c r="F52" s="22" t="s">
        <v>1499</v>
      </c>
      <c r="G52" s="541"/>
      <c r="H52" s="542"/>
      <c r="I52" s="541"/>
      <c r="J52" s="543"/>
      <c r="K52" s="543"/>
      <c r="L52" s="543"/>
      <c r="M52" s="544"/>
      <c r="N52" s="544"/>
      <c r="O52" s="544"/>
      <c r="P52" s="543"/>
      <c r="Q52" s="543"/>
      <c r="R52" s="543"/>
      <c r="S52" s="544"/>
      <c r="T52" s="544"/>
      <c r="U52" s="544"/>
      <c r="V52" s="543"/>
      <c r="W52" s="543"/>
      <c r="X52" s="543"/>
      <c r="Y52" s="544"/>
      <c r="Z52" s="544"/>
      <c r="AA52" s="544"/>
      <c r="AB52" s="551">
        <v>1</v>
      </c>
      <c r="AC52" s="543"/>
      <c r="AD52" s="543"/>
      <c r="AE52" s="544">
        <v>5000</v>
      </c>
      <c r="AF52" s="544"/>
      <c r="AG52" s="544"/>
      <c r="AH52" s="26">
        <f>SUM(M52,N52,O52,S52,T52,U52,Y52,Z52,AA52,AE52,AF52,AG52)</f>
        <v>5000</v>
      </c>
      <c r="AI52" s="545"/>
      <c r="AJ52" s="545">
        <f>+AH52</f>
        <v>5000</v>
      </c>
      <c r="AK52" s="545"/>
      <c r="AL52" s="546"/>
      <c r="AM52" s="545"/>
      <c r="AN52" s="545"/>
      <c r="AO52" s="538" t="s">
        <v>1409</v>
      </c>
      <c r="AP52" s="538" t="s">
        <v>1410</v>
      </c>
      <c r="AQ52" s="547"/>
    </row>
    <row r="53" spans="1:43" ht="105">
      <c r="A53" s="355" t="s">
        <v>1500</v>
      </c>
      <c r="B53" s="355" t="s">
        <v>1501</v>
      </c>
      <c r="C53" s="584"/>
      <c r="D53" s="585"/>
      <c r="E53" s="586"/>
      <c r="F53" s="587"/>
      <c r="G53" s="588"/>
      <c r="H53" s="589"/>
      <c r="I53" s="588"/>
      <c r="J53" s="590"/>
      <c r="K53" s="590"/>
      <c r="L53" s="590"/>
      <c r="M53" s="591"/>
      <c r="N53" s="591"/>
      <c r="O53" s="591">
        <f>SUM(O54)</f>
        <v>2036</v>
      </c>
      <c r="P53" s="590"/>
      <c r="Q53" s="590"/>
      <c r="R53" s="590"/>
      <c r="S53" s="591"/>
      <c r="T53" s="591">
        <f t="shared" ref="T53:U53" si="53">SUM(T54)</f>
        <v>7955</v>
      </c>
      <c r="U53" s="591">
        <f t="shared" si="53"/>
        <v>129559</v>
      </c>
      <c r="V53" s="590"/>
      <c r="W53" s="590"/>
      <c r="X53" s="590"/>
      <c r="Y53" s="591">
        <f t="shared" ref="Y53:AA53" si="54">SUM(Y54)</f>
        <v>3200</v>
      </c>
      <c r="Z53" s="591">
        <f t="shared" si="54"/>
        <v>4878</v>
      </c>
      <c r="AA53" s="591">
        <f t="shared" si="54"/>
        <v>3200</v>
      </c>
      <c r="AB53" s="590"/>
      <c r="AC53" s="590"/>
      <c r="AD53" s="590"/>
      <c r="AE53" s="591">
        <f t="shared" ref="AE53:AF53" si="55">SUM(AE54)</f>
        <v>3286</v>
      </c>
      <c r="AF53" s="591">
        <f t="shared" si="55"/>
        <v>2000</v>
      </c>
      <c r="AG53" s="591"/>
      <c r="AH53" s="591">
        <f t="shared" ref="AH53:AJ53" si="56">SUM(AH54)</f>
        <v>156114</v>
      </c>
      <c r="AI53" s="591"/>
      <c r="AJ53" s="591">
        <f t="shared" si="56"/>
        <v>156114</v>
      </c>
      <c r="AK53" s="591"/>
      <c r="AL53" s="592"/>
      <c r="AM53" s="591"/>
      <c r="AN53" s="591"/>
      <c r="AO53" s="586"/>
      <c r="AP53" s="355" t="s">
        <v>1494</v>
      </c>
      <c r="AQ53" s="593"/>
    </row>
    <row r="54" spans="1:43" ht="45">
      <c r="A54" s="517" t="s">
        <v>1502</v>
      </c>
      <c r="B54" s="517" t="s">
        <v>1503</v>
      </c>
      <c r="C54" s="518"/>
      <c r="D54" s="519"/>
      <c r="E54" s="517"/>
      <c r="F54" s="273"/>
      <c r="G54" s="520"/>
      <c r="H54" s="521"/>
      <c r="I54" s="522"/>
      <c r="J54" s="523"/>
      <c r="K54" s="523"/>
      <c r="L54" s="523"/>
      <c r="M54" s="524"/>
      <c r="N54" s="524"/>
      <c r="O54" s="524">
        <f>SUM(O55,O57,O59,O61)</f>
        <v>2036</v>
      </c>
      <c r="P54" s="523"/>
      <c r="Q54" s="523"/>
      <c r="R54" s="523"/>
      <c r="S54" s="524"/>
      <c r="T54" s="524">
        <f t="shared" ref="T54:U54" si="57">SUM(T55,T57,T59,T61)</f>
        <v>7955</v>
      </c>
      <c r="U54" s="524">
        <f t="shared" si="57"/>
        <v>129559</v>
      </c>
      <c r="V54" s="523"/>
      <c r="W54" s="523"/>
      <c r="X54" s="523"/>
      <c r="Y54" s="524">
        <f t="shared" ref="Y54:AA54" si="58">SUM(Y55,Y57,Y59,Y61)</f>
        <v>3200</v>
      </c>
      <c r="Z54" s="524">
        <f t="shared" si="58"/>
        <v>4878</v>
      </c>
      <c r="AA54" s="524">
        <f t="shared" si="58"/>
        <v>3200</v>
      </c>
      <c r="AB54" s="523"/>
      <c r="AC54" s="523"/>
      <c r="AD54" s="523"/>
      <c r="AE54" s="524">
        <f t="shared" ref="AE54:AF54" si="59">SUM(AE55,AE57,AE59,AE61)</f>
        <v>3286</v>
      </c>
      <c r="AF54" s="524">
        <f t="shared" si="59"/>
        <v>2000</v>
      </c>
      <c r="AG54" s="524"/>
      <c r="AH54" s="524">
        <f t="shared" ref="AH54:AJ54" si="60">SUM(AH55,AH57,AH59,AH61)</f>
        <v>156114</v>
      </c>
      <c r="AI54" s="524"/>
      <c r="AJ54" s="524">
        <f t="shared" si="60"/>
        <v>156114</v>
      </c>
      <c r="AK54" s="525"/>
      <c r="AL54" s="525"/>
      <c r="AM54" s="525"/>
      <c r="AN54" s="525"/>
      <c r="AO54" s="526"/>
      <c r="AP54" s="526" t="s">
        <v>1494</v>
      </c>
      <c r="AQ54" s="527"/>
    </row>
    <row r="55" spans="1:43" ht="75">
      <c r="A55" s="371" t="s">
        <v>1504</v>
      </c>
      <c r="B55" s="371" t="s">
        <v>1505</v>
      </c>
      <c r="C55" s="372"/>
      <c r="D55" s="528" t="s">
        <v>1506</v>
      </c>
      <c r="E55" s="371" t="s">
        <v>1507</v>
      </c>
      <c r="F55" s="18"/>
      <c r="G55" s="529"/>
      <c r="H55" s="530"/>
      <c r="I55" s="531"/>
      <c r="J55" s="532"/>
      <c r="K55" s="532"/>
      <c r="L55" s="532"/>
      <c r="M55" s="533"/>
      <c r="N55" s="533"/>
      <c r="O55" s="533"/>
      <c r="P55" s="532"/>
      <c r="Q55" s="532"/>
      <c r="R55" s="532"/>
      <c r="S55" s="533"/>
      <c r="T55" s="533">
        <f t="shared" ref="T55:U55" si="61">SUM(T56)</f>
        <v>6755</v>
      </c>
      <c r="U55" s="533">
        <f t="shared" si="61"/>
        <v>128359</v>
      </c>
      <c r="V55" s="532"/>
      <c r="W55" s="532"/>
      <c r="X55" s="532"/>
      <c r="Y55" s="533"/>
      <c r="Z55" s="533"/>
      <c r="AA55" s="533"/>
      <c r="AB55" s="532"/>
      <c r="AC55" s="532"/>
      <c r="AD55" s="532"/>
      <c r="AE55" s="533"/>
      <c r="AF55" s="533"/>
      <c r="AG55" s="533"/>
      <c r="AH55" s="533">
        <f>SUM(AH56)</f>
        <v>135114</v>
      </c>
      <c r="AI55" s="533"/>
      <c r="AJ55" s="533">
        <f>SUM(AJ56)</f>
        <v>135114</v>
      </c>
      <c r="AK55" s="534"/>
      <c r="AL55" s="534"/>
      <c r="AM55" s="534"/>
      <c r="AN55" s="534"/>
      <c r="AO55" s="535"/>
      <c r="AP55" s="371" t="s">
        <v>1404</v>
      </c>
      <c r="AQ55" s="536"/>
    </row>
    <row r="56" spans="1:43" ht="45">
      <c r="A56" s="537" t="s">
        <v>1508</v>
      </c>
      <c r="B56" s="538" t="s">
        <v>1509</v>
      </c>
      <c r="C56" s="539">
        <f t="shared" ref="C56" si="62">+J56+K56+L56+P56+Q56+R56+V56+W56+X56+AB56+AC56+AD56</f>
        <v>20</v>
      </c>
      <c r="D56" s="540" t="s">
        <v>1506</v>
      </c>
      <c r="E56" s="538" t="s">
        <v>1507</v>
      </c>
      <c r="F56" s="574" t="s">
        <v>52</v>
      </c>
      <c r="G56" s="541"/>
      <c r="H56" s="542"/>
      <c r="I56" s="541"/>
      <c r="J56" s="543"/>
      <c r="K56" s="543"/>
      <c r="L56" s="543"/>
      <c r="M56" s="544"/>
      <c r="N56" s="544"/>
      <c r="O56" s="544"/>
      <c r="P56" s="543"/>
      <c r="Q56" s="551">
        <v>1</v>
      </c>
      <c r="R56" s="551">
        <v>19</v>
      </c>
      <c r="S56" s="544"/>
      <c r="T56" s="544">
        <v>6755</v>
      </c>
      <c r="U56" s="544">
        <f>6755*19+14</f>
        <v>128359</v>
      </c>
      <c r="V56" s="543"/>
      <c r="W56" s="543"/>
      <c r="X56" s="543"/>
      <c r="Y56" s="544"/>
      <c r="Z56" s="544"/>
      <c r="AA56" s="544"/>
      <c r="AB56" s="543"/>
      <c r="AC56" s="543"/>
      <c r="AD56" s="543"/>
      <c r="AE56" s="544"/>
      <c r="AF56" s="544"/>
      <c r="AG56" s="544"/>
      <c r="AH56" s="26">
        <f>SUM(M56,N56,O56,S56,T56,U56,Y56,Z56,AA56,AE56,AF56,AG56)</f>
        <v>135114</v>
      </c>
      <c r="AI56" s="545"/>
      <c r="AJ56" s="545">
        <f>+AH56</f>
        <v>135114</v>
      </c>
      <c r="AK56" s="545"/>
      <c r="AL56" s="546"/>
      <c r="AM56" s="545"/>
      <c r="AN56" s="545"/>
      <c r="AO56" s="538" t="s">
        <v>1409</v>
      </c>
      <c r="AP56" s="538" t="s">
        <v>1510</v>
      </c>
      <c r="AQ56" s="547"/>
    </row>
    <row r="57" spans="1:43" ht="60">
      <c r="A57" s="371" t="s">
        <v>1511</v>
      </c>
      <c r="B57" s="371" t="s">
        <v>1512</v>
      </c>
      <c r="C57" s="372"/>
      <c r="D57" s="528" t="s">
        <v>1513</v>
      </c>
      <c r="E57" s="371" t="s">
        <v>1514</v>
      </c>
      <c r="F57" s="18"/>
      <c r="G57" s="529"/>
      <c r="H57" s="530"/>
      <c r="I57" s="531"/>
      <c r="J57" s="532"/>
      <c r="K57" s="532"/>
      <c r="L57" s="532"/>
      <c r="M57" s="533"/>
      <c r="N57" s="533"/>
      <c r="O57" s="533"/>
      <c r="P57" s="532"/>
      <c r="Q57" s="532"/>
      <c r="R57" s="532"/>
      <c r="S57" s="533"/>
      <c r="T57" s="533">
        <f>SUM(T58)</f>
        <v>1200</v>
      </c>
      <c r="U57" s="533">
        <f>SUM(U58)</f>
        <v>1200</v>
      </c>
      <c r="V57" s="532"/>
      <c r="W57" s="532"/>
      <c r="X57" s="532"/>
      <c r="Y57" s="533">
        <f t="shared" ref="Y57:AA57" si="63">SUM(Y58)</f>
        <v>1200</v>
      </c>
      <c r="Z57" s="533">
        <f t="shared" si="63"/>
        <v>1200</v>
      </c>
      <c r="AA57" s="533">
        <f t="shared" si="63"/>
        <v>1200</v>
      </c>
      <c r="AB57" s="532"/>
      <c r="AC57" s="532"/>
      <c r="AD57" s="532"/>
      <c r="AE57" s="533"/>
      <c r="AF57" s="533"/>
      <c r="AG57" s="533"/>
      <c r="AH57" s="533">
        <f>SUM(AH58)</f>
        <v>6000</v>
      </c>
      <c r="AI57" s="533"/>
      <c r="AJ57" s="533">
        <f>SUM(AJ58)</f>
        <v>6000</v>
      </c>
      <c r="AK57" s="534"/>
      <c r="AL57" s="534"/>
      <c r="AM57" s="534"/>
      <c r="AN57" s="534"/>
      <c r="AO57" s="535"/>
      <c r="AP57" s="371" t="s">
        <v>1404</v>
      </c>
      <c r="AQ57" s="536"/>
    </row>
    <row r="58" spans="1:43" ht="60">
      <c r="A58" s="537" t="s">
        <v>1515</v>
      </c>
      <c r="B58" s="538" t="s">
        <v>1512</v>
      </c>
      <c r="C58" s="594">
        <f t="shared" ref="C58" si="64">+J58+K58+L58+P58+Q58+R58+V58+W58+X58+AB58+AC58+AD58</f>
        <v>5</v>
      </c>
      <c r="D58" s="540" t="s">
        <v>1513</v>
      </c>
      <c r="E58" s="538" t="s">
        <v>1514</v>
      </c>
      <c r="F58" s="574" t="s">
        <v>52</v>
      </c>
      <c r="G58" s="541"/>
      <c r="H58" s="542"/>
      <c r="I58" s="541"/>
      <c r="J58" s="548"/>
      <c r="K58" s="548"/>
      <c r="L58" s="548"/>
      <c r="M58" s="549"/>
      <c r="N58" s="549"/>
      <c r="O58" s="549"/>
      <c r="P58" s="548"/>
      <c r="Q58" s="551">
        <v>1</v>
      </c>
      <c r="R58" s="551">
        <v>1</v>
      </c>
      <c r="S58" s="544"/>
      <c r="T58" s="544">
        <v>1200</v>
      </c>
      <c r="U58" s="544">
        <v>1200</v>
      </c>
      <c r="V58" s="551">
        <v>1</v>
      </c>
      <c r="W58" s="551">
        <v>1</v>
      </c>
      <c r="X58" s="551">
        <v>1</v>
      </c>
      <c r="Y58" s="544">
        <v>1200</v>
      </c>
      <c r="Z58" s="544">
        <v>1200</v>
      </c>
      <c r="AA58" s="544">
        <v>1200</v>
      </c>
      <c r="AB58" s="548"/>
      <c r="AC58" s="548"/>
      <c r="AD58" s="548"/>
      <c r="AE58" s="544"/>
      <c r="AF58" s="544"/>
      <c r="AG58" s="544"/>
      <c r="AH58" s="26">
        <f>SUM(M58,N58,O58,S58,T58,U58,Y58,Z58,AA58,AE58,AF58,AG58)</f>
        <v>6000</v>
      </c>
      <c r="AI58" s="545"/>
      <c r="AJ58" s="545">
        <f>+AH58</f>
        <v>6000</v>
      </c>
      <c r="AK58" s="545"/>
      <c r="AL58" s="546"/>
      <c r="AM58" s="545"/>
      <c r="AN58" s="545"/>
      <c r="AO58" s="538" t="s">
        <v>1409</v>
      </c>
      <c r="AP58" s="538" t="s">
        <v>1510</v>
      </c>
      <c r="AQ58" s="547"/>
    </row>
    <row r="59" spans="1:43" ht="30">
      <c r="A59" s="371" t="s">
        <v>1516</v>
      </c>
      <c r="B59" s="371" t="s">
        <v>1517</v>
      </c>
      <c r="C59" s="372"/>
      <c r="D59" s="528" t="s">
        <v>1518</v>
      </c>
      <c r="E59" s="371" t="s">
        <v>1519</v>
      </c>
      <c r="F59" s="18"/>
      <c r="G59" s="529"/>
      <c r="H59" s="530"/>
      <c r="I59" s="531"/>
      <c r="J59" s="532"/>
      <c r="K59" s="532"/>
      <c r="L59" s="532"/>
      <c r="M59" s="533"/>
      <c r="N59" s="533"/>
      <c r="O59" s="533"/>
      <c r="P59" s="532"/>
      <c r="Q59" s="532"/>
      <c r="R59" s="532"/>
      <c r="S59" s="533"/>
      <c r="T59" s="533"/>
      <c r="U59" s="533"/>
      <c r="V59" s="532"/>
      <c r="W59" s="532"/>
      <c r="X59" s="532"/>
      <c r="Y59" s="533">
        <f t="shared" ref="Y59:AA59" si="65">SUM(Y60)</f>
        <v>2000</v>
      </c>
      <c r="Z59" s="533">
        <f t="shared" si="65"/>
        <v>2000</v>
      </c>
      <c r="AA59" s="533">
        <f t="shared" si="65"/>
        <v>2000</v>
      </c>
      <c r="AB59" s="532"/>
      <c r="AC59" s="532"/>
      <c r="AD59" s="532"/>
      <c r="AE59" s="533">
        <f t="shared" ref="AE59:AF59" si="66">SUM(AE60)</f>
        <v>2000</v>
      </c>
      <c r="AF59" s="533">
        <f t="shared" si="66"/>
        <v>2000</v>
      </c>
      <c r="AG59" s="533"/>
      <c r="AH59" s="533">
        <f>SUM(AH60)</f>
        <v>10000</v>
      </c>
      <c r="AI59" s="533"/>
      <c r="AJ59" s="533">
        <f>SUM(AJ60)</f>
        <v>10000</v>
      </c>
      <c r="AK59" s="534"/>
      <c r="AL59" s="534"/>
      <c r="AM59" s="534"/>
      <c r="AN59" s="534"/>
      <c r="AO59" s="535"/>
      <c r="AP59" s="371" t="s">
        <v>1404</v>
      </c>
      <c r="AQ59" s="536"/>
    </row>
    <row r="60" spans="1:43" ht="45">
      <c r="A60" s="537" t="s">
        <v>1520</v>
      </c>
      <c r="B60" s="538" t="s">
        <v>1521</v>
      </c>
      <c r="C60" s="539">
        <f t="shared" ref="C60" si="67">+J60+K60+L60+P60+Q60+R60+V60+W60+X60+AB60+AC60+AD60</f>
        <v>5</v>
      </c>
      <c r="D60" s="540" t="s">
        <v>1518</v>
      </c>
      <c r="E60" s="538" t="s">
        <v>1519</v>
      </c>
      <c r="F60" s="574" t="s">
        <v>52</v>
      </c>
      <c r="G60" s="541"/>
      <c r="H60" s="542"/>
      <c r="I60" s="541"/>
      <c r="J60" s="543"/>
      <c r="K60" s="543"/>
      <c r="L60" s="543"/>
      <c r="M60" s="544"/>
      <c r="N60" s="544"/>
      <c r="O60" s="544"/>
      <c r="P60" s="543"/>
      <c r="Q60" s="543"/>
      <c r="R60" s="543"/>
      <c r="S60" s="544"/>
      <c r="T60" s="544"/>
      <c r="U60" s="544"/>
      <c r="V60" s="551">
        <v>1</v>
      </c>
      <c r="W60" s="551">
        <v>1</v>
      </c>
      <c r="X60" s="551">
        <v>1</v>
      </c>
      <c r="Y60" s="544">
        <v>2000</v>
      </c>
      <c r="Z60" s="544">
        <v>2000</v>
      </c>
      <c r="AA60" s="544">
        <v>2000</v>
      </c>
      <c r="AB60" s="551">
        <v>1</v>
      </c>
      <c r="AC60" s="551">
        <v>1</v>
      </c>
      <c r="AD60" s="543"/>
      <c r="AE60" s="544">
        <v>2000</v>
      </c>
      <c r="AF60" s="544">
        <v>2000</v>
      </c>
      <c r="AG60" s="544"/>
      <c r="AH60" s="26">
        <f>SUM(M60,N60,O60,S60,T60,U60,Y60,Z60,AA60,AE60,AF60,AG60)</f>
        <v>10000</v>
      </c>
      <c r="AI60" s="545"/>
      <c r="AJ60" s="545">
        <f>+AH60</f>
        <v>10000</v>
      </c>
      <c r="AK60" s="545"/>
      <c r="AL60" s="546"/>
      <c r="AM60" s="545"/>
      <c r="AN60" s="545"/>
      <c r="AO60" s="538" t="s">
        <v>1409</v>
      </c>
      <c r="AP60" s="538" t="s">
        <v>1466</v>
      </c>
      <c r="AQ60" s="547"/>
    </row>
    <row r="61" spans="1:43" ht="60">
      <c r="A61" s="371" t="s">
        <v>1522</v>
      </c>
      <c r="B61" s="371" t="s">
        <v>1523</v>
      </c>
      <c r="C61" s="372"/>
      <c r="D61" s="528" t="s">
        <v>944</v>
      </c>
      <c r="E61" s="371" t="s">
        <v>1524</v>
      </c>
      <c r="F61" s="18"/>
      <c r="G61" s="529"/>
      <c r="H61" s="530"/>
      <c r="I61" s="531"/>
      <c r="J61" s="532"/>
      <c r="K61" s="532"/>
      <c r="L61" s="532"/>
      <c r="M61" s="533"/>
      <c r="N61" s="533"/>
      <c r="O61" s="533">
        <f>SUM(O62)</f>
        <v>2036</v>
      </c>
      <c r="P61" s="532"/>
      <c r="Q61" s="532"/>
      <c r="R61" s="532"/>
      <c r="S61" s="533"/>
      <c r="T61" s="533"/>
      <c r="U61" s="533"/>
      <c r="V61" s="532"/>
      <c r="W61" s="532"/>
      <c r="X61" s="532"/>
      <c r="Y61" s="533"/>
      <c r="Z61" s="533">
        <f>SUM(Z62)</f>
        <v>1678</v>
      </c>
      <c r="AA61" s="533"/>
      <c r="AB61" s="532"/>
      <c r="AC61" s="532"/>
      <c r="AD61" s="532"/>
      <c r="AE61" s="533">
        <f>SUM(AE62)</f>
        <v>1286</v>
      </c>
      <c r="AF61" s="533"/>
      <c r="AG61" s="533"/>
      <c r="AH61" s="533">
        <f>SUM(AH62)</f>
        <v>5000</v>
      </c>
      <c r="AI61" s="533"/>
      <c r="AJ61" s="533">
        <f>SUM(AJ62)</f>
        <v>5000</v>
      </c>
      <c r="AK61" s="534"/>
      <c r="AL61" s="534"/>
      <c r="AM61" s="534"/>
      <c r="AN61" s="534"/>
      <c r="AO61" s="535"/>
      <c r="AP61" s="371" t="s">
        <v>1404</v>
      </c>
      <c r="AQ61" s="536"/>
    </row>
    <row r="62" spans="1:43" ht="60">
      <c r="A62" s="537" t="s">
        <v>1525</v>
      </c>
      <c r="B62" s="538" t="s">
        <v>1523</v>
      </c>
      <c r="C62" s="539">
        <f t="shared" ref="C62" si="68">+J62+K62+L62+P62+Q62+R62+V62+W62+X62+AB62+AC62+AD62</f>
        <v>5</v>
      </c>
      <c r="D62" s="540" t="s">
        <v>944</v>
      </c>
      <c r="E62" s="538" t="s">
        <v>1524</v>
      </c>
      <c r="F62" s="574" t="s">
        <v>52</v>
      </c>
      <c r="G62" s="541"/>
      <c r="H62" s="542"/>
      <c r="I62" s="541"/>
      <c r="J62" s="543"/>
      <c r="K62" s="543"/>
      <c r="L62" s="551">
        <v>2</v>
      </c>
      <c r="M62" s="544"/>
      <c r="N62" s="544"/>
      <c r="O62" s="544">
        <f>800+642+594</f>
        <v>2036</v>
      </c>
      <c r="P62" s="543"/>
      <c r="Q62" s="543"/>
      <c r="R62" s="543"/>
      <c r="S62" s="544"/>
      <c r="T62" s="544"/>
      <c r="U62" s="544"/>
      <c r="V62" s="543"/>
      <c r="W62" s="551">
        <v>2</v>
      </c>
      <c r="X62" s="543"/>
      <c r="Y62" s="544"/>
      <c r="Z62" s="544">
        <f>800+428+450</f>
        <v>1678</v>
      </c>
      <c r="AA62" s="544"/>
      <c r="AB62" s="551">
        <v>1</v>
      </c>
      <c r="AC62" s="543"/>
      <c r="AD62" s="543"/>
      <c r="AE62" s="544">
        <f>400+430+456</f>
        <v>1286</v>
      </c>
      <c r="AF62" s="544"/>
      <c r="AG62" s="544"/>
      <c r="AH62" s="26">
        <f>SUM(M62,N62,O62,S62,T62,U62,Y62,Z62,AA62,AE62,AF62,AG62)</f>
        <v>5000</v>
      </c>
      <c r="AI62" s="545"/>
      <c r="AJ62" s="545">
        <f>+AH62</f>
        <v>5000</v>
      </c>
      <c r="AK62" s="545"/>
      <c r="AL62" s="546"/>
      <c r="AM62" s="545"/>
      <c r="AN62" s="545"/>
      <c r="AO62" s="538" t="s">
        <v>1409</v>
      </c>
      <c r="AP62" s="538" t="s">
        <v>1466</v>
      </c>
      <c r="AQ62" s="547"/>
    </row>
    <row r="63" spans="1:43" ht="45">
      <c r="A63" s="355" t="s">
        <v>1526</v>
      </c>
      <c r="B63" s="355" t="s">
        <v>1527</v>
      </c>
      <c r="C63" s="584"/>
      <c r="D63" s="585"/>
      <c r="E63" s="586"/>
      <c r="F63" s="587"/>
      <c r="G63" s="588"/>
      <c r="H63" s="589"/>
      <c r="I63" s="588"/>
      <c r="J63" s="590"/>
      <c r="K63" s="590"/>
      <c r="L63" s="590"/>
      <c r="M63" s="591">
        <f>SUM(M64)</f>
        <v>4272</v>
      </c>
      <c r="N63" s="591">
        <f t="shared" ref="N63:O63" si="69">SUM(N64)</f>
        <v>4272</v>
      </c>
      <c r="O63" s="591">
        <f t="shared" si="69"/>
        <v>4272</v>
      </c>
      <c r="P63" s="590"/>
      <c r="Q63" s="590"/>
      <c r="R63" s="590"/>
      <c r="S63" s="591">
        <f t="shared" ref="S63:U63" si="70">SUM(S64)</f>
        <v>4272</v>
      </c>
      <c r="T63" s="591">
        <f t="shared" si="70"/>
        <v>4272</v>
      </c>
      <c r="U63" s="591">
        <f t="shared" si="70"/>
        <v>4272</v>
      </c>
      <c r="V63" s="590"/>
      <c r="W63" s="590"/>
      <c r="X63" s="590"/>
      <c r="Y63" s="591">
        <f t="shared" ref="Y63:AA63" si="71">SUM(Y64)</f>
        <v>4272</v>
      </c>
      <c r="Z63" s="591">
        <f t="shared" si="71"/>
        <v>4272</v>
      </c>
      <c r="AA63" s="591">
        <f t="shared" si="71"/>
        <v>4272</v>
      </c>
      <c r="AB63" s="590"/>
      <c r="AC63" s="590"/>
      <c r="AD63" s="590"/>
      <c r="AE63" s="591">
        <f t="shared" ref="AE63:AH63" si="72">SUM(AE64)</f>
        <v>28272</v>
      </c>
      <c r="AF63" s="591">
        <f t="shared" si="72"/>
        <v>4272</v>
      </c>
      <c r="AG63" s="591">
        <f t="shared" si="72"/>
        <v>28272</v>
      </c>
      <c r="AH63" s="591">
        <f t="shared" si="72"/>
        <v>99264</v>
      </c>
      <c r="AI63" s="591"/>
      <c r="AJ63" s="591">
        <f>SUM(AJ64)</f>
        <v>99264</v>
      </c>
      <c r="AK63" s="591"/>
      <c r="AL63" s="592"/>
      <c r="AM63" s="591"/>
      <c r="AN63" s="591"/>
      <c r="AO63" s="586"/>
      <c r="AP63" s="355" t="s">
        <v>1528</v>
      </c>
      <c r="AQ63" s="593"/>
    </row>
    <row r="64" spans="1:43" ht="60">
      <c r="A64" s="517" t="s">
        <v>1529</v>
      </c>
      <c r="B64" s="517" t="s">
        <v>1530</v>
      </c>
      <c r="C64" s="518"/>
      <c r="D64" s="519"/>
      <c r="E64" s="517"/>
      <c r="F64" s="273"/>
      <c r="G64" s="520"/>
      <c r="H64" s="521"/>
      <c r="I64" s="522"/>
      <c r="J64" s="523"/>
      <c r="K64" s="523"/>
      <c r="L64" s="523"/>
      <c r="M64" s="524">
        <f>SUM(M65,M67)</f>
        <v>4272</v>
      </c>
      <c r="N64" s="524">
        <f t="shared" ref="N64:O64" si="73">SUM(N65,N67)</f>
        <v>4272</v>
      </c>
      <c r="O64" s="524">
        <f t="shared" si="73"/>
        <v>4272</v>
      </c>
      <c r="P64" s="523"/>
      <c r="Q64" s="523"/>
      <c r="R64" s="523"/>
      <c r="S64" s="524">
        <f t="shared" ref="S64:U64" si="74">SUM(S65,S67)</f>
        <v>4272</v>
      </c>
      <c r="T64" s="524">
        <f t="shared" si="74"/>
        <v>4272</v>
      </c>
      <c r="U64" s="524">
        <f t="shared" si="74"/>
        <v>4272</v>
      </c>
      <c r="V64" s="523"/>
      <c r="W64" s="523"/>
      <c r="X64" s="523"/>
      <c r="Y64" s="524">
        <f t="shared" ref="Y64:AA64" si="75">SUM(Y65,Y67)</f>
        <v>4272</v>
      </c>
      <c r="Z64" s="524">
        <f t="shared" si="75"/>
        <v>4272</v>
      </c>
      <c r="AA64" s="524">
        <f t="shared" si="75"/>
        <v>4272</v>
      </c>
      <c r="AB64" s="523"/>
      <c r="AC64" s="523"/>
      <c r="AD64" s="523"/>
      <c r="AE64" s="524">
        <f t="shared" ref="AE64:AH64" si="76">SUM(AE65,AE67)</f>
        <v>28272</v>
      </c>
      <c r="AF64" s="524">
        <f t="shared" si="76"/>
        <v>4272</v>
      </c>
      <c r="AG64" s="524">
        <f t="shared" si="76"/>
        <v>28272</v>
      </c>
      <c r="AH64" s="524">
        <f t="shared" si="76"/>
        <v>99264</v>
      </c>
      <c r="AI64" s="524"/>
      <c r="AJ64" s="524">
        <f>SUM(AJ65,AJ67)</f>
        <v>99264</v>
      </c>
      <c r="AK64" s="525"/>
      <c r="AL64" s="525"/>
      <c r="AM64" s="525"/>
      <c r="AN64" s="525"/>
      <c r="AO64" s="526"/>
      <c r="AP64" s="526" t="s">
        <v>1528</v>
      </c>
      <c r="AQ64" s="527"/>
    </row>
    <row r="65" spans="1:43" ht="105">
      <c r="A65" s="371" t="s">
        <v>1531</v>
      </c>
      <c r="B65" s="371" t="s">
        <v>1532</v>
      </c>
      <c r="C65" s="372"/>
      <c r="D65" s="528" t="s">
        <v>52</v>
      </c>
      <c r="E65" s="371" t="s">
        <v>1533</v>
      </c>
      <c r="F65" s="18"/>
      <c r="G65" s="529"/>
      <c r="H65" s="530"/>
      <c r="I65" s="531"/>
      <c r="J65" s="532"/>
      <c r="K65" s="532"/>
      <c r="L65" s="532"/>
      <c r="M65" s="533">
        <f>SUM(M66)</f>
        <v>4272</v>
      </c>
      <c r="N65" s="533">
        <f t="shared" ref="N65:O65" si="77">SUM(N66)</f>
        <v>4272</v>
      </c>
      <c r="O65" s="533">
        <f t="shared" si="77"/>
        <v>4272</v>
      </c>
      <c r="P65" s="532"/>
      <c r="Q65" s="532"/>
      <c r="R65" s="532"/>
      <c r="S65" s="533">
        <f t="shared" ref="S65:U65" si="78">SUM(S66)</f>
        <v>4272</v>
      </c>
      <c r="T65" s="533">
        <f t="shared" si="78"/>
        <v>4272</v>
      </c>
      <c r="U65" s="533">
        <f t="shared" si="78"/>
        <v>4272</v>
      </c>
      <c r="V65" s="532"/>
      <c r="W65" s="532"/>
      <c r="X65" s="532"/>
      <c r="Y65" s="533">
        <f t="shared" ref="Y65:AA65" si="79">SUM(Y66)</f>
        <v>4272</v>
      </c>
      <c r="Z65" s="533">
        <f t="shared" si="79"/>
        <v>4272</v>
      </c>
      <c r="AA65" s="533">
        <f t="shared" si="79"/>
        <v>4272</v>
      </c>
      <c r="AB65" s="532"/>
      <c r="AC65" s="532"/>
      <c r="AD65" s="532"/>
      <c r="AE65" s="533">
        <f t="shared" ref="AE65:AJ65" si="80">SUM(AE66)</f>
        <v>4272</v>
      </c>
      <c r="AF65" s="533">
        <f t="shared" si="80"/>
        <v>4272</v>
      </c>
      <c r="AG65" s="533">
        <f t="shared" si="80"/>
        <v>4272</v>
      </c>
      <c r="AH65" s="533">
        <f t="shared" si="80"/>
        <v>51264</v>
      </c>
      <c r="AI65" s="533"/>
      <c r="AJ65" s="533">
        <f t="shared" si="80"/>
        <v>51264</v>
      </c>
      <c r="AK65" s="534"/>
      <c r="AL65" s="534"/>
      <c r="AM65" s="534"/>
      <c r="AN65" s="534"/>
      <c r="AO65" s="535"/>
      <c r="AP65" s="371" t="s">
        <v>1534</v>
      </c>
      <c r="AQ65" s="536"/>
    </row>
    <row r="66" spans="1:43" ht="60">
      <c r="A66" s="537" t="s">
        <v>1535</v>
      </c>
      <c r="B66" s="538" t="s">
        <v>1536</v>
      </c>
      <c r="C66" s="539">
        <f t="shared" ref="C66" si="81">+J66+K66+L66+P66+Q66+R66+V66+W66+X66+AB66+AC66+AD66</f>
        <v>24</v>
      </c>
      <c r="D66" s="540" t="s">
        <v>52</v>
      </c>
      <c r="E66" s="538" t="s">
        <v>1537</v>
      </c>
      <c r="F66" s="574" t="s">
        <v>52</v>
      </c>
      <c r="G66" s="541"/>
      <c r="H66" s="542"/>
      <c r="I66" s="541"/>
      <c r="J66" s="551">
        <v>2</v>
      </c>
      <c r="K66" s="551">
        <v>2</v>
      </c>
      <c r="L66" s="551">
        <v>2</v>
      </c>
      <c r="M66" s="544">
        <v>4272</v>
      </c>
      <c r="N66" s="544">
        <v>4272</v>
      </c>
      <c r="O66" s="544">
        <v>4272</v>
      </c>
      <c r="P66" s="551">
        <v>2</v>
      </c>
      <c r="Q66" s="551">
        <v>2</v>
      </c>
      <c r="R66" s="551">
        <v>2</v>
      </c>
      <c r="S66" s="544">
        <v>4272</v>
      </c>
      <c r="T66" s="544">
        <v>4272</v>
      </c>
      <c r="U66" s="544">
        <v>4272</v>
      </c>
      <c r="V66" s="551">
        <v>2</v>
      </c>
      <c r="W66" s="551">
        <v>2</v>
      </c>
      <c r="X66" s="551">
        <v>2</v>
      </c>
      <c r="Y66" s="544">
        <v>4272</v>
      </c>
      <c r="Z66" s="544">
        <v>4272</v>
      </c>
      <c r="AA66" s="544">
        <v>4272</v>
      </c>
      <c r="AB66" s="551">
        <v>2</v>
      </c>
      <c r="AC66" s="551">
        <v>2</v>
      </c>
      <c r="AD66" s="551">
        <v>2</v>
      </c>
      <c r="AE66" s="544">
        <v>4272</v>
      </c>
      <c r="AF66" s="544">
        <v>4272</v>
      </c>
      <c r="AG66" s="544">
        <v>4272</v>
      </c>
      <c r="AH66" s="26">
        <f>SUM(M66,N66,O66,S66,T66,U66,Y66,Z66,AA66,AE66,AF66,AG66)</f>
        <v>51264</v>
      </c>
      <c r="AI66" s="545"/>
      <c r="AJ66" s="545">
        <f>+AH66</f>
        <v>51264</v>
      </c>
      <c r="AK66" s="545"/>
      <c r="AL66" s="546"/>
      <c r="AM66" s="545"/>
      <c r="AN66" s="545"/>
      <c r="AO66" s="538" t="s">
        <v>1409</v>
      </c>
      <c r="AP66" s="538" t="s">
        <v>1466</v>
      </c>
      <c r="AQ66" s="547"/>
    </row>
    <row r="67" spans="1:43" ht="105">
      <c r="A67" s="371" t="s">
        <v>1538</v>
      </c>
      <c r="B67" s="371" t="s">
        <v>1539</v>
      </c>
      <c r="C67" s="372"/>
      <c r="D67" s="528" t="s">
        <v>944</v>
      </c>
      <c r="E67" s="371" t="s">
        <v>1540</v>
      </c>
      <c r="F67" s="18"/>
      <c r="G67" s="529"/>
      <c r="H67" s="530"/>
      <c r="I67" s="531"/>
      <c r="J67" s="532"/>
      <c r="K67" s="532"/>
      <c r="L67" s="532"/>
      <c r="M67" s="533"/>
      <c r="N67" s="533"/>
      <c r="O67" s="533"/>
      <c r="P67" s="532"/>
      <c r="Q67" s="532"/>
      <c r="R67" s="532"/>
      <c r="S67" s="533"/>
      <c r="T67" s="533"/>
      <c r="U67" s="533"/>
      <c r="V67" s="532"/>
      <c r="W67" s="532"/>
      <c r="X67" s="532"/>
      <c r="Y67" s="533"/>
      <c r="Z67" s="533"/>
      <c r="AA67" s="533"/>
      <c r="AB67" s="532"/>
      <c r="AC67" s="532"/>
      <c r="AD67" s="532"/>
      <c r="AE67" s="533">
        <f>SUM(AE68,AE69)</f>
        <v>24000</v>
      </c>
      <c r="AF67" s="533"/>
      <c r="AG67" s="533">
        <f t="shared" ref="AG67:AH67" si="82">SUM(AG68,AG69)</f>
        <v>24000</v>
      </c>
      <c r="AH67" s="533">
        <f t="shared" si="82"/>
        <v>48000</v>
      </c>
      <c r="AI67" s="533"/>
      <c r="AJ67" s="533">
        <f>SUM(AJ68,AJ69)</f>
        <v>48000</v>
      </c>
      <c r="AK67" s="534"/>
      <c r="AL67" s="534"/>
      <c r="AM67" s="534"/>
      <c r="AN67" s="534"/>
      <c r="AO67" s="535"/>
      <c r="AP67" s="371" t="s">
        <v>1534</v>
      </c>
      <c r="AQ67" s="536"/>
    </row>
    <row r="68" spans="1:43" ht="45">
      <c r="A68" s="537" t="s">
        <v>1541</v>
      </c>
      <c r="B68" s="538" t="s">
        <v>1542</v>
      </c>
      <c r="C68" s="539">
        <f t="shared" ref="C68:C69" si="83">+J68+K68+L68+P68+Q68+R68+V68+W68+X68+AB68+AC68+AD68</f>
        <v>2</v>
      </c>
      <c r="D68" s="540" t="s">
        <v>1543</v>
      </c>
      <c r="E68" s="538" t="s">
        <v>1544</v>
      </c>
      <c r="F68" s="22" t="s">
        <v>1545</v>
      </c>
      <c r="G68" s="541"/>
      <c r="H68" s="542"/>
      <c r="I68" s="541"/>
      <c r="J68" s="543"/>
      <c r="K68" s="543"/>
      <c r="L68" s="543"/>
      <c r="M68" s="544"/>
      <c r="N68" s="544"/>
      <c r="O68" s="544"/>
      <c r="P68" s="543"/>
      <c r="Q68" s="543"/>
      <c r="R68" s="543"/>
      <c r="S68" s="544"/>
      <c r="T68" s="544"/>
      <c r="U68" s="544"/>
      <c r="V68" s="543"/>
      <c r="W68" s="543"/>
      <c r="X68" s="543"/>
      <c r="Y68" s="544"/>
      <c r="Z68" s="544"/>
      <c r="AA68" s="544"/>
      <c r="AB68" s="543">
        <v>2</v>
      </c>
      <c r="AC68" s="543"/>
      <c r="AD68" s="543"/>
      <c r="AE68" s="26">
        <f>2000+13200+8800</f>
        <v>24000</v>
      </c>
      <c r="AF68" s="544"/>
      <c r="AG68" s="544"/>
      <c r="AH68" s="26">
        <f t="shared" ref="AH68:AH69" si="84">SUM(M68,N68,O68,S68,T68,U68,Y68,Z68,AA68,AE68,AF68,AG68)</f>
        <v>24000</v>
      </c>
      <c r="AI68" s="545"/>
      <c r="AJ68" s="545">
        <f>+AH68</f>
        <v>24000</v>
      </c>
      <c r="AK68" s="545"/>
      <c r="AL68" s="546"/>
      <c r="AM68" s="545"/>
      <c r="AN68" s="545"/>
      <c r="AO68" s="538" t="s">
        <v>1409</v>
      </c>
      <c r="AP68" s="538" t="s">
        <v>1466</v>
      </c>
      <c r="AQ68" s="547"/>
    </row>
    <row r="69" spans="1:43" ht="45">
      <c r="A69" s="537" t="s">
        <v>1546</v>
      </c>
      <c r="B69" s="538" t="s">
        <v>1547</v>
      </c>
      <c r="C69" s="539">
        <f t="shared" si="83"/>
        <v>2</v>
      </c>
      <c r="D69" s="540" t="s">
        <v>1548</v>
      </c>
      <c r="E69" s="538" t="s">
        <v>1549</v>
      </c>
      <c r="F69" s="22" t="s">
        <v>1545</v>
      </c>
      <c r="G69" s="541"/>
      <c r="H69" s="542"/>
      <c r="I69" s="541"/>
      <c r="J69" s="543"/>
      <c r="K69" s="543"/>
      <c r="L69" s="543"/>
      <c r="M69" s="544"/>
      <c r="N69" s="544"/>
      <c r="O69" s="544"/>
      <c r="P69" s="543"/>
      <c r="Q69" s="543"/>
      <c r="R69" s="543"/>
      <c r="S69" s="544"/>
      <c r="T69" s="544"/>
      <c r="U69" s="544"/>
      <c r="V69" s="543"/>
      <c r="W69" s="543"/>
      <c r="X69" s="543"/>
      <c r="Y69" s="544"/>
      <c r="Z69" s="544"/>
      <c r="AA69" s="544"/>
      <c r="AB69" s="543"/>
      <c r="AC69" s="543"/>
      <c r="AD69" s="543">
        <v>2</v>
      </c>
      <c r="AE69" s="544"/>
      <c r="AF69" s="544"/>
      <c r="AG69" s="26">
        <f>4000+12000+8000</f>
        <v>24000</v>
      </c>
      <c r="AH69" s="26">
        <f t="shared" si="84"/>
        <v>24000</v>
      </c>
      <c r="AI69" s="545"/>
      <c r="AJ69" s="545">
        <f>+AH69</f>
        <v>24000</v>
      </c>
      <c r="AK69" s="545"/>
      <c r="AL69" s="546"/>
      <c r="AM69" s="545"/>
      <c r="AN69" s="545"/>
      <c r="AO69" s="538" t="s">
        <v>1409</v>
      </c>
      <c r="AP69" s="538" t="s">
        <v>1466</v>
      </c>
      <c r="AQ69" s="547"/>
    </row>
    <row r="70" spans="1:43" ht="165">
      <c r="A70" s="47" t="s">
        <v>349</v>
      </c>
      <c r="B70" s="47" t="s">
        <v>350</v>
      </c>
      <c r="C70" s="47"/>
      <c r="D70" s="575"/>
      <c r="E70" s="576"/>
      <c r="F70" s="577"/>
      <c r="G70" s="578"/>
      <c r="H70" s="579"/>
      <c r="I70" s="578"/>
      <c r="J70" s="580"/>
      <c r="K70" s="580"/>
      <c r="L70" s="580"/>
      <c r="M70" s="581"/>
      <c r="N70" s="581"/>
      <c r="O70" s="581"/>
      <c r="P70" s="580"/>
      <c r="Q70" s="580"/>
      <c r="R70" s="580"/>
      <c r="S70" s="581"/>
      <c r="T70" s="581"/>
      <c r="U70" s="581"/>
      <c r="V70" s="580"/>
      <c r="W70" s="580"/>
      <c r="X70" s="580"/>
      <c r="Y70" s="581">
        <f>SUM(Y71,Y75)</f>
        <v>117500</v>
      </c>
      <c r="Z70" s="581"/>
      <c r="AA70" s="581"/>
      <c r="AB70" s="580"/>
      <c r="AC70" s="580"/>
      <c r="AD70" s="580"/>
      <c r="AE70" s="581">
        <f t="shared" ref="AE70:AK70" si="85">SUM(AE71,AE75)</f>
        <v>14000</v>
      </c>
      <c r="AF70" s="581">
        <f t="shared" si="85"/>
        <v>14000</v>
      </c>
      <c r="AG70" s="581">
        <f t="shared" si="85"/>
        <v>14000</v>
      </c>
      <c r="AH70" s="581">
        <f t="shared" si="85"/>
        <v>159500</v>
      </c>
      <c r="AI70" s="581">
        <f t="shared" si="85"/>
        <v>24000</v>
      </c>
      <c r="AJ70" s="581">
        <f t="shared" si="85"/>
        <v>18000</v>
      </c>
      <c r="AK70" s="581">
        <f t="shared" si="85"/>
        <v>117500</v>
      </c>
      <c r="AL70" s="582"/>
      <c r="AM70" s="581"/>
      <c r="AN70" s="581"/>
      <c r="AO70" s="576"/>
      <c r="AP70" s="6" t="s">
        <v>1550</v>
      </c>
      <c r="AQ70" s="583"/>
    </row>
    <row r="71" spans="1:43" ht="90">
      <c r="A71" s="355" t="s">
        <v>765</v>
      </c>
      <c r="B71" s="355" t="s">
        <v>766</v>
      </c>
      <c r="C71" s="355"/>
      <c r="D71" s="516"/>
      <c r="E71" s="586"/>
      <c r="F71" s="587"/>
      <c r="G71" s="588"/>
      <c r="H71" s="589"/>
      <c r="I71" s="588"/>
      <c r="J71" s="590"/>
      <c r="K71" s="590"/>
      <c r="L71" s="590"/>
      <c r="M71" s="591"/>
      <c r="N71" s="591"/>
      <c r="O71" s="591"/>
      <c r="P71" s="590"/>
      <c r="Q71" s="590"/>
      <c r="R71" s="590"/>
      <c r="S71" s="591"/>
      <c r="T71" s="591"/>
      <c r="U71" s="591"/>
      <c r="V71" s="590"/>
      <c r="W71" s="590"/>
      <c r="X71" s="590"/>
      <c r="Y71" s="591">
        <f>SUM(Y72)</f>
        <v>117500</v>
      </c>
      <c r="Z71" s="591"/>
      <c r="AA71" s="591"/>
      <c r="AB71" s="590"/>
      <c r="AC71" s="590"/>
      <c r="AD71" s="590"/>
      <c r="AE71" s="591"/>
      <c r="AF71" s="591"/>
      <c r="AG71" s="591"/>
      <c r="AH71" s="591">
        <f>SUM(AH72)</f>
        <v>117500</v>
      </c>
      <c r="AI71" s="591"/>
      <c r="AJ71" s="591"/>
      <c r="AK71" s="591">
        <f>SUM(AK72)</f>
        <v>117500</v>
      </c>
      <c r="AL71" s="592"/>
      <c r="AM71" s="591"/>
      <c r="AN71" s="591"/>
      <c r="AO71" s="586"/>
      <c r="AP71" s="355" t="s">
        <v>1551</v>
      </c>
      <c r="AQ71" s="593"/>
    </row>
    <row r="72" spans="1:43" ht="45">
      <c r="A72" s="517" t="s">
        <v>767</v>
      </c>
      <c r="B72" s="517" t="s">
        <v>768</v>
      </c>
      <c r="C72" s="518"/>
      <c r="D72" s="519"/>
      <c r="E72" s="517"/>
      <c r="F72" s="273"/>
      <c r="G72" s="520"/>
      <c r="H72" s="521"/>
      <c r="I72" s="522"/>
      <c r="J72" s="523"/>
      <c r="K72" s="523"/>
      <c r="L72" s="523"/>
      <c r="M72" s="524"/>
      <c r="N72" s="524"/>
      <c r="O72" s="524"/>
      <c r="P72" s="523"/>
      <c r="Q72" s="523"/>
      <c r="R72" s="523"/>
      <c r="S72" s="524"/>
      <c r="T72" s="524"/>
      <c r="U72" s="524"/>
      <c r="V72" s="523"/>
      <c r="W72" s="523"/>
      <c r="X72" s="523"/>
      <c r="Y72" s="524">
        <f>SUM(Y73)</f>
        <v>117500</v>
      </c>
      <c r="Z72" s="524"/>
      <c r="AA72" s="524"/>
      <c r="AB72" s="523"/>
      <c r="AC72" s="523"/>
      <c r="AD72" s="523"/>
      <c r="AE72" s="524"/>
      <c r="AF72" s="524"/>
      <c r="AG72" s="524"/>
      <c r="AH72" s="524">
        <f>SUM(AH73)</f>
        <v>117500</v>
      </c>
      <c r="AI72" s="524"/>
      <c r="AJ72" s="525"/>
      <c r="AK72" s="524">
        <f>SUM(AK73)</f>
        <v>117500</v>
      </c>
      <c r="AL72" s="525"/>
      <c r="AM72" s="525"/>
      <c r="AN72" s="525"/>
      <c r="AO72" s="526"/>
      <c r="AP72" s="526" t="s">
        <v>1551</v>
      </c>
      <c r="AQ72" s="527"/>
    </row>
    <row r="73" spans="1:43" ht="60">
      <c r="A73" s="371" t="s">
        <v>1552</v>
      </c>
      <c r="B73" s="371" t="s">
        <v>1553</v>
      </c>
      <c r="C73" s="372"/>
      <c r="D73" s="528" t="s">
        <v>52</v>
      </c>
      <c r="E73" s="371" t="s">
        <v>1554</v>
      </c>
      <c r="F73" s="18"/>
      <c r="G73" s="529"/>
      <c r="H73" s="530"/>
      <c r="I73" s="531"/>
      <c r="J73" s="532"/>
      <c r="K73" s="532"/>
      <c r="L73" s="532"/>
      <c r="M73" s="533"/>
      <c r="N73" s="533"/>
      <c r="O73" s="533"/>
      <c r="P73" s="532"/>
      <c r="Q73" s="532"/>
      <c r="R73" s="532"/>
      <c r="S73" s="533"/>
      <c r="T73" s="533"/>
      <c r="U73" s="533"/>
      <c r="V73" s="532"/>
      <c r="W73" s="532"/>
      <c r="X73" s="532"/>
      <c r="Y73" s="533">
        <f>SUM(Y74)</f>
        <v>117500</v>
      </c>
      <c r="Z73" s="533"/>
      <c r="AA73" s="533"/>
      <c r="AB73" s="532"/>
      <c r="AC73" s="532"/>
      <c r="AD73" s="532"/>
      <c r="AE73" s="533"/>
      <c r="AF73" s="533"/>
      <c r="AG73" s="533"/>
      <c r="AH73" s="533">
        <f>SUM(AH74)</f>
        <v>117500</v>
      </c>
      <c r="AI73" s="533"/>
      <c r="AJ73" s="534"/>
      <c r="AK73" s="533">
        <f>SUM(AK74)</f>
        <v>117500</v>
      </c>
      <c r="AL73" s="534"/>
      <c r="AM73" s="534"/>
      <c r="AN73" s="534"/>
      <c r="AO73" s="535"/>
      <c r="AP73" s="371" t="s">
        <v>1404</v>
      </c>
      <c r="AQ73" s="536"/>
    </row>
    <row r="74" spans="1:43" ht="60">
      <c r="A74" s="537" t="s">
        <v>1555</v>
      </c>
      <c r="B74" s="538" t="s">
        <v>1556</v>
      </c>
      <c r="C74" s="539">
        <f t="shared" ref="C74" si="86">+J74+K74+L74+P74+Q74+R74+V74+W74+X74+AB74+AC74+AD74</f>
        <v>1</v>
      </c>
      <c r="D74" s="540" t="s">
        <v>52</v>
      </c>
      <c r="E74" s="538" t="s">
        <v>1554</v>
      </c>
      <c r="F74" s="22" t="s">
        <v>1557</v>
      </c>
      <c r="G74" s="541"/>
      <c r="H74" s="542"/>
      <c r="I74" s="541"/>
      <c r="J74" s="548"/>
      <c r="K74" s="548"/>
      <c r="L74" s="548"/>
      <c r="M74" s="549"/>
      <c r="N74" s="549"/>
      <c r="O74" s="549"/>
      <c r="P74" s="548"/>
      <c r="Q74" s="548"/>
      <c r="R74" s="548"/>
      <c r="S74" s="549"/>
      <c r="T74" s="549"/>
      <c r="U74" s="549"/>
      <c r="V74" s="551">
        <v>1</v>
      </c>
      <c r="W74" s="551"/>
      <c r="X74" s="551"/>
      <c r="Y74" s="549">
        <v>117500</v>
      </c>
      <c r="Z74" s="549"/>
      <c r="AA74" s="549"/>
      <c r="AB74" s="548"/>
      <c r="AC74" s="548"/>
      <c r="AD74" s="548"/>
      <c r="AE74" s="549"/>
      <c r="AF74" s="544"/>
      <c r="AG74" s="549"/>
      <c r="AH74" s="26">
        <f>SUM(M74,N74,O74,S74,T74,U74,Y74,Z74,AA74,AE74,AF74,AG74)</f>
        <v>117500</v>
      </c>
      <c r="AI74" s="545"/>
      <c r="AJ74" s="545"/>
      <c r="AK74" s="545">
        <f>+AH74</f>
        <v>117500</v>
      </c>
      <c r="AL74" s="546"/>
      <c r="AM74" s="545"/>
      <c r="AN74" s="545"/>
      <c r="AO74" s="538" t="s">
        <v>1409</v>
      </c>
      <c r="AP74" s="538" t="s">
        <v>1510</v>
      </c>
      <c r="AQ74" s="547"/>
    </row>
    <row r="75" spans="1:43" ht="105">
      <c r="A75" s="355" t="s">
        <v>1558</v>
      </c>
      <c r="B75" s="355" t="s">
        <v>776</v>
      </c>
      <c r="C75" s="355"/>
      <c r="D75" s="516"/>
      <c r="E75" s="586"/>
      <c r="F75" s="587"/>
      <c r="G75" s="588"/>
      <c r="H75" s="589"/>
      <c r="I75" s="588"/>
      <c r="J75" s="590"/>
      <c r="K75" s="590"/>
      <c r="L75" s="590"/>
      <c r="M75" s="591"/>
      <c r="N75" s="591"/>
      <c r="O75" s="591"/>
      <c r="P75" s="590"/>
      <c r="Q75" s="590"/>
      <c r="R75" s="590"/>
      <c r="S75" s="591"/>
      <c r="T75" s="591"/>
      <c r="U75" s="591"/>
      <c r="V75" s="590"/>
      <c r="W75" s="590"/>
      <c r="X75" s="590"/>
      <c r="Y75" s="591"/>
      <c r="Z75" s="591"/>
      <c r="AA75" s="591"/>
      <c r="AB75" s="590"/>
      <c r="AC75" s="590"/>
      <c r="AD75" s="590"/>
      <c r="AE75" s="591">
        <f>SUM(AE76)</f>
        <v>14000</v>
      </c>
      <c r="AF75" s="591">
        <f t="shared" ref="AF75:AJ77" si="87">SUM(AF76)</f>
        <v>14000</v>
      </c>
      <c r="AG75" s="591">
        <f t="shared" si="87"/>
        <v>14000</v>
      </c>
      <c r="AH75" s="591">
        <f t="shared" si="87"/>
        <v>42000</v>
      </c>
      <c r="AI75" s="591">
        <f t="shared" si="87"/>
        <v>24000</v>
      </c>
      <c r="AJ75" s="591">
        <f t="shared" si="87"/>
        <v>18000</v>
      </c>
      <c r="AK75" s="591"/>
      <c r="AL75" s="592"/>
      <c r="AM75" s="591"/>
      <c r="AN75" s="591"/>
      <c r="AO75" s="586"/>
      <c r="AP75" s="355" t="s">
        <v>1559</v>
      </c>
      <c r="AQ75" s="593"/>
    </row>
    <row r="76" spans="1:43" ht="105">
      <c r="A76" s="517" t="s">
        <v>1560</v>
      </c>
      <c r="B76" s="517" t="s">
        <v>1561</v>
      </c>
      <c r="C76" s="518"/>
      <c r="D76" s="519"/>
      <c r="E76" s="517"/>
      <c r="F76" s="273"/>
      <c r="G76" s="520"/>
      <c r="H76" s="521"/>
      <c r="I76" s="522"/>
      <c r="J76" s="523"/>
      <c r="K76" s="523"/>
      <c r="L76" s="523"/>
      <c r="M76" s="524"/>
      <c r="N76" s="524"/>
      <c r="O76" s="524"/>
      <c r="P76" s="523"/>
      <c r="Q76" s="523"/>
      <c r="R76" s="523"/>
      <c r="S76" s="524"/>
      <c r="T76" s="524"/>
      <c r="U76" s="524"/>
      <c r="V76" s="523"/>
      <c r="W76" s="523"/>
      <c r="X76" s="523"/>
      <c r="Y76" s="524"/>
      <c r="Z76" s="524"/>
      <c r="AA76" s="524"/>
      <c r="AB76" s="523"/>
      <c r="AC76" s="523"/>
      <c r="AD76" s="523"/>
      <c r="AE76" s="524">
        <f>SUM(AE77)</f>
        <v>14000</v>
      </c>
      <c r="AF76" s="524">
        <f t="shared" si="87"/>
        <v>14000</v>
      </c>
      <c r="AG76" s="524">
        <f t="shared" si="87"/>
        <v>14000</v>
      </c>
      <c r="AH76" s="524">
        <f t="shared" si="87"/>
        <v>42000</v>
      </c>
      <c r="AI76" s="524">
        <f t="shared" si="87"/>
        <v>24000</v>
      </c>
      <c r="AJ76" s="524">
        <f t="shared" si="87"/>
        <v>18000</v>
      </c>
      <c r="AK76" s="525"/>
      <c r="AL76" s="525"/>
      <c r="AM76" s="525"/>
      <c r="AN76" s="525"/>
      <c r="AO76" s="526"/>
      <c r="AP76" s="526" t="s">
        <v>1559</v>
      </c>
      <c r="AQ76" s="527"/>
    </row>
    <row r="77" spans="1:43" ht="60">
      <c r="A77" s="371" t="s">
        <v>1562</v>
      </c>
      <c r="B77" s="371" t="s">
        <v>1563</v>
      </c>
      <c r="C77" s="372"/>
      <c r="D77" s="528" t="s">
        <v>1564</v>
      </c>
      <c r="E77" s="371" t="s">
        <v>1565</v>
      </c>
      <c r="F77" s="18"/>
      <c r="G77" s="529"/>
      <c r="H77" s="530"/>
      <c r="I77" s="531"/>
      <c r="J77" s="532"/>
      <c r="K77" s="532"/>
      <c r="L77" s="532"/>
      <c r="M77" s="533"/>
      <c r="N77" s="533"/>
      <c r="O77" s="533"/>
      <c r="P77" s="532"/>
      <c r="Q77" s="532"/>
      <c r="R77" s="532"/>
      <c r="S77" s="533"/>
      <c r="T77" s="533"/>
      <c r="U77" s="533"/>
      <c r="V77" s="532"/>
      <c r="W77" s="532"/>
      <c r="X77" s="532"/>
      <c r="Y77" s="533"/>
      <c r="Z77" s="533"/>
      <c r="AA77" s="533"/>
      <c r="AB77" s="532"/>
      <c r="AC77" s="532"/>
      <c r="AD77" s="532"/>
      <c r="AE77" s="533">
        <f>SUM(AE78)</f>
        <v>14000</v>
      </c>
      <c r="AF77" s="533">
        <f t="shared" si="87"/>
        <v>14000</v>
      </c>
      <c r="AG77" s="533">
        <f t="shared" si="87"/>
        <v>14000</v>
      </c>
      <c r="AH77" s="533">
        <f t="shared" si="87"/>
        <v>42000</v>
      </c>
      <c r="AI77" s="533">
        <f t="shared" si="87"/>
        <v>24000</v>
      </c>
      <c r="AJ77" s="533">
        <f t="shared" si="87"/>
        <v>18000</v>
      </c>
      <c r="AK77" s="534"/>
      <c r="AL77" s="534"/>
      <c r="AM77" s="534"/>
      <c r="AN77" s="534"/>
      <c r="AO77" s="535"/>
      <c r="AP77" s="371" t="s">
        <v>1566</v>
      </c>
      <c r="AQ77" s="536"/>
    </row>
    <row r="78" spans="1:43" ht="60">
      <c r="A78" s="537" t="s">
        <v>1567</v>
      </c>
      <c r="B78" s="538" t="s">
        <v>1568</v>
      </c>
      <c r="C78" s="539">
        <f>MAX(J78,K78,L78+P78,Q78,R78,V78,W78,X78,AB78,AC78,AD78)</f>
        <v>1</v>
      </c>
      <c r="D78" s="540" t="s">
        <v>1569</v>
      </c>
      <c r="E78" s="538" t="s">
        <v>1570</v>
      </c>
      <c r="F78" s="22" t="s">
        <v>52</v>
      </c>
      <c r="G78" s="541"/>
      <c r="H78" s="542"/>
      <c r="I78" s="541"/>
      <c r="J78" s="543"/>
      <c r="K78" s="543"/>
      <c r="L78" s="543"/>
      <c r="M78" s="544"/>
      <c r="N78" s="544"/>
      <c r="O78" s="544"/>
      <c r="P78" s="543"/>
      <c r="Q78" s="543"/>
      <c r="R78" s="543"/>
      <c r="S78" s="544"/>
      <c r="T78" s="544"/>
      <c r="U78" s="544"/>
      <c r="V78" s="543"/>
      <c r="W78" s="543"/>
      <c r="X78" s="543"/>
      <c r="Y78" s="544"/>
      <c r="Z78" s="544"/>
      <c r="AA78" s="544"/>
      <c r="AB78" s="543">
        <v>1</v>
      </c>
      <c r="AC78" s="543">
        <v>1</v>
      </c>
      <c r="AD78" s="543">
        <v>1</v>
      </c>
      <c r="AE78" s="544">
        <f>1750*8</f>
        <v>14000</v>
      </c>
      <c r="AF78" s="544">
        <f t="shared" ref="AF78:AG78" si="88">1750*8</f>
        <v>14000</v>
      </c>
      <c r="AG78" s="544">
        <f t="shared" si="88"/>
        <v>14000</v>
      </c>
      <c r="AH78" s="26">
        <f>SUM(M78,N78,O78,S78,T78,U78,Y78,Z78,AA78,AE78,AF78,AG78)</f>
        <v>42000</v>
      </c>
      <c r="AI78" s="545">
        <v>24000</v>
      </c>
      <c r="AJ78" s="545">
        <f>+AH78-AI78</f>
        <v>18000</v>
      </c>
      <c r="AK78" s="545"/>
      <c r="AL78" s="546"/>
      <c r="AM78" s="545"/>
      <c r="AN78" s="545"/>
      <c r="AO78" s="538" t="s">
        <v>1409</v>
      </c>
      <c r="AP78" s="538" t="s">
        <v>1510</v>
      </c>
      <c r="AQ78" s="547" t="s">
        <v>1571</v>
      </c>
    </row>
    <row r="79" spans="1:43" ht="15">
      <c r="A79" s="595" t="s">
        <v>379</v>
      </c>
      <c r="B79" s="6" t="s">
        <v>808</v>
      </c>
      <c r="C79" s="6"/>
      <c r="D79" s="596"/>
      <c r="E79" s="6"/>
      <c r="F79" s="6"/>
      <c r="G79" s="6"/>
      <c r="H79" s="6"/>
      <c r="I79" s="6"/>
      <c r="J79" s="7"/>
      <c r="K79" s="7"/>
      <c r="L79" s="7"/>
      <c r="M79" s="9">
        <f>SUM(M80)</f>
        <v>100823.41666666667</v>
      </c>
      <c r="N79" s="9">
        <f t="shared" ref="N79:O79" si="89">SUM(N80)</f>
        <v>100823.41666666667</v>
      </c>
      <c r="O79" s="9">
        <f t="shared" si="89"/>
        <v>132217.41666666669</v>
      </c>
      <c r="P79" s="7"/>
      <c r="Q79" s="7"/>
      <c r="R79" s="7"/>
      <c r="S79" s="9">
        <f t="shared" ref="S79:U79" si="90">SUM(S80)</f>
        <v>104323.41666666667</v>
      </c>
      <c r="T79" s="9">
        <f t="shared" si="90"/>
        <v>186373.41666666669</v>
      </c>
      <c r="U79" s="9">
        <f t="shared" si="90"/>
        <v>185775.41666666669</v>
      </c>
      <c r="V79" s="7"/>
      <c r="W79" s="7"/>
      <c r="X79" s="7"/>
      <c r="Y79" s="9">
        <f t="shared" ref="Y79:AA79" si="91">SUM(Y80)</f>
        <v>197564.41666666669</v>
      </c>
      <c r="Z79" s="9">
        <f t="shared" si="91"/>
        <v>211302.41666666669</v>
      </c>
      <c r="AA79" s="9">
        <f t="shared" si="91"/>
        <v>220288.41666666669</v>
      </c>
      <c r="AB79" s="7"/>
      <c r="AC79" s="7"/>
      <c r="AD79" s="7"/>
      <c r="AE79" s="9">
        <f t="shared" ref="AE79:AK79" si="92">SUM(AE80)</f>
        <v>273863.41666666669</v>
      </c>
      <c r="AF79" s="9">
        <f t="shared" si="92"/>
        <v>344598.41666666669</v>
      </c>
      <c r="AG79" s="9">
        <f t="shared" si="92"/>
        <v>324933.41666666669</v>
      </c>
      <c r="AH79" s="9">
        <f t="shared" si="92"/>
        <v>2382887</v>
      </c>
      <c r="AI79" s="9">
        <f t="shared" si="92"/>
        <v>432185</v>
      </c>
      <c r="AJ79" s="9">
        <f t="shared" si="92"/>
        <v>1439792</v>
      </c>
      <c r="AK79" s="9">
        <f t="shared" si="92"/>
        <v>510910</v>
      </c>
      <c r="AL79" s="9"/>
      <c r="AM79" s="9"/>
      <c r="AN79" s="9"/>
      <c r="AO79" s="6"/>
      <c r="AP79" s="6"/>
      <c r="AQ79" s="6"/>
    </row>
    <row r="80" spans="1:43" ht="30">
      <c r="A80" s="597" t="s">
        <v>1572</v>
      </c>
      <c r="B80" s="598" t="s">
        <v>1573</v>
      </c>
      <c r="C80" s="598"/>
      <c r="D80" s="599"/>
      <c r="E80" s="598"/>
      <c r="F80" s="600"/>
      <c r="G80" s="598"/>
      <c r="H80" s="598"/>
      <c r="I80" s="598"/>
      <c r="J80" s="601"/>
      <c r="K80" s="601"/>
      <c r="L80" s="601"/>
      <c r="M80" s="602">
        <f>SUM(M81,M113,M116,M119,M128)</f>
        <v>100823.41666666667</v>
      </c>
      <c r="N80" s="602">
        <f t="shared" ref="N80:O80" si="93">SUM(N81,N113,N116,N119,N128)</f>
        <v>100823.41666666667</v>
      </c>
      <c r="O80" s="602">
        <f t="shared" si="93"/>
        <v>132217.41666666669</v>
      </c>
      <c r="P80" s="601"/>
      <c r="Q80" s="601"/>
      <c r="R80" s="601"/>
      <c r="S80" s="602">
        <f t="shared" ref="S80:U80" si="94">SUM(S81,S113,S116,S119,S128)</f>
        <v>104323.41666666667</v>
      </c>
      <c r="T80" s="602">
        <f t="shared" si="94"/>
        <v>186373.41666666669</v>
      </c>
      <c r="U80" s="602">
        <f t="shared" si="94"/>
        <v>185775.41666666669</v>
      </c>
      <c r="V80" s="601"/>
      <c r="W80" s="601"/>
      <c r="X80" s="601"/>
      <c r="Y80" s="602">
        <f t="shared" ref="Y80:AA80" si="95">SUM(Y81,Y113,Y116,Y119,Y128)</f>
        <v>197564.41666666669</v>
      </c>
      <c r="Z80" s="602">
        <f t="shared" si="95"/>
        <v>211302.41666666669</v>
      </c>
      <c r="AA80" s="602">
        <f t="shared" si="95"/>
        <v>220288.41666666669</v>
      </c>
      <c r="AB80" s="601"/>
      <c r="AC80" s="601"/>
      <c r="AD80" s="601"/>
      <c r="AE80" s="602">
        <f t="shared" ref="AE80:AK80" si="96">SUM(AE81,AE113,AE116,AE119,AE128)</f>
        <v>273863.41666666669</v>
      </c>
      <c r="AF80" s="602">
        <f t="shared" si="96"/>
        <v>344598.41666666669</v>
      </c>
      <c r="AG80" s="602">
        <f t="shared" si="96"/>
        <v>324933.41666666669</v>
      </c>
      <c r="AH80" s="602">
        <f t="shared" si="96"/>
        <v>2382887</v>
      </c>
      <c r="AI80" s="602">
        <f t="shared" si="96"/>
        <v>432185</v>
      </c>
      <c r="AJ80" s="602">
        <f t="shared" si="96"/>
        <v>1439792</v>
      </c>
      <c r="AK80" s="602">
        <f t="shared" si="96"/>
        <v>510910</v>
      </c>
      <c r="AL80" s="602"/>
      <c r="AM80" s="602"/>
      <c r="AN80" s="602"/>
      <c r="AO80" s="598"/>
      <c r="AP80" s="598"/>
      <c r="AQ80" s="598"/>
    </row>
    <row r="81" spans="1:43" ht="45">
      <c r="A81" s="603" t="s">
        <v>1574</v>
      </c>
      <c r="B81" s="604" t="s">
        <v>1575</v>
      </c>
      <c r="C81" s="604"/>
      <c r="D81" s="605"/>
      <c r="E81" s="604"/>
      <c r="F81" s="606"/>
      <c r="G81" s="604"/>
      <c r="H81" s="604"/>
      <c r="I81" s="604"/>
      <c r="J81" s="607"/>
      <c r="K81" s="607"/>
      <c r="L81" s="607"/>
      <c r="M81" s="608">
        <f>SUM(M82)</f>
        <v>80308.416666666672</v>
      </c>
      <c r="N81" s="608">
        <f t="shared" ref="N81:O81" si="97">SUM(N82)</f>
        <v>80308.416666666672</v>
      </c>
      <c r="O81" s="608">
        <f t="shared" si="97"/>
        <v>89202.416666666672</v>
      </c>
      <c r="P81" s="607"/>
      <c r="Q81" s="607"/>
      <c r="R81" s="607"/>
      <c r="S81" s="608">
        <f t="shared" ref="S81:U81" si="98">SUM(S82)</f>
        <v>83808.416666666672</v>
      </c>
      <c r="T81" s="608">
        <f t="shared" si="98"/>
        <v>165858.41666666669</v>
      </c>
      <c r="U81" s="608">
        <f t="shared" si="98"/>
        <v>132760.41666666669</v>
      </c>
      <c r="V81" s="607"/>
      <c r="W81" s="607"/>
      <c r="X81" s="607"/>
      <c r="Y81" s="608">
        <f t="shared" ref="Y81:AA81" si="99">SUM(Y82)</f>
        <v>177049.41666666669</v>
      </c>
      <c r="Z81" s="608">
        <f t="shared" si="99"/>
        <v>190787.41666666669</v>
      </c>
      <c r="AA81" s="608">
        <f t="shared" si="99"/>
        <v>143178.41666666669</v>
      </c>
      <c r="AB81" s="607"/>
      <c r="AC81" s="607"/>
      <c r="AD81" s="607"/>
      <c r="AE81" s="608">
        <f t="shared" ref="AE81:AK81" si="100">SUM(AE82)</f>
        <v>253348.41666666669</v>
      </c>
      <c r="AF81" s="608">
        <f t="shared" si="100"/>
        <v>324083.41666666669</v>
      </c>
      <c r="AG81" s="608">
        <f t="shared" si="100"/>
        <v>179018.41666666669</v>
      </c>
      <c r="AH81" s="608">
        <f t="shared" si="100"/>
        <v>1899712</v>
      </c>
      <c r="AI81" s="608">
        <f t="shared" si="100"/>
        <v>96000</v>
      </c>
      <c r="AJ81" s="608">
        <f t="shared" si="100"/>
        <v>1292802</v>
      </c>
      <c r="AK81" s="608">
        <f t="shared" si="100"/>
        <v>510910</v>
      </c>
      <c r="AL81" s="608"/>
      <c r="AM81" s="608"/>
      <c r="AN81" s="608"/>
      <c r="AO81" s="604"/>
      <c r="AP81" s="604"/>
      <c r="AQ81" s="604"/>
    </row>
    <row r="82" spans="1:43" ht="60">
      <c r="A82" s="609" t="s">
        <v>1576</v>
      </c>
      <c r="B82" s="610" t="s">
        <v>1577</v>
      </c>
      <c r="C82" s="610"/>
      <c r="D82" s="611"/>
      <c r="E82" s="610"/>
      <c r="F82" s="612"/>
      <c r="G82" s="610"/>
      <c r="H82" s="610"/>
      <c r="I82" s="610"/>
      <c r="J82" s="613"/>
      <c r="K82" s="613"/>
      <c r="L82" s="613"/>
      <c r="M82" s="562">
        <f>SUM(M83:M112)</f>
        <v>80308.416666666672</v>
      </c>
      <c r="N82" s="562">
        <f t="shared" ref="N82:O82" si="101">SUM(N83:N112)</f>
        <v>80308.416666666672</v>
      </c>
      <c r="O82" s="562">
        <f t="shared" si="101"/>
        <v>89202.416666666672</v>
      </c>
      <c r="P82" s="613"/>
      <c r="Q82" s="613"/>
      <c r="R82" s="613"/>
      <c r="S82" s="562">
        <f t="shared" ref="S82:U82" si="102">SUM(S83:S112)</f>
        <v>83808.416666666672</v>
      </c>
      <c r="T82" s="562">
        <f t="shared" si="102"/>
        <v>165858.41666666669</v>
      </c>
      <c r="U82" s="562">
        <f t="shared" si="102"/>
        <v>132760.41666666669</v>
      </c>
      <c r="V82" s="613"/>
      <c r="W82" s="613"/>
      <c r="X82" s="613"/>
      <c r="Y82" s="562">
        <f t="shared" ref="Y82:AA82" si="103">SUM(Y83:Y112)</f>
        <v>177049.41666666669</v>
      </c>
      <c r="Z82" s="562">
        <f t="shared" si="103"/>
        <v>190787.41666666669</v>
      </c>
      <c r="AA82" s="562">
        <f t="shared" si="103"/>
        <v>143178.41666666669</v>
      </c>
      <c r="AB82" s="613"/>
      <c r="AC82" s="613"/>
      <c r="AD82" s="613"/>
      <c r="AE82" s="562">
        <f t="shared" ref="AE82:AK82" si="104">SUM(AE83:AE112)</f>
        <v>253348.41666666669</v>
      </c>
      <c r="AF82" s="562">
        <f t="shared" si="104"/>
        <v>324083.41666666669</v>
      </c>
      <c r="AG82" s="562">
        <f t="shared" si="104"/>
        <v>179018.41666666669</v>
      </c>
      <c r="AH82" s="562">
        <f t="shared" si="104"/>
        <v>1899712</v>
      </c>
      <c r="AI82" s="562">
        <f t="shared" si="104"/>
        <v>96000</v>
      </c>
      <c r="AJ82" s="562">
        <f t="shared" si="104"/>
        <v>1292802</v>
      </c>
      <c r="AK82" s="562">
        <f t="shared" si="104"/>
        <v>510910</v>
      </c>
      <c r="AL82" s="562"/>
      <c r="AM82" s="562"/>
      <c r="AN82" s="562"/>
      <c r="AO82" s="610"/>
      <c r="AP82" s="610"/>
      <c r="AQ82" s="610"/>
    </row>
    <row r="83" spans="1:43" ht="45">
      <c r="A83" s="614" t="s">
        <v>1578</v>
      </c>
      <c r="B83" s="615" t="s">
        <v>1579</v>
      </c>
      <c r="C83" s="539">
        <f t="shared" ref="C83" si="105">+J83+K83+L83+P83+Q83+R83+V83+W83+X83+AB83+AC83+AD83</f>
        <v>1</v>
      </c>
      <c r="D83" s="616" t="s">
        <v>523</v>
      </c>
      <c r="E83" s="617" t="s">
        <v>1580</v>
      </c>
      <c r="F83" s="618" t="s">
        <v>52</v>
      </c>
      <c r="G83" s="619"/>
      <c r="H83" s="619"/>
      <c r="I83" s="565"/>
      <c r="J83" s="548"/>
      <c r="K83" s="548"/>
      <c r="L83" s="548"/>
      <c r="M83" s="549"/>
      <c r="N83" s="549"/>
      <c r="O83" s="549"/>
      <c r="P83" s="548"/>
      <c r="Q83" s="548"/>
      <c r="R83" s="548"/>
      <c r="S83" s="549"/>
      <c r="T83" s="549"/>
      <c r="U83" s="549"/>
      <c r="V83" s="548"/>
      <c r="W83" s="548"/>
      <c r="X83" s="548"/>
      <c r="Y83" s="549"/>
      <c r="Z83" s="549"/>
      <c r="AA83" s="544"/>
      <c r="AB83" s="548"/>
      <c r="AC83" s="551">
        <v>1</v>
      </c>
      <c r="AD83" s="548"/>
      <c r="AE83" s="549"/>
      <c r="AF83" s="549">
        <f>44600+3750</f>
        <v>48350</v>
      </c>
      <c r="AG83" s="549"/>
      <c r="AH83" s="26">
        <f t="shared" ref="AH83:AH112" si="106">SUM(M83,N83,O83,S83,T83,U83,Y83,Z83,AA83,AE83,AF83,AG83)</f>
        <v>48350</v>
      </c>
      <c r="AI83" s="545"/>
      <c r="AJ83" s="545">
        <f>+AH83</f>
        <v>48350</v>
      </c>
      <c r="AK83" s="545"/>
      <c r="AL83" s="620"/>
      <c r="AM83" s="620"/>
      <c r="AN83" s="620"/>
      <c r="AO83" s="538" t="s">
        <v>1409</v>
      </c>
      <c r="AP83" s="538" t="s">
        <v>1510</v>
      </c>
      <c r="AQ83" s="621"/>
    </row>
    <row r="84" spans="1:43" ht="45">
      <c r="A84" s="614" t="s">
        <v>1581</v>
      </c>
      <c r="B84" s="622" t="s">
        <v>1582</v>
      </c>
      <c r="C84" s="623">
        <f t="shared" ref="C84:C86" si="107">SUM(J84,K84,L84,P84,Q84,R84,V84,W84,X84,AB84,AC84,AD84)</f>
        <v>4</v>
      </c>
      <c r="D84" s="624" t="s">
        <v>1277</v>
      </c>
      <c r="E84" s="625" t="s">
        <v>1583</v>
      </c>
      <c r="F84" s="626" t="s">
        <v>52</v>
      </c>
      <c r="G84" s="565"/>
      <c r="H84" s="565"/>
      <c r="I84" s="565"/>
      <c r="J84" s="543"/>
      <c r="K84" s="543"/>
      <c r="L84" s="543"/>
      <c r="M84" s="544"/>
      <c r="N84" s="544"/>
      <c r="O84" s="544"/>
      <c r="P84" s="543"/>
      <c r="Q84" s="543"/>
      <c r="R84" s="543"/>
      <c r="S84" s="544"/>
      <c r="T84" s="544"/>
      <c r="U84" s="544"/>
      <c r="V84" s="543"/>
      <c r="W84" s="543"/>
      <c r="X84" s="543"/>
      <c r="Y84" s="544"/>
      <c r="Z84" s="544"/>
      <c r="AA84" s="544"/>
      <c r="AB84" s="551">
        <v>4</v>
      </c>
      <c r="AC84" s="543"/>
      <c r="AD84" s="543"/>
      <c r="AE84" s="544">
        <v>40000</v>
      </c>
      <c r="AF84" s="544"/>
      <c r="AG84" s="544"/>
      <c r="AH84" s="26">
        <f t="shared" si="106"/>
        <v>40000</v>
      </c>
      <c r="AI84" s="545"/>
      <c r="AJ84" s="545">
        <f>+AH84</f>
        <v>40000</v>
      </c>
      <c r="AK84" s="545"/>
      <c r="AL84" s="620"/>
      <c r="AM84" s="620"/>
      <c r="AN84" s="620"/>
      <c r="AO84" s="538" t="s">
        <v>1409</v>
      </c>
      <c r="AP84" s="538" t="s">
        <v>1510</v>
      </c>
      <c r="AQ84" s="621"/>
    </row>
    <row r="85" spans="1:43" ht="60">
      <c r="A85" s="614" t="s">
        <v>1584</v>
      </c>
      <c r="B85" s="622" t="s">
        <v>1585</v>
      </c>
      <c r="C85" s="623">
        <f t="shared" si="107"/>
        <v>12</v>
      </c>
      <c r="D85" s="624" t="s">
        <v>52</v>
      </c>
      <c r="E85" s="625" t="s">
        <v>1586</v>
      </c>
      <c r="F85" s="626" t="s">
        <v>52</v>
      </c>
      <c r="G85" s="565"/>
      <c r="H85" s="565"/>
      <c r="I85" s="565"/>
      <c r="J85" s="551">
        <v>1</v>
      </c>
      <c r="K85" s="551">
        <v>1</v>
      </c>
      <c r="L85" s="551">
        <v>1</v>
      </c>
      <c r="M85" s="544">
        <v>2156</v>
      </c>
      <c r="N85" s="544">
        <v>2156</v>
      </c>
      <c r="O85" s="544">
        <v>2156</v>
      </c>
      <c r="P85" s="551">
        <v>1</v>
      </c>
      <c r="Q85" s="551">
        <v>1</v>
      </c>
      <c r="R85" s="551">
        <v>1</v>
      </c>
      <c r="S85" s="544">
        <v>2156</v>
      </c>
      <c r="T85" s="544">
        <v>2156</v>
      </c>
      <c r="U85" s="544">
        <v>2156</v>
      </c>
      <c r="V85" s="551">
        <v>1</v>
      </c>
      <c r="W85" s="551">
        <v>1</v>
      </c>
      <c r="X85" s="551">
        <v>1</v>
      </c>
      <c r="Y85" s="544">
        <v>2156</v>
      </c>
      <c r="Z85" s="544">
        <v>2156</v>
      </c>
      <c r="AA85" s="544">
        <v>2156</v>
      </c>
      <c r="AB85" s="551">
        <v>1</v>
      </c>
      <c r="AC85" s="551">
        <v>1</v>
      </c>
      <c r="AD85" s="551">
        <v>1</v>
      </c>
      <c r="AE85" s="544">
        <v>2156</v>
      </c>
      <c r="AF85" s="544">
        <v>2156</v>
      </c>
      <c r="AG85" s="544">
        <v>2156</v>
      </c>
      <c r="AH85" s="26">
        <f t="shared" si="106"/>
        <v>25872</v>
      </c>
      <c r="AI85" s="545"/>
      <c r="AJ85" s="545">
        <f>+AH85</f>
        <v>25872</v>
      </c>
      <c r="AK85" s="545"/>
      <c r="AL85" s="620"/>
      <c r="AM85" s="620"/>
      <c r="AN85" s="620"/>
      <c r="AO85" s="538" t="s">
        <v>1409</v>
      </c>
      <c r="AP85" s="538" t="s">
        <v>1510</v>
      </c>
      <c r="AQ85" s="621"/>
    </row>
    <row r="86" spans="1:43" ht="45">
      <c r="A86" s="614" t="s">
        <v>1587</v>
      </c>
      <c r="B86" s="615" t="s">
        <v>1588</v>
      </c>
      <c r="C86" s="623">
        <f t="shared" si="107"/>
        <v>12</v>
      </c>
      <c r="D86" s="616" t="s">
        <v>52</v>
      </c>
      <c r="E86" s="627" t="s">
        <v>1589</v>
      </c>
      <c r="F86" s="627" t="s">
        <v>52</v>
      </c>
      <c r="G86" s="619"/>
      <c r="H86" s="619"/>
      <c r="I86" s="565"/>
      <c r="J86" s="551">
        <v>1</v>
      </c>
      <c r="K86" s="551">
        <v>1</v>
      </c>
      <c r="L86" s="551">
        <v>1</v>
      </c>
      <c r="M86" s="26">
        <f>(1114011-225262)/12</f>
        <v>74062.416666666672</v>
      </c>
      <c r="N86" s="26">
        <f t="shared" ref="N86:O86" si="108">(1114011-225262)/12</f>
        <v>74062.416666666672</v>
      </c>
      <c r="O86" s="26">
        <f t="shared" si="108"/>
        <v>74062.416666666672</v>
      </c>
      <c r="P86" s="551">
        <v>1</v>
      </c>
      <c r="Q86" s="551">
        <v>1</v>
      </c>
      <c r="R86" s="551">
        <v>1</v>
      </c>
      <c r="S86" s="26">
        <f t="shared" ref="S86:U86" si="109">(1114011-225262)/12</f>
        <v>74062.416666666672</v>
      </c>
      <c r="T86" s="26">
        <f t="shared" si="109"/>
        <v>74062.416666666672</v>
      </c>
      <c r="U86" s="26">
        <f t="shared" si="109"/>
        <v>74062.416666666672</v>
      </c>
      <c r="V86" s="551">
        <v>1</v>
      </c>
      <c r="W86" s="551">
        <v>1</v>
      </c>
      <c r="X86" s="551">
        <v>1</v>
      </c>
      <c r="Y86" s="26">
        <f t="shared" ref="Y86:AA86" si="110">(1114011-225262)/12</f>
        <v>74062.416666666672</v>
      </c>
      <c r="Z86" s="26">
        <f t="shared" si="110"/>
        <v>74062.416666666672</v>
      </c>
      <c r="AA86" s="26">
        <f t="shared" si="110"/>
        <v>74062.416666666672</v>
      </c>
      <c r="AB86" s="551">
        <v>1</v>
      </c>
      <c r="AC86" s="551">
        <v>1</v>
      </c>
      <c r="AD86" s="551">
        <v>1</v>
      </c>
      <c r="AE86" s="26">
        <f t="shared" ref="AE86:AF86" si="111">(1114011-225262)/12</f>
        <v>74062.416666666672</v>
      </c>
      <c r="AF86" s="26">
        <f t="shared" si="111"/>
        <v>74062.416666666672</v>
      </c>
      <c r="AG86" s="26">
        <f>(1114011-225262)/12-5000</f>
        <v>69062.416666666672</v>
      </c>
      <c r="AH86" s="26">
        <f t="shared" si="106"/>
        <v>883748.99999999988</v>
      </c>
      <c r="AI86" s="545">
        <v>66000</v>
      </c>
      <c r="AJ86" s="545">
        <v>695972.99999999988</v>
      </c>
      <c r="AK86" s="545">
        <v>121776</v>
      </c>
      <c r="AL86" s="620"/>
      <c r="AM86" s="620"/>
      <c r="AN86" s="620"/>
      <c r="AO86" s="538" t="s">
        <v>1409</v>
      </c>
      <c r="AP86" s="538" t="s">
        <v>1510</v>
      </c>
      <c r="AQ86" s="621"/>
    </row>
    <row r="87" spans="1:43" ht="75">
      <c r="A87" s="614" t="s">
        <v>1590</v>
      </c>
      <c r="B87" s="628" t="s">
        <v>1591</v>
      </c>
      <c r="C87" s="623">
        <f t="shared" ref="C87:C106" si="112">+J87+K87+L87+P87+Q87+R87+V87+W87+X87+AB87+AC87+AD87</f>
        <v>16</v>
      </c>
      <c r="D87" s="616" t="s">
        <v>944</v>
      </c>
      <c r="E87" s="627" t="s">
        <v>1592</v>
      </c>
      <c r="F87" s="627" t="s">
        <v>1545</v>
      </c>
      <c r="G87" s="619"/>
      <c r="H87" s="619"/>
      <c r="I87" s="565"/>
      <c r="J87" s="548"/>
      <c r="K87" s="548"/>
      <c r="L87" s="551">
        <v>1</v>
      </c>
      <c r="M87" s="549"/>
      <c r="N87" s="549"/>
      <c r="O87" s="544">
        <f>30+198</f>
        <v>228</v>
      </c>
      <c r="P87" s="548"/>
      <c r="Q87" s="548"/>
      <c r="R87" s="551">
        <v>2</v>
      </c>
      <c r="S87" s="549"/>
      <c r="T87" s="549"/>
      <c r="U87" s="544">
        <f>60+220+143</f>
        <v>423</v>
      </c>
      <c r="V87" s="551">
        <v>8</v>
      </c>
      <c r="W87" s="551">
        <v>5</v>
      </c>
      <c r="X87" s="548"/>
      <c r="Y87" s="544">
        <f>240+770+660</f>
        <v>1670</v>
      </c>
      <c r="Z87" s="544">
        <f>170+510+499</f>
        <v>1179</v>
      </c>
      <c r="AA87" s="544"/>
      <c r="AB87" s="548"/>
      <c r="AC87" s="548"/>
      <c r="AD87" s="548"/>
      <c r="AE87" s="549"/>
      <c r="AF87" s="549"/>
      <c r="AG87" s="544"/>
      <c r="AH87" s="26">
        <f t="shared" si="106"/>
        <v>3500</v>
      </c>
      <c r="AI87" s="545"/>
      <c r="AJ87" s="545">
        <f>+AH87</f>
        <v>3500</v>
      </c>
      <c r="AK87" s="545"/>
      <c r="AL87" s="620"/>
      <c r="AM87" s="620"/>
      <c r="AN87" s="620"/>
      <c r="AO87" s="538" t="s">
        <v>1409</v>
      </c>
      <c r="AP87" s="538" t="s">
        <v>1510</v>
      </c>
      <c r="AQ87" s="621"/>
    </row>
    <row r="88" spans="1:43" ht="45">
      <c r="A88" s="629" t="s">
        <v>1593</v>
      </c>
      <c r="B88" s="622" t="s">
        <v>1594</v>
      </c>
      <c r="C88" s="623">
        <f t="shared" si="112"/>
        <v>6</v>
      </c>
      <c r="D88" s="630" t="s">
        <v>52</v>
      </c>
      <c r="E88" s="622" t="s">
        <v>1595</v>
      </c>
      <c r="F88" s="631" t="s">
        <v>1596</v>
      </c>
      <c r="G88" s="565"/>
      <c r="H88" s="565"/>
      <c r="I88" s="565"/>
      <c r="J88" s="551"/>
      <c r="K88" s="551"/>
      <c r="L88" s="551"/>
      <c r="M88" s="544"/>
      <c r="N88" s="544"/>
      <c r="O88" s="544"/>
      <c r="P88" s="551"/>
      <c r="Q88" s="551">
        <v>1</v>
      </c>
      <c r="R88" s="551">
        <v>1</v>
      </c>
      <c r="S88" s="544"/>
      <c r="T88" s="544">
        <v>1745</v>
      </c>
      <c r="U88" s="544">
        <v>1745</v>
      </c>
      <c r="V88" s="551">
        <v>1</v>
      </c>
      <c r="W88" s="551">
        <v>1</v>
      </c>
      <c r="X88" s="551">
        <v>1</v>
      </c>
      <c r="Y88" s="544">
        <v>1745</v>
      </c>
      <c r="Z88" s="544">
        <v>1745</v>
      </c>
      <c r="AA88" s="544">
        <v>1745</v>
      </c>
      <c r="AB88" s="551">
        <v>1</v>
      </c>
      <c r="AC88" s="551"/>
      <c r="AD88" s="543"/>
      <c r="AE88" s="544">
        <f>1745-5</f>
        <v>1740</v>
      </c>
      <c r="AF88" s="544"/>
      <c r="AG88" s="544"/>
      <c r="AH88" s="26">
        <f t="shared" si="106"/>
        <v>10465</v>
      </c>
      <c r="AI88" s="545"/>
      <c r="AJ88" s="545">
        <f>+AH88</f>
        <v>10465</v>
      </c>
      <c r="AK88" s="545"/>
      <c r="AL88" s="620"/>
      <c r="AM88" s="620"/>
      <c r="AN88" s="620"/>
      <c r="AO88" s="538" t="s">
        <v>1409</v>
      </c>
      <c r="AP88" s="538" t="s">
        <v>1510</v>
      </c>
      <c r="AQ88" s="621"/>
    </row>
    <row r="89" spans="1:43" ht="45">
      <c r="A89" s="629" t="s">
        <v>1597</v>
      </c>
      <c r="B89" s="622" t="s">
        <v>1598</v>
      </c>
      <c r="C89" s="623">
        <f t="shared" si="112"/>
        <v>1</v>
      </c>
      <c r="D89" s="630" t="s">
        <v>52</v>
      </c>
      <c r="E89" s="622" t="s">
        <v>1599</v>
      </c>
      <c r="F89" s="631" t="s">
        <v>1596</v>
      </c>
      <c r="G89" s="565"/>
      <c r="H89" s="565"/>
      <c r="I89" s="565"/>
      <c r="J89" s="543"/>
      <c r="K89" s="543"/>
      <c r="L89" s="543"/>
      <c r="M89" s="544"/>
      <c r="N89" s="544"/>
      <c r="O89" s="544"/>
      <c r="P89" s="543"/>
      <c r="Q89" s="543"/>
      <c r="R89" s="543"/>
      <c r="S89" s="544"/>
      <c r="T89" s="544"/>
      <c r="U89" s="544"/>
      <c r="V89" s="543"/>
      <c r="W89" s="543"/>
      <c r="X89" s="543"/>
      <c r="Y89" s="544"/>
      <c r="Z89" s="544"/>
      <c r="AA89" s="544"/>
      <c r="AB89" s="543"/>
      <c r="AC89" s="551">
        <v>1</v>
      </c>
      <c r="AD89" s="543"/>
      <c r="AE89" s="544"/>
      <c r="AF89" s="544">
        <v>30000</v>
      </c>
      <c r="AG89" s="544"/>
      <c r="AH89" s="26">
        <f t="shared" si="106"/>
        <v>30000</v>
      </c>
      <c r="AI89" s="545"/>
      <c r="AJ89" s="545">
        <f>+AH89</f>
        <v>30000</v>
      </c>
      <c r="AK89" s="545"/>
      <c r="AL89" s="620"/>
      <c r="AM89" s="620"/>
      <c r="AN89" s="620"/>
      <c r="AO89" s="538" t="s">
        <v>1409</v>
      </c>
      <c r="AP89" s="538" t="s">
        <v>1510</v>
      </c>
      <c r="AQ89" s="621"/>
    </row>
    <row r="90" spans="1:43" ht="60">
      <c r="A90" s="629" t="s">
        <v>1600</v>
      </c>
      <c r="B90" s="622" t="s">
        <v>1601</v>
      </c>
      <c r="C90" s="623">
        <f t="shared" si="112"/>
        <v>20</v>
      </c>
      <c r="D90" s="630" t="s">
        <v>52</v>
      </c>
      <c r="E90" s="632" t="s">
        <v>1602</v>
      </c>
      <c r="F90" s="631" t="s">
        <v>435</v>
      </c>
      <c r="G90" s="565"/>
      <c r="H90" s="565"/>
      <c r="I90" s="565"/>
      <c r="J90" s="543"/>
      <c r="K90" s="543"/>
      <c r="L90" s="543"/>
      <c r="M90" s="544"/>
      <c r="N90" s="544"/>
      <c r="O90" s="544"/>
      <c r="P90" s="543"/>
      <c r="Q90" s="543"/>
      <c r="R90" s="543"/>
      <c r="S90" s="544"/>
      <c r="T90" s="544"/>
      <c r="U90" s="544"/>
      <c r="V90" s="543"/>
      <c r="W90" s="543"/>
      <c r="X90" s="551">
        <v>4</v>
      </c>
      <c r="Y90" s="544"/>
      <c r="Z90" s="544"/>
      <c r="AA90" s="544">
        <f>1500*4</f>
        <v>6000</v>
      </c>
      <c r="AB90" s="551">
        <v>5</v>
      </c>
      <c r="AC90" s="551">
        <v>5</v>
      </c>
      <c r="AD90" s="551">
        <v>6</v>
      </c>
      <c r="AE90" s="544">
        <f>1500*5</f>
        <v>7500</v>
      </c>
      <c r="AF90" s="544">
        <f>1500*5</f>
        <v>7500</v>
      </c>
      <c r="AG90" s="544">
        <f>1500*6</f>
        <v>9000</v>
      </c>
      <c r="AH90" s="26">
        <f t="shared" si="106"/>
        <v>30000</v>
      </c>
      <c r="AI90" s="545">
        <f>+AH90</f>
        <v>30000</v>
      </c>
      <c r="AJ90" s="545"/>
      <c r="AK90" s="545"/>
      <c r="AL90" s="620"/>
      <c r="AM90" s="620"/>
      <c r="AN90" s="620"/>
      <c r="AO90" s="538" t="s">
        <v>1409</v>
      </c>
      <c r="AP90" s="538" t="s">
        <v>1510</v>
      </c>
      <c r="AQ90" s="621"/>
    </row>
    <row r="91" spans="1:43" ht="60">
      <c r="A91" s="629" t="s">
        <v>1603</v>
      </c>
      <c r="B91" s="622" t="s">
        <v>1604</v>
      </c>
      <c r="C91" s="623">
        <f t="shared" si="112"/>
        <v>1</v>
      </c>
      <c r="D91" s="630" t="s">
        <v>52</v>
      </c>
      <c r="E91" s="632" t="s">
        <v>1605</v>
      </c>
      <c r="F91" s="631" t="s">
        <v>52</v>
      </c>
      <c r="G91" s="565"/>
      <c r="H91" s="565"/>
      <c r="I91" s="565"/>
      <c r="J91" s="543"/>
      <c r="K91" s="543"/>
      <c r="L91" s="543"/>
      <c r="M91" s="544"/>
      <c r="N91" s="544"/>
      <c r="O91" s="544"/>
      <c r="P91" s="543"/>
      <c r="Q91" s="543"/>
      <c r="R91" s="543"/>
      <c r="S91" s="544"/>
      <c r="T91" s="544"/>
      <c r="U91" s="544"/>
      <c r="V91" s="543"/>
      <c r="W91" s="543"/>
      <c r="X91" s="543"/>
      <c r="Y91" s="544"/>
      <c r="Z91" s="544"/>
      <c r="AA91" s="544"/>
      <c r="AB91" s="551">
        <v>1</v>
      </c>
      <c r="AC91" s="543"/>
      <c r="AD91" s="543"/>
      <c r="AE91" s="544">
        <v>5000</v>
      </c>
      <c r="AF91" s="544"/>
      <c r="AG91" s="544"/>
      <c r="AH91" s="26">
        <f t="shared" si="106"/>
        <v>5000</v>
      </c>
      <c r="AI91" s="545"/>
      <c r="AJ91" s="545"/>
      <c r="AK91" s="545">
        <f>+AH91</f>
        <v>5000</v>
      </c>
      <c r="AL91" s="620"/>
      <c r="AM91" s="620"/>
      <c r="AN91" s="620"/>
      <c r="AO91" s="538" t="s">
        <v>1409</v>
      </c>
      <c r="AP91" s="538" t="s">
        <v>1510</v>
      </c>
      <c r="AQ91" s="621"/>
    </row>
    <row r="92" spans="1:43" ht="150">
      <c r="A92" s="629" t="s">
        <v>1606</v>
      </c>
      <c r="B92" s="615" t="s">
        <v>1607</v>
      </c>
      <c r="C92" s="623">
        <f t="shared" si="112"/>
        <v>10</v>
      </c>
      <c r="D92" s="616" t="s">
        <v>944</v>
      </c>
      <c r="E92" s="627" t="s">
        <v>1608</v>
      </c>
      <c r="F92" s="627" t="s">
        <v>1545</v>
      </c>
      <c r="G92" s="619"/>
      <c r="H92" s="619"/>
      <c r="I92" s="565"/>
      <c r="J92" s="548"/>
      <c r="K92" s="548"/>
      <c r="L92" s="548"/>
      <c r="M92" s="549"/>
      <c r="N92" s="549"/>
      <c r="O92" s="549"/>
      <c r="P92" s="548"/>
      <c r="Q92" s="551">
        <v>6</v>
      </c>
      <c r="R92" s="551">
        <v>4</v>
      </c>
      <c r="S92" s="549"/>
      <c r="T92" s="26">
        <f>1110+15700+12240</f>
        <v>29050</v>
      </c>
      <c r="U92" s="26">
        <f>740+4300+7760</f>
        <v>12800</v>
      </c>
      <c r="V92" s="548"/>
      <c r="W92" s="548"/>
      <c r="X92" s="548"/>
      <c r="Y92" s="549"/>
      <c r="Z92" s="549"/>
      <c r="AA92" s="544"/>
      <c r="AB92" s="548"/>
      <c r="AC92" s="548"/>
      <c r="AD92" s="548"/>
      <c r="AE92" s="549"/>
      <c r="AF92" s="544"/>
      <c r="AG92" s="549"/>
      <c r="AH92" s="26">
        <f t="shared" si="106"/>
        <v>41850</v>
      </c>
      <c r="AI92" s="545"/>
      <c r="AJ92" s="545">
        <f>+AH92</f>
        <v>41850</v>
      </c>
      <c r="AK92" s="545"/>
      <c r="AL92" s="620"/>
      <c r="AM92" s="620"/>
      <c r="AN92" s="620"/>
      <c r="AO92" s="538" t="s">
        <v>1409</v>
      </c>
      <c r="AP92" s="538" t="s">
        <v>1510</v>
      </c>
      <c r="AQ92" s="621"/>
    </row>
    <row r="93" spans="1:43" ht="60">
      <c r="A93" s="629" t="s">
        <v>1609</v>
      </c>
      <c r="B93" s="615" t="s">
        <v>1610</v>
      </c>
      <c r="C93" s="623">
        <f t="shared" ref="C93" si="113">SUM(J93,K93,L93,P93,Q93,R93,V93,W93,X93,AB93,AC93,AD93)</f>
        <v>1</v>
      </c>
      <c r="D93" s="616" t="s">
        <v>52</v>
      </c>
      <c r="E93" s="617" t="s">
        <v>1611</v>
      </c>
      <c r="F93" s="618" t="s">
        <v>52</v>
      </c>
      <c r="G93" s="619"/>
      <c r="H93" s="619"/>
      <c r="I93" s="565"/>
      <c r="J93" s="548"/>
      <c r="K93" s="548"/>
      <c r="L93" s="548"/>
      <c r="M93" s="549"/>
      <c r="N93" s="549"/>
      <c r="O93" s="549"/>
      <c r="P93" s="548"/>
      <c r="Q93" s="548"/>
      <c r="R93" s="548"/>
      <c r="S93" s="549"/>
      <c r="T93" s="549"/>
      <c r="U93" s="544"/>
      <c r="V93" s="548"/>
      <c r="W93" s="551">
        <v>1</v>
      </c>
      <c r="X93" s="548"/>
      <c r="Y93" s="549"/>
      <c r="Z93" s="549">
        <v>5000</v>
      </c>
      <c r="AA93" s="549"/>
      <c r="AB93" s="548"/>
      <c r="AC93" s="548"/>
      <c r="AD93" s="548"/>
      <c r="AE93" s="549"/>
      <c r="AF93" s="549"/>
      <c r="AG93" s="549"/>
      <c r="AH93" s="26">
        <f t="shared" si="106"/>
        <v>5000</v>
      </c>
      <c r="AI93" s="545"/>
      <c r="AJ93" s="545">
        <f>+AH93</f>
        <v>5000</v>
      </c>
      <c r="AK93" s="545"/>
      <c r="AL93" s="620"/>
      <c r="AM93" s="620"/>
      <c r="AN93" s="620"/>
      <c r="AO93" s="538" t="s">
        <v>1409</v>
      </c>
      <c r="AP93" s="538" t="s">
        <v>1510</v>
      </c>
      <c r="AQ93" s="621"/>
    </row>
    <row r="94" spans="1:43" ht="60">
      <c r="A94" s="629" t="s">
        <v>1612</v>
      </c>
      <c r="B94" s="615" t="s">
        <v>1613</v>
      </c>
      <c r="C94" s="623">
        <f t="shared" si="112"/>
        <v>6</v>
      </c>
      <c r="D94" s="616" t="s">
        <v>944</v>
      </c>
      <c r="E94" s="627" t="s">
        <v>1614</v>
      </c>
      <c r="F94" s="627" t="s">
        <v>1545</v>
      </c>
      <c r="G94" s="619"/>
      <c r="H94" s="619"/>
      <c r="I94" s="565"/>
      <c r="J94" s="548"/>
      <c r="K94" s="548"/>
      <c r="L94" s="551">
        <v>2</v>
      </c>
      <c r="M94" s="549"/>
      <c r="N94" s="549"/>
      <c r="O94" s="26">
        <v>3635</v>
      </c>
      <c r="P94" s="548"/>
      <c r="Q94" s="551">
        <v>2</v>
      </c>
      <c r="R94" s="548"/>
      <c r="S94" s="549"/>
      <c r="T94" s="26">
        <v>5625</v>
      </c>
      <c r="U94" s="549"/>
      <c r="V94" s="548"/>
      <c r="W94" s="551">
        <v>2</v>
      </c>
      <c r="X94" s="548"/>
      <c r="Y94" s="544"/>
      <c r="Z94" s="26">
        <v>5825</v>
      </c>
      <c r="AA94" s="549"/>
      <c r="AB94" s="548"/>
      <c r="AC94" s="548"/>
      <c r="AD94" s="548"/>
      <c r="AE94" s="544"/>
      <c r="AF94" s="544"/>
      <c r="AG94" s="549"/>
      <c r="AH94" s="26">
        <f t="shared" si="106"/>
        <v>15085</v>
      </c>
      <c r="AI94" s="545"/>
      <c r="AJ94" s="545"/>
      <c r="AK94" s="545">
        <f>+AH94</f>
        <v>15085</v>
      </c>
      <c r="AL94" s="620"/>
      <c r="AM94" s="620"/>
      <c r="AN94" s="620"/>
      <c r="AO94" s="538" t="s">
        <v>1409</v>
      </c>
      <c r="AP94" s="538" t="s">
        <v>1510</v>
      </c>
      <c r="AQ94" s="621"/>
    </row>
    <row r="95" spans="1:43" ht="60">
      <c r="A95" s="629" t="s">
        <v>1615</v>
      </c>
      <c r="B95" s="622" t="s">
        <v>1616</v>
      </c>
      <c r="C95" s="623">
        <f t="shared" si="112"/>
        <v>24</v>
      </c>
      <c r="D95" s="624" t="s">
        <v>1617</v>
      </c>
      <c r="E95" s="625" t="s">
        <v>1618</v>
      </c>
      <c r="F95" s="626" t="s">
        <v>1619</v>
      </c>
      <c r="G95" s="565"/>
      <c r="H95" s="565"/>
      <c r="I95" s="565"/>
      <c r="J95" s="551">
        <v>2</v>
      </c>
      <c r="K95" s="551">
        <v>2</v>
      </c>
      <c r="L95" s="551">
        <v>2</v>
      </c>
      <c r="M95" s="544">
        <f>2045*2</f>
        <v>4090</v>
      </c>
      <c r="N95" s="544">
        <f t="shared" ref="N95:O95" si="114">2045*2</f>
        <v>4090</v>
      </c>
      <c r="O95" s="544">
        <f t="shared" si="114"/>
        <v>4090</v>
      </c>
      <c r="P95" s="551">
        <v>2</v>
      </c>
      <c r="Q95" s="551">
        <v>2</v>
      </c>
      <c r="R95" s="551">
        <v>2</v>
      </c>
      <c r="S95" s="544">
        <f>2045*2</f>
        <v>4090</v>
      </c>
      <c r="T95" s="544">
        <f t="shared" ref="T95:U95" si="115">2045*2</f>
        <v>4090</v>
      </c>
      <c r="U95" s="544">
        <f t="shared" si="115"/>
        <v>4090</v>
      </c>
      <c r="V95" s="551">
        <v>2</v>
      </c>
      <c r="W95" s="551">
        <v>2</v>
      </c>
      <c r="X95" s="551">
        <v>2</v>
      </c>
      <c r="Y95" s="544">
        <f>2045*2</f>
        <v>4090</v>
      </c>
      <c r="Z95" s="544">
        <f t="shared" ref="Z95:AA95" si="116">2045*2</f>
        <v>4090</v>
      </c>
      <c r="AA95" s="544">
        <f t="shared" si="116"/>
        <v>4090</v>
      </c>
      <c r="AB95" s="551">
        <v>2</v>
      </c>
      <c r="AC95" s="551">
        <v>2</v>
      </c>
      <c r="AD95" s="551">
        <v>2</v>
      </c>
      <c r="AE95" s="544">
        <f>2045*2</f>
        <v>4090</v>
      </c>
      <c r="AF95" s="544">
        <f t="shared" ref="AF95" si="117">2045*2</f>
        <v>4090</v>
      </c>
      <c r="AG95" s="544">
        <f>2045*2+16</f>
        <v>4106</v>
      </c>
      <c r="AH95" s="26">
        <f t="shared" si="106"/>
        <v>49096</v>
      </c>
      <c r="AI95" s="545"/>
      <c r="AJ95" s="545">
        <f>+AH95</f>
        <v>49096</v>
      </c>
      <c r="AK95" s="545"/>
      <c r="AL95" s="620"/>
      <c r="AM95" s="620"/>
      <c r="AN95" s="620"/>
      <c r="AO95" s="538" t="s">
        <v>1409</v>
      </c>
      <c r="AP95" s="538" t="s">
        <v>1510</v>
      </c>
      <c r="AQ95" s="621"/>
    </row>
    <row r="96" spans="1:43" ht="60">
      <c r="A96" s="614" t="s">
        <v>1620</v>
      </c>
      <c r="B96" s="615" t="s">
        <v>1621</v>
      </c>
      <c r="C96" s="623">
        <f t="shared" si="112"/>
        <v>12</v>
      </c>
      <c r="D96" s="616" t="s">
        <v>944</v>
      </c>
      <c r="E96" s="627" t="s">
        <v>1622</v>
      </c>
      <c r="F96" s="627" t="s">
        <v>1545</v>
      </c>
      <c r="G96" s="619"/>
      <c r="H96" s="619"/>
      <c r="I96" s="565"/>
      <c r="J96" s="543"/>
      <c r="K96" s="543"/>
      <c r="L96" s="543"/>
      <c r="M96" s="544"/>
      <c r="N96" s="544"/>
      <c r="O96" s="544"/>
      <c r="P96" s="543"/>
      <c r="Q96" s="543"/>
      <c r="R96" s="543"/>
      <c r="S96" s="544"/>
      <c r="T96" s="544"/>
      <c r="U96" s="544"/>
      <c r="V96" s="543"/>
      <c r="W96" s="543"/>
      <c r="X96" s="543"/>
      <c r="Y96" s="544"/>
      <c r="Z96" s="544"/>
      <c r="AA96" s="544"/>
      <c r="AB96" s="551">
        <v>4</v>
      </c>
      <c r="AC96" s="551">
        <v>4</v>
      </c>
      <c r="AD96" s="551">
        <v>4</v>
      </c>
      <c r="AE96" s="544">
        <v>10060</v>
      </c>
      <c r="AF96" s="544">
        <v>10060</v>
      </c>
      <c r="AG96" s="544">
        <v>9880</v>
      </c>
      <c r="AH96" s="26">
        <f t="shared" si="106"/>
        <v>30000</v>
      </c>
      <c r="AI96" s="545"/>
      <c r="AJ96" s="545">
        <f>+AH96</f>
        <v>30000</v>
      </c>
      <c r="AK96" s="545"/>
      <c r="AL96" s="620"/>
      <c r="AM96" s="620"/>
      <c r="AN96" s="620"/>
      <c r="AO96" s="538" t="s">
        <v>1409</v>
      </c>
      <c r="AP96" s="538" t="s">
        <v>1510</v>
      </c>
      <c r="AQ96" s="621"/>
    </row>
    <row r="97" spans="1:43" ht="60">
      <c r="A97" s="614" t="s">
        <v>1623</v>
      </c>
      <c r="B97" s="615" t="s">
        <v>1624</v>
      </c>
      <c r="C97" s="623">
        <f t="shared" si="112"/>
        <v>4</v>
      </c>
      <c r="D97" s="616" t="s">
        <v>944</v>
      </c>
      <c r="E97" s="627" t="s">
        <v>1625</v>
      </c>
      <c r="F97" s="627" t="s">
        <v>52</v>
      </c>
      <c r="G97" s="619"/>
      <c r="H97" s="619"/>
      <c r="I97" s="565"/>
      <c r="J97" s="548"/>
      <c r="K97" s="548"/>
      <c r="L97" s="551">
        <v>1</v>
      </c>
      <c r="M97" s="549"/>
      <c r="N97" s="549"/>
      <c r="O97" s="26">
        <v>2566</v>
      </c>
      <c r="P97" s="548"/>
      <c r="Q97" s="548"/>
      <c r="R97" s="551">
        <v>1</v>
      </c>
      <c r="S97" s="549"/>
      <c r="T97" s="549"/>
      <c r="U97" s="549">
        <v>2754</v>
      </c>
      <c r="V97" s="548"/>
      <c r="W97" s="548"/>
      <c r="X97" s="548"/>
      <c r="Y97" s="549"/>
      <c r="Z97" s="549"/>
      <c r="AA97" s="544"/>
      <c r="AB97" s="551">
        <v>2</v>
      </c>
      <c r="AC97" s="548"/>
      <c r="AD97" s="548"/>
      <c r="AE97" s="549">
        <v>4680</v>
      </c>
      <c r="AF97" s="544"/>
      <c r="AG97" s="549"/>
      <c r="AH97" s="26">
        <f t="shared" si="106"/>
        <v>10000</v>
      </c>
      <c r="AI97" s="545"/>
      <c r="AJ97" s="545">
        <f>+AH97</f>
        <v>10000</v>
      </c>
      <c r="AK97" s="545"/>
      <c r="AL97" s="620"/>
      <c r="AM97" s="620"/>
      <c r="AN97" s="620"/>
      <c r="AO97" s="538" t="s">
        <v>1409</v>
      </c>
      <c r="AP97" s="538" t="s">
        <v>1510</v>
      </c>
      <c r="AQ97" s="621"/>
    </row>
    <row r="98" spans="1:43" ht="60">
      <c r="A98" s="537" t="s">
        <v>1626</v>
      </c>
      <c r="B98" s="615" t="s">
        <v>1627</v>
      </c>
      <c r="C98" s="623">
        <f t="shared" si="112"/>
        <v>40</v>
      </c>
      <c r="D98" s="616" t="s">
        <v>1617</v>
      </c>
      <c r="E98" s="627" t="s">
        <v>1628</v>
      </c>
      <c r="F98" s="627" t="s">
        <v>1629</v>
      </c>
      <c r="G98" s="619"/>
      <c r="H98" s="619"/>
      <c r="I98" s="565"/>
      <c r="J98" s="548"/>
      <c r="K98" s="548"/>
      <c r="L98" s="548"/>
      <c r="M98" s="549"/>
      <c r="N98" s="549"/>
      <c r="O98" s="549"/>
      <c r="P98" s="548"/>
      <c r="Q98" s="551">
        <v>11</v>
      </c>
      <c r="R98" s="551">
        <v>6</v>
      </c>
      <c r="S98" s="549"/>
      <c r="T98" s="544">
        <f>4000*11</f>
        <v>44000</v>
      </c>
      <c r="U98" s="544">
        <f>4000*6</f>
        <v>24000</v>
      </c>
      <c r="V98" s="548"/>
      <c r="W98" s="551">
        <v>11</v>
      </c>
      <c r="X98" s="548"/>
      <c r="Y98" s="549"/>
      <c r="Z98" s="544">
        <f>4000*11</f>
        <v>44000</v>
      </c>
      <c r="AA98" s="544"/>
      <c r="AB98" s="548"/>
      <c r="AC98" s="551">
        <v>12</v>
      </c>
      <c r="AD98" s="548"/>
      <c r="AE98" s="549"/>
      <c r="AF98" s="544">
        <f>4000*12</f>
        <v>48000</v>
      </c>
      <c r="AG98" s="549"/>
      <c r="AH98" s="26">
        <f t="shared" si="106"/>
        <v>160000</v>
      </c>
      <c r="AI98" s="545"/>
      <c r="AJ98" s="545">
        <f>+AH98</f>
        <v>160000</v>
      </c>
      <c r="AK98" s="545"/>
      <c r="AL98" s="620"/>
      <c r="AM98" s="620"/>
      <c r="AN98" s="620"/>
      <c r="AO98" s="538" t="s">
        <v>1409</v>
      </c>
      <c r="AP98" s="538" t="s">
        <v>1510</v>
      </c>
      <c r="AQ98" s="621"/>
    </row>
    <row r="99" spans="1:43" ht="75">
      <c r="A99" s="614" t="s">
        <v>1630</v>
      </c>
      <c r="B99" s="615" t="s">
        <v>1631</v>
      </c>
      <c r="C99" s="623">
        <f t="shared" si="112"/>
        <v>17</v>
      </c>
      <c r="D99" s="616" t="s">
        <v>52</v>
      </c>
      <c r="E99" s="617" t="s">
        <v>1632</v>
      </c>
      <c r="F99" s="627" t="s">
        <v>1629</v>
      </c>
      <c r="G99" s="619"/>
      <c r="H99" s="619"/>
      <c r="I99" s="565"/>
      <c r="J99" s="548"/>
      <c r="K99" s="548"/>
      <c r="L99" s="551">
        <v>1</v>
      </c>
      <c r="M99" s="549"/>
      <c r="N99" s="549"/>
      <c r="O99" s="549">
        <v>2265</v>
      </c>
      <c r="P99" s="548"/>
      <c r="Q99" s="551">
        <v>2</v>
      </c>
      <c r="R99" s="551">
        <v>2</v>
      </c>
      <c r="S99" s="544"/>
      <c r="T99" s="544">
        <f>2265*2</f>
        <v>4530</v>
      </c>
      <c r="U99" s="544">
        <f>2265*2</f>
        <v>4530</v>
      </c>
      <c r="V99" s="551">
        <v>2</v>
      </c>
      <c r="W99" s="551">
        <v>2</v>
      </c>
      <c r="X99" s="551">
        <v>1</v>
      </c>
      <c r="Y99" s="544">
        <f t="shared" ref="Y99:Z99" si="118">2265*2</f>
        <v>4530</v>
      </c>
      <c r="Z99" s="544">
        <f t="shared" si="118"/>
        <v>4530</v>
      </c>
      <c r="AA99" s="544">
        <v>2265</v>
      </c>
      <c r="AB99" s="551">
        <v>3</v>
      </c>
      <c r="AC99" s="551">
        <v>2</v>
      </c>
      <c r="AD99" s="551">
        <v>2</v>
      </c>
      <c r="AE99" s="544">
        <f>2265*3</f>
        <v>6795</v>
      </c>
      <c r="AF99" s="544">
        <f t="shared" ref="AF99" si="119">2265*2</f>
        <v>4530</v>
      </c>
      <c r="AG99" s="544">
        <f>2265*2+19</f>
        <v>4549</v>
      </c>
      <c r="AH99" s="26">
        <f t="shared" si="106"/>
        <v>38524</v>
      </c>
      <c r="AI99" s="545"/>
      <c r="AJ99" s="545"/>
      <c r="AK99" s="545">
        <f>+AH99</f>
        <v>38524</v>
      </c>
      <c r="AL99" s="620"/>
      <c r="AM99" s="620"/>
      <c r="AN99" s="620"/>
      <c r="AO99" s="538" t="s">
        <v>1409</v>
      </c>
      <c r="AP99" s="538" t="s">
        <v>1510</v>
      </c>
      <c r="AQ99" s="621"/>
    </row>
    <row r="100" spans="1:43" ht="135">
      <c r="A100" s="614" t="s">
        <v>1633</v>
      </c>
      <c r="B100" s="615" t="s">
        <v>1634</v>
      </c>
      <c r="C100" s="623">
        <f t="shared" si="112"/>
        <v>9</v>
      </c>
      <c r="D100" s="616" t="s">
        <v>55</v>
      </c>
      <c r="E100" s="627" t="s">
        <v>1635</v>
      </c>
      <c r="F100" s="627" t="s">
        <v>1636</v>
      </c>
      <c r="G100" s="619"/>
      <c r="H100" s="619"/>
      <c r="I100" s="565"/>
      <c r="J100" s="548"/>
      <c r="K100" s="548"/>
      <c r="L100" s="548"/>
      <c r="M100" s="549"/>
      <c r="N100" s="549"/>
      <c r="O100" s="549"/>
      <c r="P100" s="548"/>
      <c r="Q100" s="548"/>
      <c r="R100" s="548"/>
      <c r="S100" s="549"/>
      <c r="T100" s="549"/>
      <c r="U100" s="549"/>
      <c r="V100" s="551">
        <v>4</v>
      </c>
      <c r="W100" s="548"/>
      <c r="X100" s="551">
        <v>1</v>
      </c>
      <c r="Y100" s="26">
        <v>25000</v>
      </c>
      <c r="Z100" s="544"/>
      <c r="AA100" s="26">
        <v>7175</v>
      </c>
      <c r="AB100" s="551">
        <v>1</v>
      </c>
      <c r="AC100" s="551">
        <v>1</v>
      </c>
      <c r="AD100" s="551">
        <v>2</v>
      </c>
      <c r="AE100" s="26">
        <v>7175</v>
      </c>
      <c r="AF100" s="26">
        <v>6835</v>
      </c>
      <c r="AG100" s="26">
        <v>13815</v>
      </c>
      <c r="AH100" s="26">
        <f t="shared" si="106"/>
        <v>60000</v>
      </c>
      <c r="AI100" s="545"/>
      <c r="AJ100" s="545"/>
      <c r="AK100" s="545">
        <f>+AH100</f>
        <v>60000</v>
      </c>
      <c r="AL100" s="620"/>
      <c r="AM100" s="620"/>
      <c r="AN100" s="620"/>
      <c r="AO100" s="538" t="s">
        <v>1409</v>
      </c>
      <c r="AP100" s="538" t="s">
        <v>1510</v>
      </c>
      <c r="AQ100" s="621"/>
    </row>
    <row r="101" spans="1:43" ht="135">
      <c r="A101" s="614" t="s">
        <v>1637</v>
      </c>
      <c r="B101" s="615" t="s">
        <v>1638</v>
      </c>
      <c r="C101" s="623">
        <f t="shared" si="112"/>
        <v>3</v>
      </c>
      <c r="D101" s="619" t="s">
        <v>55</v>
      </c>
      <c r="E101" s="617" t="s">
        <v>1639</v>
      </c>
      <c r="F101" s="627" t="s">
        <v>55</v>
      </c>
      <c r="G101" s="619"/>
      <c r="H101" s="619"/>
      <c r="I101" s="565"/>
      <c r="J101" s="548"/>
      <c r="K101" s="548"/>
      <c r="L101" s="548"/>
      <c r="M101" s="549"/>
      <c r="N101" s="549"/>
      <c r="O101" s="549"/>
      <c r="P101" s="548"/>
      <c r="Q101" s="548"/>
      <c r="R101" s="548"/>
      <c r="S101" s="549"/>
      <c r="T101" s="549"/>
      <c r="U101" s="549"/>
      <c r="V101" s="548"/>
      <c r="W101" s="548"/>
      <c r="X101" s="548"/>
      <c r="Y101" s="544"/>
      <c r="Z101" s="544"/>
      <c r="AA101" s="549"/>
      <c r="AB101" s="551">
        <v>1</v>
      </c>
      <c r="AC101" s="551">
        <v>2</v>
      </c>
      <c r="AD101" s="551"/>
      <c r="AE101" s="549">
        <v>15000</v>
      </c>
      <c r="AF101" s="549">
        <f>15000+6000</f>
        <v>21000</v>
      </c>
      <c r="AG101" s="549"/>
      <c r="AH101" s="26">
        <f t="shared" si="106"/>
        <v>36000</v>
      </c>
      <c r="AI101" s="545"/>
      <c r="AJ101" s="545"/>
      <c r="AK101" s="545">
        <f>+AH101</f>
        <v>36000</v>
      </c>
      <c r="AL101" s="620"/>
      <c r="AM101" s="620"/>
      <c r="AN101" s="620"/>
      <c r="AO101" s="538" t="s">
        <v>1409</v>
      </c>
      <c r="AP101" s="538" t="s">
        <v>1510</v>
      </c>
      <c r="AQ101" s="621"/>
    </row>
    <row r="102" spans="1:43" ht="45">
      <c r="A102" s="537" t="s">
        <v>1640</v>
      </c>
      <c r="B102" s="615" t="s">
        <v>1641</v>
      </c>
      <c r="C102" s="623">
        <f t="shared" si="112"/>
        <v>1</v>
      </c>
      <c r="D102" s="619" t="s">
        <v>1642</v>
      </c>
      <c r="E102" s="617" t="s">
        <v>1643</v>
      </c>
      <c r="F102" s="627" t="s">
        <v>1642</v>
      </c>
      <c r="G102" s="619"/>
      <c r="H102" s="619"/>
      <c r="I102" s="565"/>
      <c r="J102" s="548"/>
      <c r="K102" s="548"/>
      <c r="L102" s="548"/>
      <c r="M102" s="549"/>
      <c r="N102" s="549"/>
      <c r="O102" s="549"/>
      <c r="P102" s="548"/>
      <c r="Q102" s="548"/>
      <c r="R102" s="548"/>
      <c r="S102" s="549"/>
      <c r="T102" s="549"/>
      <c r="U102" s="549"/>
      <c r="V102" s="548"/>
      <c r="W102" s="551">
        <v>1</v>
      </c>
      <c r="X102" s="548"/>
      <c r="Y102" s="549"/>
      <c r="Z102" s="549">
        <v>22000</v>
      </c>
      <c r="AA102" s="549"/>
      <c r="AB102" s="548"/>
      <c r="AC102" s="548"/>
      <c r="AD102" s="548"/>
      <c r="AE102" s="544"/>
      <c r="AF102" s="549"/>
      <c r="AG102" s="549"/>
      <c r="AH102" s="26">
        <f t="shared" si="106"/>
        <v>22000</v>
      </c>
      <c r="AI102" s="545"/>
      <c r="AJ102" s="545"/>
      <c r="AK102" s="545">
        <f>+AH102</f>
        <v>22000</v>
      </c>
      <c r="AL102" s="620"/>
      <c r="AM102" s="620"/>
      <c r="AN102" s="620"/>
      <c r="AO102" s="538" t="s">
        <v>1409</v>
      </c>
      <c r="AP102" s="538" t="s">
        <v>1510</v>
      </c>
      <c r="AQ102" s="621"/>
    </row>
    <row r="103" spans="1:43" ht="75">
      <c r="A103" s="537" t="s">
        <v>1644</v>
      </c>
      <c r="B103" s="615" t="s">
        <v>1645</v>
      </c>
      <c r="C103" s="623">
        <f t="shared" si="112"/>
        <v>6</v>
      </c>
      <c r="D103" s="616" t="s">
        <v>52</v>
      </c>
      <c r="E103" s="617" t="s">
        <v>1646</v>
      </c>
      <c r="F103" s="618" t="s">
        <v>361</v>
      </c>
      <c r="G103" s="619"/>
      <c r="H103" s="619"/>
      <c r="I103" s="565"/>
      <c r="J103" s="548"/>
      <c r="K103" s="548"/>
      <c r="L103" s="548"/>
      <c r="M103" s="549"/>
      <c r="N103" s="549"/>
      <c r="O103" s="549"/>
      <c r="P103" s="548"/>
      <c r="Q103" s="548"/>
      <c r="R103" s="551"/>
      <c r="S103" s="549"/>
      <c r="T103" s="549"/>
      <c r="U103" s="544"/>
      <c r="V103" s="551">
        <v>1</v>
      </c>
      <c r="W103" s="551">
        <v>1</v>
      </c>
      <c r="X103" s="551">
        <v>1</v>
      </c>
      <c r="Y103" s="544">
        <v>25000</v>
      </c>
      <c r="Z103" s="544">
        <v>25000</v>
      </c>
      <c r="AA103" s="544">
        <v>25000</v>
      </c>
      <c r="AB103" s="551">
        <v>1</v>
      </c>
      <c r="AC103" s="551">
        <v>1</v>
      </c>
      <c r="AD103" s="551">
        <v>1</v>
      </c>
      <c r="AE103" s="544">
        <v>25000</v>
      </c>
      <c r="AF103" s="544">
        <v>25000</v>
      </c>
      <c r="AG103" s="544">
        <v>25000</v>
      </c>
      <c r="AH103" s="26">
        <f t="shared" si="106"/>
        <v>150000</v>
      </c>
      <c r="AI103" s="545"/>
      <c r="AJ103" s="545"/>
      <c r="AK103" s="545">
        <f>+AH103</f>
        <v>150000</v>
      </c>
      <c r="AL103" s="620"/>
      <c r="AM103" s="620"/>
      <c r="AN103" s="620"/>
      <c r="AO103" s="538" t="s">
        <v>1409</v>
      </c>
      <c r="AP103" s="538" t="s">
        <v>1510</v>
      </c>
      <c r="AQ103" s="621"/>
    </row>
    <row r="104" spans="1:43" ht="45">
      <c r="A104" s="537" t="s">
        <v>1647</v>
      </c>
      <c r="B104" s="622" t="s">
        <v>1648</v>
      </c>
      <c r="C104" s="623">
        <f t="shared" si="112"/>
        <v>1</v>
      </c>
      <c r="D104" s="624" t="s">
        <v>1649</v>
      </c>
      <c r="E104" s="625" t="s">
        <v>1650</v>
      </c>
      <c r="F104" s="626" t="s">
        <v>1651</v>
      </c>
      <c r="G104" s="565"/>
      <c r="H104" s="565"/>
      <c r="I104" s="565"/>
      <c r="J104" s="543"/>
      <c r="K104" s="543"/>
      <c r="L104" s="543"/>
      <c r="M104" s="544"/>
      <c r="N104" s="544"/>
      <c r="O104" s="544"/>
      <c r="P104" s="543"/>
      <c r="Q104" s="543"/>
      <c r="R104" s="551">
        <v>1</v>
      </c>
      <c r="S104" s="544"/>
      <c r="T104" s="544"/>
      <c r="U104" s="544">
        <v>5000</v>
      </c>
      <c r="V104" s="543"/>
      <c r="W104" s="543"/>
      <c r="X104" s="543"/>
      <c r="Y104" s="544"/>
      <c r="Z104" s="544"/>
      <c r="AA104" s="544"/>
      <c r="AB104" s="543"/>
      <c r="AC104" s="543"/>
      <c r="AD104" s="543"/>
      <c r="AE104" s="544"/>
      <c r="AF104" s="544"/>
      <c r="AG104" s="544"/>
      <c r="AH104" s="26">
        <f t="shared" si="106"/>
        <v>5000</v>
      </c>
      <c r="AI104" s="545"/>
      <c r="AJ104" s="545">
        <f>+AH104</f>
        <v>5000</v>
      </c>
      <c r="AK104" s="545"/>
      <c r="AL104" s="620"/>
      <c r="AM104" s="620"/>
      <c r="AN104" s="620"/>
      <c r="AO104" s="538" t="s">
        <v>1409</v>
      </c>
      <c r="AP104" s="538" t="s">
        <v>1510</v>
      </c>
      <c r="AQ104" s="621"/>
    </row>
    <row r="105" spans="1:43" ht="45">
      <c r="A105" s="537" t="s">
        <v>1652</v>
      </c>
      <c r="B105" s="622" t="s">
        <v>1653</v>
      </c>
      <c r="C105" s="623">
        <f t="shared" si="112"/>
        <v>10</v>
      </c>
      <c r="D105" s="624" t="s">
        <v>1617</v>
      </c>
      <c r="E105" s="625" t="s">
        <v>1654</v>
      </c>
      <c r="F105" s="626" t="s">
        <v>1629</v>
      </c>
      <c r="G105" s="565"/>
      <c r="H105" s="565"/>
      <c r="I105" s="565"/>
      <c r="J105" s="543"/>
      <c r="K105" s="543"/>
      <c r="L105" s="551">
        <v>5</v>
      </c>
      <c r="M105" s="544"/>
      <c r="N105" s="544"/>
      <c r="O105" s="544">
        <v>200</v>
      </c>
      <c r="P105" s="543"/>
      <c r="Q105" s="551">
        <v>5</v>
      </c>
      <c r="R105" s="543"/>
      <c r="S105" s="544"/>
      <c r="T105" s="544">
        <v>300</v>
      </c>
      <c r="U105" s="544"/>
      <c r="V105" s="543"/>
      <c r="W105" s="543"/>
      <c r="X105" s="543"/>
      <c r="Y105" s="544"/>
      <c r="Z105" s="544"/>
      <c r="AA105" s="544"/>
      <c r="AB105" s="543"/>
      <c r="AC105" s="543"/>
      <c r="AD105" s="543"/>
      <c r="AE105" s="544"/>
      <c r="AF105" s="544"/>
      <c r="AG105" s="544"/>
      <c r="AH105" s="26">
        <f t="shared" si="106"/>
        <v>500</v>
      </c>
      <c r="AI105" s="545"/>
      <c r="AJ105" s="545">
        <f>+AH105</f>
        <v>500</v>
      </c>
      <c r="AK105" s="545"/>
      <c r="AL105" s="620"/>
      <c r="AM105" s="620"/>
      <c r="AN105" s="620"/>
      <c r="AO105" s="538" t="s">
        <v>1409</v>
      </c>
      <c r="AP105" s="538" t="s">
        <v>1510</v>
      </c>
      <c r="AQ105" s="621"/>
    </row>
    <row r="106" spans="1:43" ht="45">
      <c r="A106" s="537" t="s">
        <v>1655</v>
      </c>
      <c r="B106" s="615" t="s">
        <v>1656</v>
      </c>
      <c r="C106" s="623">
        <f t="shared" si="112"/>
        <v>1</v>
      </c>
      <c r="D106" s="616" t="s">
        <v>944</v>
      </c>
      <c r="E106" s="627" t="s">
        <v>1657</v>
      </c>
      <c r="F106" s="627" t="s">
        <v>1545</v>
      </c>
      <c r="G106" s="619"/>
      <c r="H106" s="619"/>
      <c r="I106" s="565"/>
      <c r="J106" s="543"/>
      <c r="K106" s="543"/>
      <c r="L106" s="543"/>
      <c r="M106" s="544"/>
      <c r="N106" s="544"/>
      <c r="O106" s="544"/>
      <c r="P106" s="543"/>
      <c r="Q106" s="543"/>
      <c r="R106" s="543"/>
      <c r="S106" s="544"/>
      <c r="T106" s="544"/>
      <c r="U106" s="544"/>
      <c r="V106" s="543"/>
      <c r="W106" s="543"/>
      <c r="X106" s="543"/>
      <c r="Y106" s="544"/>
      <c r="Z106" s="544"/>
      <c r="AA106" s="544"/>
      <c r="AB106" s="543"/>
      <c r="AC106" s="543"/>
      <c r="AD106" s="551">
        <v>1</v>
      </c>
      <c r="AE106" s="544"/>
      <c r="AF106" s="544"/>
      <c r="AG106" s="26">
        <v>5000</v>
      </c>
      <c r="AH106" s="26">
        <f t="shared" si="106"/>
        <v>5000</v>
      </c>
      <c r="AI106" s="545"/>
      <c r="AJ106" s="545">
        <f>+AH106</f>
        <v>5000</v>
      </c>
      <c r="AK106" s="545"/>
      <c r="AL106" s="620"/>
      <c r="AM106" s="620"/>
      <c r="AN106" s="620"/>
      <c r="AO106" s="538" t="s">
        <v>1409</v>
      </c>
      <c r="AP106" s="538" t="s">
        <v>1510</v>
      </c>
      <c r="AQ106" s="621"/>
    </row>
    <row r="107" spans="1:43" ht="105">
      <c r="A107" s="537" t="s">
        <v>1658</v>
      </c>
      <c r="B107" s="631" t="s">
        <v>1659</v>
      </c>
      <c r="C107" s="623">
        <f>+J107+K107+L107+P107+Q107+R107+V107+W107+X107+AB107+AC107+AD107</f>
        <v>2</v>
      </c>
      <c r="D107" s="624" t="s">
        <v>1660</v>
      </c>
      <c r="E107" s="625" t="s">
        <v>1659</v>
      </c>
      <c r="F107" s="631" t="s">
        <v>1661</v>
      </c>
      <c r="G107" s="565"/>
      <c r="H107" s="565"/>
      <c r="I107" s="565"/>
      <c r="J107" s="543"/>
      <c r="K107" s="543"/>
      <c r="L107" s="543"/>
      <c r="M107" s="544"/>
      <c r="N107" s="544"/>
      <c r="O107" s="544"/>
      <c r="P107" s="543"/>
      <c r="Q107" s="543"/>
      <c r="R107" s="543"/>
      <c r="S107" s="544"/>
      <c r="T107" s="544"/>
      <c r="U107" s="544"/>
      <c r="V107" s="543"/>
      <c r="W107" s="543"/>
      <c r="X107" s="543"/>
      <c r="Y107" s="544"/>
      <c r="Z107" s="544"/>
      <c r="AA107" s="544"/>
      <c r="AB107" s="543">
        <v>1</v>
      </c>
      <c r="AC107" s="543">
        <v>1</v>
      </c>
      <c r="AD107" s="543"/>
      <c r="AE107" s="544">
        <v>45000</v>
      </c>
      <c r="AF107" s="544">
        <v>40000</v>
      </c>
      <c r="AG107" s="544"/>
      <c r="AH107" s="26">
        <f t="shared" si="106"/>
        <v>85000</v>
      </c>
      <c r="AI107" s="545"/>
      <c r="AJ107" s="545">
        <f>+AH107</f>
        <v>85000</v>
      </c>
      <c r="AK107" s="545"/>
      <c r="AL107" s="620"/>
      <c r="AM107" s="620"/>
      <c r="AN107" s="620"/>
      <c r="AO107" s="538" t="s">
        <v>1409</v>
      </c>
      <c r="AP107" s="538" t="s">
        <v>1510</v>
      </c>
      <c r="AQ107" s="621"/>
    </row>
    <row r="108" spans="1:43" ht="75">
      <c r="A108" s="537" t="s">
        <v>1662</v>
      </c>
      <c r="B108" s="633" t="s">
        <v>1663</v>
      </c>
      <c r="C108" s="623">
        <f t="shared" ref="C108:C112" si="120">SUM(J108,K108,L108,P108,Q108,R108,V108,W108,X108,AB108,AC108,AD108)</f>
        <v>1</v>
      </c>
      <c r="D108" s="619" t="s">
        <v>55</v>
      </c>
      <c r="E108" s="634" t="s">
        <v>1664</v>
      </c>
      <c r="F108" s="626" t="s">
        <v>1665</v>
      </c>
      <c r="G108" s="635"/>
      <c r="H108" s="635"/>
      <c r="I108" s="635"/>
      <c r="J108" s="543"/>
      <c r="K108" s="543"/>
      <c r="L108" s="543"/>
      <c r="M108" s="544"/>
      <c r="N108" s="544"/>
      <c r="O108" s="544"/>
      <c r="P108" s="543"/>
      <c r="Q108" s="543"/>
      <c r="R108" s="543"/>
      <c r="S108" s="544"/>
      <c r="T108" s="544"/>
      <c r="U108" s="544"/>
      <c r="V108" s="543"/>
      <c r="W108" s="543"/>
      <c r="X108" s="543"/>
      <c r="Y108" s="544"/>
      <c r="Z108" s="544"/>
      <c r="AA108" s="544"/>
      <c r="AB108" s="543"/>
      <c r="AC108" s="543"/>
      <c r="AD108" s="551">
        <v>1</v>
      </c>
      <c r="AE108" s="544"/>
      <c r="AF108" s="544"/>
      <c r="AG108" s="26">
        <v>33950</v>
      </c>
      <c r="AH108" s="26">
        <f t="shared" si="106"/>
        <v>33950</v>
      </c>
      <c r="AI108" s="545"/>
      <c r="AJ108" s="545"/>
      <c r="AK108" s="545">
        <f>+AH108</f>
        <v>33950</v>
      </c>
      <c r="AL108" s="620"/>
      <c r="AM108" s="620"/>
      <c r="AN108" s="620"/>
      <c r="AO108" s="538" t="s">
        <v>1409</v>
      </c>
      <c r="AP108" s="538" t="s">
        <v>1510</v>
      </c>
      <c r="AQ108" s="621"/>
    </row>
    <row r="109" spans="1:43" ht="105">
      <c r="A109" s="537" t="s">
        <v>1666</v>
      </c>
      <c r="B109" s="636" t="s">
        <v>1667</v>
      </c>
      <c r="C109" s="623">
        <f t="shared" si="120"/>
        <v>55</v>
      </c>
      <c r="D109" s="565" t="s">
        <v>1668</v>
      </c>
      <c r="E109" s="634" t="s">
        <v>1669</v>
      </c>
      <c r="F109" s="626" t="s">
        <v>1670</v>
      </c>
      <c r="G109" s="635"/>
      <c r="H109" s="635"/>
      <c r="I109" s="635"/>
      <c r="J109" s="543"/>
      <c r="K109" s="543"/>
      <c r="L109" s="543"/>
      <c r="M109" s="544"/>
      <c r="N109" s="544"/>
      <c r="O109" s="544"/>
      <c r="P109" s="551">
        <v>35</v>
      </c>
      <c r="Q109" s="551">
        <v>3</v>
      </c>
      <c r="R109" s="551">
        <v>3</v>
      </c>
      <c r="S109" s="544">
        <v>3500</v>
      </c>
      <c r="T109" s="544">
        <v>300</v>
      </c>
      <c r="U109" s="544">
        <f>300+900</f>
        <v>1200</v>
      </c>
      <c r="V109" s="551">
        <v>4</v>
      </c>
      <c r="W109" s="551">
        <v>3</v>
      </c>
      <c r="X109" s="551">
        <v>3</v>
      </c>
      <c r="Y109" s="544">
        <f>400+1200</f>
        <v>1600</v>
      </c>
      <c r="Z109" s="544">
        <f>300+900</f>
        <v>1200</v>
      </c>
      <c r="AA109" s="544">
        <f>300+900</f>
        <v>1200</v>
      </c>
      <c r="AB109" s="551">
        <v>4</v>
      </c>
      <c r="AC109" s="551"/>
      <c r="AD109" s="551"/>
      <c r="AE109" s="544">
        <f>400+2100+90</f>
        <v>2590</v>
      </c>
      <c r="AF109" s="544"/>
      <c r="AG109" s="26"/>
      <c r="AH109" s="26">
        <f t="shared" si="106"/>
        <v>11590</v>
      </c>
      <c r="AI109" s="545"/>
      <c r="AJ109" s="545"/>
      <c r="AK109" s="545">
        <f>+AH109</f>
        <v>11590</v>
      </c>
      <c r="AL109" s="620"/>
      <c r="AM109" s="620"/>
      <c r="AN109" s="620"/>
      <c r="AO109" s="538" t="s">
        <v>1409</v>
      </c>
      <c r="AP109" s="538" t="s">
        <v>1510</v>
      </c>
      <c r="AQ109" s="621"/>
    </row>
    <row r="110" spans="1:43" ht="105">
      <c r="A110" s="537" t="s">
        <v>1671</v>
      </c>
      <c r="B110" s="636" t="s">
        <v>1672</v>
      </c>
      <c r="C110" s="623">
        <f t="shared" si="120"/>
        <v>1</v>
      </c>
      <c r="D110" s="565" t="s">
        <v>1673</v>
      </c>
      <c r="E110" s="634" t="s">
        <v>1674</v>
      </c>
      <c r="F110" s="636" t="s">
        <v>1675</v>
      </c>
      <c r="G110" s="635"/>
      <c r="H110" s="635"/>
      <c r="I110" s="635"/>
      <c r="J110" s="543"/>
      <c r="K110" s="543"/>
      <c r="L110" s="543"/>
      <c r="M110" s="544"/>
      <c r="N110" s="544"/>
      <c r="O110" s="544"/>
      <c r="P110" s="543"/>
      <c r="Q110" s="543"/>
      <c r="R110" s="543"/>
      <c r="S110" s="544"/>
      <c r="T110" s="544"/>
      <c r="U110" s="544"/>
      <c r="V110" s="543"/>
      <c r="W110" s="543"/>
      <c r="X110" s="551">
        <v>1</v>
      </c>
      <c r="Y110" s="544"/>
      <c r="Z110" s="544"/>
      <c r="AA110" s="544">
        <v>16985</v>
      </c>
      <c r="AB110" s="543"/>
      <c r="AC110" s="543"/>
      <c r="AD110" s="551"/>
      <c r="AE110" s="544"/>
      <c r="AF110" s="544"/>
      <c r="AG110" s="26"/>
      <c r="AH110" s="26">
        <f t="shared" si="106"/>
        <v>16985</v>
      </c>
      <c r="AI110" s="545"/>
      <c r="AJ110" s="545"/>
      <c r="AK110" s="545">
        <f>+AH110</f>
        <v>16985</v>
      </c>
      <c r="AL110" s="620"/>
      <c r="AM110" s="620"/>
      <c r="AN110" s="620"/>
      <c r="AO110" s="538" t="s">
        <v>1409</v>
      </c>
      <c r="AP110" s="538" t="s">
        <v>1510</v>
      </c>
      <c r="AQ110" s="621"/>
    </row>
    <row r="111" spans="1:43" ht="60">
      <c r="A111" s="537" t="s">
        <v>1676</v>
      </c>
      <c r="B111" s="636" t="s">
        <v>1677</v>
      </c>
      <c r="C111" s="623">
        <f t="shared" si="120"/>
        <v>1</v>
      </c>
      <c r="D111" s="565" t="s">
        <v>1277</v>
      </c>
      <c r="E111" s="634" t="s">
        <v>1678</v>
      </c>
      <c r="F111" s="636" t="s">
        <v>1679</v>
      </c>
      <c r="G111" s="635"/>
      <c r="H111" s="635"/>
      <c r="I111" s="635"/>
      <c r="J111" s="543"/>
      <c r="K111" s="543"/>
      <c r="L111" s="543"/>
      <c r="M111" s="544"/>
      <c r="N111" s="544"/>
      <c r="O111" s="544"/>
      <c r="P111" s="543"/>
      <c r="Q111" s="543"/>
      <c r="R111" s="543"/>
      <c r="S111" s="544"/>
      <c r="T111" s="544"/>
      <c r="U111" s="544"/>
      <c r="V111" s="551">
        <v>1</v>
      </c>
      <c r="W111" s="543"/>
      <c r="X111" s="543"/>
      <c r="Y111" s="26">
        <v>37196</v>
      </c>
      <c r="Z111" s="544"/>
      <c r="AA111" s="544"/>
      <c r="AB111" s="543"/>
      <c r="AC111" s="543"/>
      <c r="AD111" s="551"/>
      <c r="AE111" s="544"/>
      <c r="AF111" s="544"/>
      <c r="AG111" s="26"/>
      <c r="AH111" s="26">
        <f t="shared" si="106"/>
        <v>37196</v>
      </c>
      <c r="AI111" s="545"/>
      <c r="AJ111" s="545">
        <f>+AH111</f>
        <v>37196</v>
      </c>
      <c r="AK111" s="545"/>
      <c r="AL111" s="620"/>
      <c r="AM111" s="620"/>
      <c r="AN111" s="620"/>
      <c r="AO111" s="538" t="s">
        <v>1409</v>
      </c>
      <c r="AP111" s="538" t="s">
        <v>1510</v>
      </c>
      <c r="AQ111" s="621"/>
    </row>
    <row r="112" spans="1:43" ht="75">
      <c r="A112" s="537" t="s">
        <v>1680</v>
      </c>
      <c r="B112" s="636" t="s">
        <v>1681</v>
      </c>
      <c r="C112" s="623">
        <f t="shared" si="120"/>
        <v>4</v>
      </c>
      <c r="D112" s="565" t="s">
        <v>52</v>
      </c>
      <c r="E112" s="634" t="s">
        <v>1682</v>
      </c>
      <c r="F112" s="636" t="s">
        <v>1683</v>
      </c>
      <c r="G112" s="635"/>
      <c r="H112" s="635"/>
      <c r="I112" s="635"/>
      <c r="J112" s="543"/>
      <c r="K112" s="543"/>
      <c r="L112" s="543"/>
      <c r="M112" s="544"/>
      <c r="N112" s="544"/>
      <c r="O112" s="544"/>
      <c r="P112" s="543"/>
      <c r="Q112" s="543"/>
      <c r="R112" s="543"/>
      <c r="S112" s="544"/>
      <c r="T112" s="544"/>
      <c r="U112" s="544"/>
      <c r="V112" s="543"/>
      <c r="W112" s="543"/>
      <c r="X112" s="551">
        <v>1</v>
      </c>
      <c r="Y112" s="544"/>
      <c r="Z112" s="544"/>
      <c r="AA112" s="544">
        <v>2500</v>
      </c>
      <c r="AB112" s="551">
        <v>1</v>
      </c>
      <c r="AC112" s="551">
        <v>1</v>
      </c>
      <c r="AD112" s="551">
        <v>1</v>
      </c>
      <c r="AE112" s="544">
        <v>2500</v>
      </c>
      <c r="AF112" s="544">
        <v>2500</v>
      </c>
      <c r="AG112" s="544">
        <v>2500</v>
      </c>
      <c r="AH112" s="26">
        <f t="shared" si="106"/>
        <v>10000</v>
      </c>
      <c r="AI112" s="545"/>
      <c r="AJ112" s="545">
        <f>+AH112</f>
        <v>10000</v>
      </c>
      <c r="AK112" s="545"/>
      <c r="AL112" s="620"/>
      <c r="AM112" s="620"/>
      <c r="AN112" s="620"/>
      <c r="AO112" s="538" t="s">
        <v>1409</v>
      </c>
      <c r="AP112" s="538" t="s">
        <v>1510</v>
      </c>
      <c r="AQ112" s="621"/>
    </row>
    <row r="113" spans="1:43" ht="45">
      <c r="A113" s="637" t="s">
        <v>1684</v>
      </c>
      <c r="B113" s="14" t="s">
        <v>1685</v>
      </c>
      <c r="C113" s="638"/>
      <c r="D113" s="14"/>
      <c r="E113" s="14"/>
      <c r="F113" s="639"/>
      <c r="G113" s="16"/>
      <c r="H113" s="640"/>
      <c r="I113" s="16"/>
      <c r="J113" s="15"/>
      <c r="K113" s="15"/>
      <c r="L113" s="15"/>
      <c r="M113" s="17"/>
      <c r="N113" s="17"/>
      <c r="O113" s="17">
        <f>SUM(O114)</f>
        <v>12500</v>
      </c>
      <c r="P113" s="15"/>
      <c r="Q113" s="15"/>
      <c r="R113" s="15"/>
      <c r="S113" s="17"/>
      <c r="T113" s="17"/>
      <c r="U113" s="17">
        <f>SUM(U114)</f>
        <v>12500</v>
      </c>
      <c r="V113" s="15"/>
      <c r="W113" s="15"/>
      <c r="X113" s="15"/>
      <c r="Y113" s="17"/>
      <c r="Z113" s="17"/>
      <c r="AA113" s="17">
        <f>SUM(AA114)</f>
        <v>12500</v>
      </c>
      <c r="AB113" s="15"/>
      <c r="AC113" s="15"/>
      <c r="AD113" s="15"/>
      <c r="AE113" s="17"/>
      <c r="AF113" s="17"/>
      <c r="AG113" s="17">
        <f t="shared" ref="AG113:AI114" si="121">SUM(AG114)</f>
        <v>12500</v>
      </c>
      <c r="AH113" s="17">
        <f t="shared" si="121"/>
        <v>50000</v>
      </c>
      <c r="AI113" s="17">
        <f t="shared" si="121"/>
        <v>50000</v>
      </c>
      <c r="AJ113" s="17"/>
      <c r="AK113" s="17"/>
      <c r="AL113" s="17"/>
      <c r="AM113" s="17"/>
      <c r="AN113" s="17"/>
      <c r="AO113" s="639"/>
      <c r="AP113" s="639"/>
      <c r="AQ113" s="639"/>
    </row>
    <row r="114" spans="1:43" ht="45">
      <c r="A114" s="641" t="s">
        <v>1686</v>
      </c>
      <c r="B114" s="18" t="s">
        <v>1687</v>
      </c>
      <c r="C114" s="642"/>
      <c r="D114" s="18"/>
      <c r="E114" s="18"/>
      <c r="F114" s="643"/>
      <c r="G114" s="20"/>
      <c r="H114" s="20"/>
      <c r="I114" s="20"/>
      <c r="J114" s="19"/>
      <c r="K114" s="19"/>
      <c r="L114" s="19"/>
      <c r="M114" s="21"/>
      <c r="N114" s="21"/>
      <c r="O114" s="562">
        <f>SUM(O115)</f>
        <v>12500</v>
      </c>
      <c r="P114" s="19"/>
      <c r="Q114" s="19"/>
      <c r="R114" s="19"/>
      <c r="S114" s="21"/>
      <c r="T114" s="21"/>
      <c r="U114" s="562">
        <f>SUM(U115)</f>
        <v>12500</v>
      </c>
      <c r="V114" s="19"/>
      <c r="W114" s="19"/>
      <c r="X114" s="19"/>
      <c r="Y114" s="21"/>
      <c r="Z114" s="21"/>
      <c r="AA114" s="562">
        <f>SUM(AA115)</f>
        <v>12500</v>
      </c>
      <c r="AB114" s="19"/>
      <c r="AC114" s="19"/>
      <c r="AD114" s="19"/>
      <c r="AE114" s="21"/>
      <c r="AF114" s="21"/>
      <c r="AG114" s="562">
        <f t="shared" si="121"/>
        <v>12500</v>
      </c>
      <c r="AH114" s="562">
        <f t="shared" si="121"/>
        <v>50000</v>
      </c>
      <c r="AI114" s="562">
        <f t="shared" si="121"/>
        <v>50000</v>
      </c>
      <c r="AJ114" s="21"/>
      <c r="AK114" s="21"/>
      <c r="AL114" s="21"/>
      <c r="AM114" s="21"/>
      <c r="AN114" s="21"/>
      <c r="AO114" s="643"/>
      <c r="AP114" s="643"/>
      <c r="AQ114" s="643"/>
    </row>
    <row r="115" spans="1:43" ht="45">
      <c r="A115" s="644" t="s">
        <v>1688</v>
      </c>
      <c r="B115" s="22" t="s">
        <v>1588</v>
      </c>
      <c r="C115" s="623">
        <v>4</v>
      </c>
      <c r="D115" s="22" t="s">
        <v>52</v>
      </c>
      <c r="E115" s="645" t="s">
        <v>1589</v>
      </c>
      <c r="F115" s="646" t="s">
        <v>52</v>
      </c>
      <c r="G115" s="24"/>
      <c r="H115" s="24"/>
      <c r="I115" s="565"/>
      <c r="J115" s="647"/>
      <c r="K115" s="647"/>
      <c r="L115" s="647">
        <v>1</v>
      </c>
      <c r="M115" s="648"/>
      <c r="N115" s="648"/>
      <c r="O115" s="648">
        <v>12500</v>
      </c>
      <c r="P115" s="647"/>
      <c r="Q115" s="647"/>
      <c r="R115" s="647">
        <v>1</v>
      </c>
      <c r="S115" s="648"/>
      <c r="T115" s="648"/>
      <c r="U115" s="648">
        <v>12500</v>
      </c>
      <c r="V115" s="647"/>
      <c r="W115" s="647"/>
      <c r="X115" s="647">
        <v>1</v>
      </c>
      <c r="Y115" s="648"/>
      <c r="Z115" s="648"/>
      <c r="AA115" s="649">
        <v>12500</v>
      </c>
      <c r="AB115" s="647"/>
      <c r="AC115" s="647"/>
      <c r="AD115" s="647">
        <v>1</v>
      </c>
      <c r="AE115" s="648"/>
      <c r="AF115" s="648"/>
      <c r="AG115" s="649">
        <v>12500</v>
      </c>
      <c r="AH115" s="648">
        <v>50000</v>
      </c>
      <c r="AI115" s="648">
        <v>50000</v>
      </c>
      <c r="AJ115" s="648"/>
      <c r="AK115" s="648"/>
      <c r="AL115" s="648"/>
      <c r="AM115" s="648"/>
      <c r="AN115" s="648"/>
      <c r="AO115" s="650" t="s">
        <v>1689</v>
      </c>
      <c r="AP115" s="650" t="s">
        <v>1404</v>
      </c>
      <c r="AQ115" s="650"/>
    </row>
    <row r="116" spans="1:43" ht="75">
      <c r="A116" s="603" t="s">
        <v>1690</v>
      </c>
      <c r="B116" s="14" t="s">
        <v>1691</v>
      </c>
      <c r="C116" s="638"/>
      <c r="D116" s="14"/>
      <c r="E116" s="14"/>
      <c r="F116" s="639"/>
      <c r="G116" s="16"/>
      <c r="H116" s="640"/>
      <c r="I116" s="16"/>
      <c r="J116" s="15"/>
      <c r="K116" s="15"/>
      <c r="L116" s="15"/>
      <c r="M116" s="17"/>
      <c r="N116" s="17"/>
      <c r="O116" s="17">
        <f>SUM(O117)</f>
        <v>10000</v>
      </c>
      <c r="P116" s="15"/>
      <c r="Q116" s="15"/>
      <c r="R116" s="15"/>
      <c r="S116" s="17"/>
      <c r="T116" s="17"/>
      <c r="U116" s="17">
        <f>SUM(U117)</f>
        <v>10000</v>
      </c>
      <c r="V116" s="15"/>
      <c r="W116" s="15"/>
      <c r="X116" s="15"/>
      <c r="Y116" s="17"/>
      <c r="Z116" s="17"/>
      <c r="AA116" s="17">
        <f>SUM(AA117)</f>
        <v>10000</v>
      </c>
      <c r="AB116" s="15"/>
      <c r="AC116" s="15"/>
      <c r="AD116" s="15"/>
      <c r="AE116" s="17"/>
      <c r="AF116" s="17"/>
      <c r="AG116" s="17">
        <f t="shared" ref="AG116:AI117" si="122">SUM(AG117)</f>
        <v>10000</v>
      </c>
      <c r="AH116" s="17">
        <f t="shared" si="122"/>
        <v>40000</v>
      </c>
      <c r="AI116" s="17">
        <f t="shared" si="122"/>
        <v>40000</v>
      </c>
      <c r="AJ116" s="17"/>
      <c r="AK116" s="17"/>
      <c r="AL116" s="17"/>
      <c r="AM116" s="17"/>
      <c r="AN116" s="17"/>
      <c r="AO116" s="639"/>
      <c r="AP116" s="639"/>
      <c r="AQ116" s="639"/>
    </row>
    <row r="117" spans="1:43" ht="45">
      <c r="A117" s="609" t="s">
        <v>1692</v>
      </c>
      <c r="B117" s="18" t="s">
        <v>1693</v>
      </c>
      <c r="C117" s="642"/>
      <c r="D117" s="18"/>
      <c r="E117" s="18"/>
      <c r="F117" s="643"/>
      <c r="G117" s="20"/>
      <c r="H117" s="20"/>
      <c r="I117" s="20"/>
      <c r="J117" s="19"/>
      <c r="K117" s="19"/>
      <c r="L117" s="19"/>
      <c r="M117" s="21"/>
      <c r="N117" s="21"/>
      <c r="O117" s="562">
        <f>SUM(O118)</f>
        <v>10000</v>
      </c>
      <c r="P117" s="19"/>
      <c r="Q117" s="19"/>
      <c r="R117" s="19"/>
      <c r="S117" s="21"/>
      <c r="T117" s="21"/>
      <c r="U117" s="562">
        <f>SUM(U118)</f>
        <v>10000</v>
      </c>
      <c r="V117" s="19"/>
      <c r="W117" s="19"/>
      <c r="X117" s="19"/>
      <c r="Y117" s="21"/>
      <c r="Z117" s="21"/>
      <c r="AA117" s="562">
        <f>SUM(AA118)</f>
        <v>10000</v>
      </c>
      <c r="AB117" s="19"/>
      <c r="AC117" s="19"/>
      <c r="AD117" s="19"/>
      <c r="AE117" s="21"/>
      <c r="AF117" s="21"/>
      <c r="AG117" s="562">
        <f t="shared" si="122"/>
        <v>10000</v>
      </c>
      <c r="AH117" s="562">
        <f t="shared" si="122"/>
        <v>40000</v>
      </c>
      <c r="AI117" s="562">
        <f t="shared" si="122"/>
        <v>40000</v>
      </c>
      <c r="AJ117" s="21"/>
      <c r="AK117" s="21"/>
      <c r="AL117" s="21"/>
      <c r="AM117" s="21"/>
      <c r="AN117" s="21"/>
      <c r="AO117" s="643"/>
      <c r="AP117" s="643"/>
      <c r="AQ117" s="643"/>
    </row>
    <row r="118" spans="1:43" ht="45">
      <c r="A118" s="537" t="s">
        <v>1694</v>
      </c>
      <c r="B118" s="22" t="s">
        <v>1588</v>
      </c>
      <c r="C118" s="623">
        <v>4</v>
      </c>
      <c r="D118" s="22" t="s">
        <v>52</v>
      </c>
      <c r="E118" s="645" t="s">
        <v>1589</v>
      </c>
      <c r="F118" s="646" t="s">
        <v>52</v>
      </c>
      <c r="G118" s="24"/>
      <c r="H118" s="24"/>
      <c r="I118" s="565"/>
      <c r="J118" s="647"/>
      <c r="K118" s="647"/>
      <c r="L118" s="647">
        <v>1</v>
      </c>
      <c r="M118" s="648"/>
      <c r="N118" s="648"/>
      <c r="O118" s="648">
        <v>10000</v>
      </c>
      <c r="P118" s="647"/>
      <c r="Q118" s="647"/>
      <c r="R118" s="647">
        <v>1</v>
      </c>
      <c r="S118" s="648"/>
      <c r="T118" s="648"/>
      <c r="U118" s="648">
        <v>10000</v>
      </c>
      <c r="V118" s="647"/>
      <c r="W118" s="647"/>
      <c r="X118" s="647">
        <v>1</v>
      </c>
      <c r="Y118" s="648"/>
      <c r="Z118" s="648"/>
      <c r="AA118" s="649">
        <v>10000</v>
      </c>
      <c r="AB118" s="647"/>
      <c r="AC118" s="647"/>
      <c r="AD118" s="647">
        <v>1</v>
      </c>
      <c r="AE118" s="648"/>
      <c r="AF118" s="648"/>
      <c r="AG118" s="649">
        <v>10000</v>
      </c>
      <c r="AH118" s="648">
        <f>SUM(M117+N117+O117+S117+T117+U117+Y118+Z118+AA118+AE118+AF118+AG118)</f>
        <v>40000</v>
      </c>
      <c r="AI118" s="649">
        <v>40000</v>
      </c>
      <c r="AJ118" s="648"/>
      <c r="AK118" s="648"/>
      <c r="AL118" s="648"/>
      <c r="AM118" s="648"/>
      <c r="AN118" s="648"/>
      <c r="AO118" s="650" t="s">
        <v>1695</v>
      </c>
      <c r="AP118" s="650" t="s">
        <v>1404</v>
      </c>
      <c r="AQ118" s="650"/>
    </row>
    <row r="119" spans="1:43" ht="15">
      <c r="A119" s="603" t="s">
        <v>1696</v>
      </c>
      <c r="B119" s="651" t="s">
        <v>1697</v>
      </c>
      <c r="C119" s="652"/>
      <c r="D119" s="651"/>
      <c r="E119" s="14"/>
      <c r="F119" s="639"/>
      <c r="G119" s="16"/>
      <c r="H119" s="640"/>
      <c r="I119" s="16"/>
      <c r="J119" s="15"/>
      <c r="K119" s="15"/>
      <c r="L119" s="15"/>
      <c r="M119" s="17">
        <f>SUM(M120,M122,M124,M126)</f>
        <v>20515</v>
      </c>
      <c r="N119" s="17">
        <f t="shared" ref="N119:O119" si="123">SUM(N120,N122,N124,N126)</f>
        <v>20515</v>
      </c>
      <c r="O119" s="17">
        <f t="shared" si="123"/>
        <v>20515</v>
      </c>
      <c r="P119" s="15"/>
      <c r="Q119" s="15"/>
      <c r="R119" s="15"/>
      <c r="S119" s="17">
        <f t="shared" ref="S119:U119" si="124">SUM(S120,S122,S124,S126)</f>
        <v>20515</v>
      </c>
      <c r="T119" s="17">
        <f t="shared" si="124"/>
        <v>20515</v>
      </c>
      <c r="U119" s="17">
        <f t="shared" si="124"/>
        <v>20515</v>
      </c>
      <c r="V119" s="15"/>
      <c r="W119" s="15"/>
      <c r="X119" s="15"/>
      <c r="Y119" s="17">
        <f t="shared" ref="Y119:AA119" si="125">SUM(Y120,Y122,Y124,Y126)</f>
        <v>20515</v>
      </c>
      <c r="Z119" s="17">
        <f t="shared" si="125"/>
        <v>20515</v>
      </c>
      <c r="AA119" s="17">
        <f t="shared" si="125"/>
        <v>20515</v>
      </c>
      <c r="AB119" s="15"/>
      <c r="AC119" s="15"/>
      <c r="AD119" s="15"/>
      <c r="AE119" s="17">
        <f t="shared" ref="AE119:AI119" si="126">SUM(AE120,AE122,AE124,AE126)</f>
        <v>20515</v>
      </c>
      <c r="AF119" s="17">
        <f t="shared" si="126"/>
        <v>20515</v>
      </c>
      <c r="AG119" s="17">
        <f t="shared" si="126"/>
        <v>20520</v>
      </c>
      <c r="AH119" s="17">
        <f t="shared" si="126"/>
        <v>246185</v>
      </c>
      <c r="AI119" s="17">
        <f t="shared" si="126"/>
        <v>246185</v>
      </c>
      <c r="AJ119" s="17"/>
      <c r="AK119" s="17"/>
      <c r="AL119" s="17"/>
      <c r="AM119" s="17"/>
      <c r="AN119" s="17"/>
      <c r="AO119" s="639"/>
      <c r="AP119" s="639"/>
      <c r="AQ119" s="639"/>
    </row>
    <row r="120" spans="1:43" ht="60">
      <c r="A120" s="609" t="s">
        <v>1698</v>
      </c>
      <c r="B120" s="18" t="s">
        <v>1699</v>
      </c>
      <c r="C120" s="642"/>
      <c r="D120" s="18"/>
      <c r="E120" s="18"/>
      <c r="F120" s="643"/>
      <c r="G120" s="20"/>
      <c r="H120" s="20"/>
      <c r="I120" s="20"/>
      <c r="J120" s="19"/>
      <c r="K120" s="19"/>
      <c r="L120" s="19"/>
      <c r="M120" s="562">
        <f t="shared" ref="M120:O120" si="127">SUM(M121)</f>
        <v>15615</v>
      </c>
      <c r="N120" s="562">
        <f t="shared" si="127"/>
        <v>15615</v>
      </c>
      <c r="O120" s="562">
        <f t="shared" si="127"/>
        <v>15615</v>
      </c>
      <c r="P120" s="19"/>
      <c r="Q120" s="19"/>
      <c r="R120" s="19"/>
      <c r="S120" s="562">
        <f>SUM(S121)</f>
        <v>15615</v>
      </c>
      <c r="T120" s="562">
        <f t="shared" ref="T120:U120" si="128">SUM(T121)</f>
        <v>15615</v>
      </c>
      <c r="U120" s="562">
        <f t="shared" si="128"/>
        <v>15615</v>
      </c>
      <c r="V120" s="19"/>
      <c r="W120" s="19"/>
      <c r="X120" s="19"/>
      <c r="Y120" s="562">
        <f t="shared" ref="Y120:AA120" si="129">SUM(Y121)</f>
        <v>15615</v>
      </c>
      <c r="Z120" s="562">
        <f t="shared" si="129"/>
        <v>15615</v>
      </c>
      <c r="AA120" s="562">
        <f t="shared" si="129"/>
        <v>15615</v>
      </c>
      <c r="AB120" s="19"/>
      <c r="AC120" s="19"/>
      <c r="AD120" s="19"/>
      <c r="AE120" s="562">
        <f>SUM(AE121)</f>
        <v>15615</v>
      </c>
      <c r="AF120" s="562">
        <f t="shared" ref="AF120:AI120" si="130">SUM(AF121)</f>
        <v>15615</v>
      </c>
      <c r="AG120" s="562">
        <f t="shared" si="130"/>
        <v>15620</v>
      </c>
      <c r="AH120" s="562">
        <f t="shared" si="130"/>
        <v>187385</v>
      </c>
      <c r="AI120" s="562">
        <f t="shared" si="130"/>
        <v>187385</v>
      </c>
      <c r="AJ120" s="21"/>
      <c r="AK120" s="21"/>
      <c r="AL120" s="21"/>
      <c r="AM120" s="21"/>
      <c r="AN120" s="21"/>
      <c r="AO120" s="643"/>
      <c r="AP120" s="643"/>
      <c r="AQ120" s="643"/>
    </row>
    <row r="121" spans="1:43" ht="45">
      <c r="A121" s="537" t="s">
        <v>1700</v>
      </c>
      <c r="B121" s="22" t="s">
        <v>1701</v>
      </c>
      <c r="C121" s="623">
        <v>36</v>
      </c>
      <c r="D121" s="22" t="s">
        <v>52</v>
      </c>
      <c r="E121" s="653" t="s">
        <v>1702</v>
      </c>
      <c r="F121" s="627" t="s">
        <v>52</v>
      </c>
      <c r="G121" s="24"/>
      <c r="H121" s="24"/>
      <c r="I121" s="565"/>
      <c r="J121" s="23">
        <v>3</v>
      </c>
      <c r="K121" s="23">
        <v>3</v>
      </c>
      <c r="L121" s="23">
        <v>3</v>
      </c>
      <c r="M121" s="544">
        <v>15615</v>
      </c>
      <c r="N121" s="544">
        <v>15615</v>
      </c>
      <c r="O121" s="544">
        <v>15615</v>
      </c>
      <c r="P121" s="23">
        <v>3</v>
      </c>
      <c r="Q121" s="23">
        <v>3</v>
      </c>
      <c r="R121" s="647">
        <v>3</v>
      </c>
      <c r="S121" s="544">
        <v>15615</v>
      </c>
      <c r="T121" s="544">
        <v>15615</v>
      </c>
      <c r="U121" s="544">
        <v>15615</v>
      </c>
      <c r="V121" s="23">
        <v>3</v>
      </c>
      <c r="W121" s="23">
        <v>3</v>
      </c>
      <c r="X121" s="23">
        <v>3</v>
      </c>
      <c r="Y121" s="544">
        <v>15615</v>
      </c>
      <c r="Z121" s="544">
        <v>15615</v>
      </c>
      <c r="AA121" s="544">
        <v>15615</v>
      </c>
      <c r="AB121" s="23">
        <v>3</v>
      </c>
      <c r="AC121" s="23">
        <v>3</v>
      </c>
      <c r="AD121" s="23">
        <v>3</v>
      </c>
      <c r="AE121" s="544">
        <v>15615</v>
      </c>
      <c r="AF121" s="544">
        <v>15615</v>
      </c>
      <c r="AG121" s="544">
        <v>15620</v>
      </c>
      <c r="AH121" s="26">
        <f>SUM(M121,N121,O121,S121,T121,U121,Y121,Z121,AA121,AE121,AF121,AG121)</f>
        <v>187385</v>
      </c>
      <c r="AI121" s="544">
        <f>SUM(M121+N121+O121+S121+T121+U121+Y121+Z121+AA121+AE121+AF121+AG121)</f>
        <v>187385</v>
      </c>
      <c r="AJ121" s="26"/>
      <c r="AK121" s="26"/>
      <c r="AL121" s="26"/>
      <c r="AM121" s="26"/>
      <c r="AN121" s="26"/>
      <c r="AO121" s="654" t="s">
        <v>1703</v>
      </c>
      <c r="AP121" s="655" t="s">
        <v>1404</v>
      </c>
      <c r="AQ121" s="654"/>
    </row>
    <row r="122" spans="1:43" ht="60">
      <c r="A122" s="609" t="s">
        <v>1704</v>
      </c>
      <c r="B122" s="18" t="s">
        <v>1705</v>
      </c>
      <c r="C122" s="642"/>
      <c r="D122" s="18"/>
      <c r="E122" s="656"/>
      <c r="F122" s="656"/>
      <c r="G122" s="20"/>
      <c r="H122" s="20"/>
      <c r="I122" s="20"/>
      <c r="J122" s="19"/>
      <c r="K122" s="19"/>
      <c r="L122" s="19"/>
      <c r="M122" s="562">
        <f t="shared" ref="M122:O122" si="131">SUM(M123)</f>
        <v>1200</v>
      </c>
      <c r="N122" s="562">
        <f t="shared" si="131"/>
        <v>1200</v>
      </c>
      <c r="O122" s="562">
        <f t="shared" si="131"/>
        <v>1200</v>
      </c>
      <c r="P122" s="19"/>
      <c r="Q122" s="19"/>
      <c r="R122" s="19"/>
      <c r="S122" s="562">
        <f t="shared" ref="S122:U122" si="132">SUM(S123)</f>
        <v>1200</v>
      </c>
      <c r="T122" s="562">
        <f t="shared" si="132"/>
        <v>1200</v>
      </c>
      <c r="U122" s="562">
        <f t="shared" si="132"/>
        <v>1200</v>
      </c>
      <c r="V122" s="19"/>
      <c r="W122" s="19"/>
      <c r="X122" s="19"/>
      <c r="Y122" s="562">
        <f t="shared" ref="Y122:AA122" si="133">SUM(Y123)</f>
        <v>1200</v>
      </c>
      <c r="Z122" s="562">
        <f t="shared" si="133"/>
        <v>1200</v>
      </c>
      <c r="AA122" s="562">
        <f t="shared" si="133"/>
        <v>1200</v>
      </c>
      <c r="AB122" s="19"/>
      <c r="AC122" s="19"/>
      <c r="AD122" s="19"/>
      <c r="AE122" s="562">
        <f t="shared" ref="AE122:AI122" si="134">SUM(AE123)</f>
        <v>1200</v>
      </c>
      <c r="AF122" s="562">
        <f t="shared" si="134"/>
        <v>1200</v>
      </c>
      <c r="AG122" s="562">
        <f t="shared" si="134"/>
        <v>1200</v>
      </c>
      <c r="AH122" s="562">
        <f t="shared" si="134"/>
        <v>14400</v>
      </c>
      <c r="AI122" s="562">
        <f t="shared" si="134"/>
        <v>14400</v>
      </c>
      <c r="AJ122" s="21"/>
      <c r="AK122" s="21"/>
      <c r="AL122" s="21"/>
      <c r="AM122" s="21"/>
      <c r="AN122" s="21"/>
      <c r="AO122" s="657"/>
      <c r="AP122" s="658"/>
      <c r="AQ122" s="657"/>
    </row>
    <row r="123" spans="1:43" ht="75">
      <c r="A123" s="537" t="s">
        <v>1706</v>
      </c>
      <c r="B123" s="22" t="s">
        <v>1707</v>
      </c>
      <c r="C123" s="623">
        <v>12</v>
      </c>
      <c r="D123" s="22" t="s">
        <v>1708</v>
      </c>
      <c r="E123" s="653" t="s">
        <v>1709</v>
      </c>
      <c r="F123" s="627" t="s">
        <v>52</v>
      </c>
      <c r="G123" s="24"/>
      <c r="H123" s="24"/>
      <c r="I123" s="565"/>
      <c r="J123" s="23">
        <v>1</v>
      </c>
      <c r="K123" s="23">
        <v>1</v>
      </c>
      <c r="L123" s="23">
        <v>1</v>
      </c>
      <c r="M123" s="544">
        <v>1200</v>
      </c>
      <c r="N123" s="544">
        <v>1200</v>
      </c>
      <c r="O123" s="544">
        <v>1200</v>
      </c>
      <c r="P123" s="23">
        <v>1</v>
      </c>
      <c r="Q123" s="23">
        <v>1</v>
      </c>
      <c r="R123" s="23">
        <v>1</v>
      </c>
      <c r="S123" s="544">
        <v>1200</v>
      </c>
      <c r="T123" s="544">
        <v>1200</v>
      </c>
      <c r="U123" s="544">
        <v>1200</v>
      </c>
      <c r="V123" s="23">
        <v>1</v>
      </c>
      <c r="W123" s="23">
        <v>1</v>
      </c>
      <c r="X123" s="23">
        <v>1</v>
      </c>
      <c r="Y123" s="648">
        <v>1200</v>
      </c>
      <c r="Z123" s="620">
        <v>1200</v>
      </c>
      <c r="AA123" s="544">
        <v>1200</v>
      </c>
      <c r="AB123" s="23">
        <v>1</v>
      </c>
      <c r="AC123" s="23">
        <v>1</v>
      </c>
      <c r="AD123" s="23">
        <v>1</v>
      </c>
      <c r="AE123" s="620">
        <v>1200</v>
      </c>
      <c r="AF123" s="620">
        <v>1200</v>
      </c>
      <c r="AG123" s="544">
        <v>1200</v>
      </c>
      <c r="AH123" s="26">
        <f>SUM(M123,N123,O123,S123,T123,U123,Y123,Z123,AA123,AE123,AF123,AG123)</f>
        <v>14400</v>
      </c>
      <c r="AI123" s="544">
        <f>SUM(M123+N123+O123+S123+T123+U123+Y123+Z123+AA123+AE123+AF123+AG123)</f>
        <v>14400</v>
      </c>
      <c r="AJ123" s="26"/>
      <c r="AK123" s="26"/>
      <c r="AL123" s="26"/>
      <c r="AM123" s="26"/>
      <c r="AN123" s="26"/>
      <c r="AO123" s="654" t="s">
        <v>1703</v>
      </c>
      <c r="AP123" s="655" t="s">
        <v>1404</v>
      </c>
      <c r="AQ123" s="654"/>
    </row>
    <row r="124" spans="1:43" ht="45">
      <c r="A124" s="609" t="s">
        <v>1710</v>
      </c>
      <c r="B124" s="18" t="s">
        <v>1711</v>
      </c>
      <c r="C124" s="642"/>
      <c r="D124" s="18"/>
      <c r="E124" s="656"/>
      <c r="F124" s="656"/>
      <c r="G124" s="20"/>
      <c r="H124" s="20"/>
      <c r="I124" s="20"/>
      <c r="J124" s="19"/>
      <c r="K124" s="19"/>
      <c r="L124" s="19"/>
      <c r="M124" s="562">
        <f t="shared" ref="M124:O124" si="135">SUM(M125)</f>
        <v>1200</v>
      </c>
      <c r="N124" s="562">
        <f t="shared" si="135"/>
        <v>1200</v>
      </c>
      <c r="O124" s="562">
        <f t="shared" si="135"/>
        <v>1200</v>
      </c>
      <c r="P124" s="19"/>
      <c r="Q124" s="19"/>
      <c r="R124" s="19"/>
      <c r="S124" s="562">
        <f t="shared" ref="S124:U124" si="136">SUM(S125)</f>
        <v>1200</v>
      </c>
      <c r="T124" s="562">
        <f t="shared" si="136"/>
        <v>1200</v>
      </c>
      <c r="U124" s="562">
        <f t="shared" si="136"/>
        <v>1200</v>
      </c>
      <c r="V124" s="19"/>
      <c r="W124" s="19"/>
      <c r="X124" s="19"/>
      <c r="Y124" s="562">
        <f t="shared" ref="Y124:AA124" si="137">SUM(Y125)</f>
        <v>1200</v>
      </c>
      <c r="Z124" s="562">
        <f t="shared" si="137"/>
        <v>1200</v>
      </c>
      <c r="AA124" s="562">
        <f t="shared" si="137"/>
        <v>1200</v>
      </c>
      <c r="AB124" s="19"/>
      <c r="AC124" s="19"/>
      <c r="AD124" s="19"/>
      <c r="AE124" s="562">
        <f t="shared" ref="AE124:AI124" si="138">SUM(AE125)</f>
        <v>1200</v>
      </c>
      <c r="AF124" s="562">
        <f t="shared" si="138"/>
        <v>1200</v>
      </c>
      <c r="AG124" s="562">
        <f t="shared" si="138"/>
        <v>1200</v>
      </c>
      <c r="AH124" s="562">
        <f t="shared" si="138"/>
        <v>14400</v>
      </c>
      <c r="AI124" s="562">
        <f t="shared" si="138"/>
        <v>14400</v>
      </c>
      <c r="AJ124" s="21"/>
      <c r="AK124" s="21"/>
      <c r="AL124" s="21"/>
      <c r="AM124" s="21"/>
      <c r="AN124" s="21"/>
      <c r="AO124" s="657"/>
      <c r="AP124" s="658"/>
      <c r="AQ124" s="657"/>
    </row>
    <row r="125" spans="1:43" ht="90">
      <c r="A125" s="537" t="s">
        <v>1712</v>
      </c>
      <c r="B125" s="22" t="s">
        <v>1713</v>
      </c>
      <c r="C125" s="623">
        <v>12</v>
      </c>
      <c r="D125" s="22" t="s">
        <v>1464</v>
      </c>
      <c r="E125" s="653" t="s">
        <v>1714</v>
      </c>
      <c r="F125" s="627" t="s">
        <v>52</v>
      </c>
      <c r="G125" s="24"/>
      <c r="H125" s="24"/>
      <c r="I125" s="565"/>
      <c r="J125" s="23">
        <v>1</v>
      </c>
      <c r="K125" s="23">
        <v>1</v>
      </c>
      <c r="L125" s="23">
        <v>1</v>
      </c>
      <c r="M125" s="544">
        <v>1200</v>
      </c>
      <c r="N125" s="544">
        <v>1200</v>
      </c>
      <c r="O125" s="544">
        <v>1200</v>
      </c>
      <c r="P125" s="23">
        <v>1</v>
      </c>
      <c r="Q125" s="23">
        <v>1</v>
      </c>
      <c r="R125" s="647">
        <v>1</v>
      </c>
      <c r="S125" s="544">
        <v>1200</v>
      </c>
      <c r="T125" s="544">
        <v>1200</v>
      </c>
      <c r="U125" s="544">
        <v>1200</v>
      </c>
      <c r="V125" s="23">
        <v>1</v>
      </c>
      <c r="W125" s="23">
        <v>1</v>
      </c>
      <c r="X125" s="23">
        <v>1</v>
      </c>
      <c r="Y125" s="648">
        <v>1200</v>
      </c>
      <c r="Z125" s="544">
        <v>1200</v>
      </c>
      <c r="AA125" s="544">
        <v>1200</v>
      </c>
      <c r="AB125" s="23">
        <v>1</v>
      </c>
      <c r="AC125" s="23">
        <v>1</v>
      </c>
      <c r="AD125" s="23">
        <v>1</v>
      </c>
      <c r="AE125" s="544">
        <v>1200</v>
      </c>
      <c r="AF125" s="544">
        <v>1200</v>
      </c>
      <c r="AG125" s="544">
        <v>1200</v>
      </c>
      <c r="AH125" s="26">
        <f>SUM(M125,N125,O125,S125,T125,U125,Y125,Z125,AA125,AE125,AF125,AG125)</f>
        <v>14400</v>
      </c>
      <c r="AI125" s="544">
        <f>SUM(M125+N125+O125+S125+T125+U125+Y125+Z125+AA125+AE125+AF125+AG125)</f>
        <v>14400</v>
      </c>
      <c r="AJ125" s="26"/>
      <c r="AK125" s="26"/>
      <c r="AL125" s="26"/>
      <c r="AM125" s="26"/>
      <c r="AN125" s="26"/>
      <c r="AO125" s="654" t="s">
        <v>1703</v>
      </c>
      <c r="AP125" s="655" t="s">
        <v>1404</v>
      </c>
      <c r="AQ125" s="654"/>
    </row>
    <row r="126" spans="1:43" ht="75">
      <c r="A126" s="609" t="s">
        <v>1715</v>
      </c>
      <c r="B126" s="18" t="s">
        <v>1716</v>
      </c>
      <c r="C126" s="642"/>
      <c r="D126" s="18"/>
      <c r="E126" s="656"/>
      <c r="F126" s="656"/>
      <c r="G126" s="20"/>
      <c r="H126" s="20"/>
      <c r="I126" s="20"/>
      <c r="J126" s="19"/>
      <c r="K126" s="19"/>
      <c r="L126" s="19"/>
      <c r="M126" s="562">
        <f t="shared" ref="M126:O126" si="139">SUM(M127)</f>
        <v>2500</v>
      </c>
      <c r="N126" s="562">
        <f t="shared" si="139"/>
        <v>2500</v>
      </c>
      <c r="O126" s="562">
        <f t="shared" si="139"/>
        <v>2500</v>
      </c>
      <c r="P126" s="19"/>
      <c r="Q126" s="19"/>
      <c r="R126" s="19"/>
      <c r="S126" s="562">
        <f t="shared" ref="S126:U126" si="140">SUM(S127)</f>
        <v>2500</v>
      </c>
      <c r="T126" s="562">
        <f t="shared" si="140"/>
        <v>2500</v>
      </c>
      <c r="U126" s="562">
        <f t="shared" si="140"/>
        <v>2500</v>
      </c>
      <c r="V126" s="19"/>
      <c r="W126" s="19"/>
      <c r="X126" s="19"/>
      <c r="Y126" s="562">
        <f t="shared" ref="Y126:AA126" si="141">SUM(Y127)</f>
        <v>2500</v>
      </c>
      <c r="Z126" s="562">
        <f t="shared" si="141"/>
        <v>2500</v>
      </c>
      <c r="AA126" s="562">
        <f t="shared" si="141"/>
        <v>2500</v>
      </c>
      <c r="AB126" s="19"/>
      <c r="AC126" s="19"/>
      <c r="AD126" s="19"/>
      <c r="AE126" s="562">
        <f t="shared" ref="AE126:AI126" si="142">SUM(AE127)</f>
        <v>2500</v>
      </c>
      <c r="AF126" s="562">
        <f t="shared" si="142"/>
        <v>2500</v>
      </c>
      <c r="AG126" s="562">
        <f t="shared" si="142"/>
        <v>2500</v>
      </c>
      <c r="AH126" s="562">
        <f t="shared" si="142"/>
        <v>30000</v>
      </c>
      <c r="AI126" s="562">
        <f t="shared" si="142"/>
        <v>30000</v>
      </c>
      <c r="AJ126" s="21"/>
      <c r="AK126" s="21"/>
      <c r="AL126" s="21"/>
      <c r="AM126" s="21"/>
      <c r="AN126" s="21"/>
      <c r="AO126" s="657"/>
      <c r="AP126" s="658"/>
      <c r="AQ126" s="657"/>
    </row>
    <row r="127" spans="1:43" ht="60">
      <c r="A127" s="537" t="s">
        <v>1717</v>
      </c>
      <c r="B127" s="22" t="s">
        <v>1718</v>
      </c>
      <c r="C127" s="623">
        <v>24</v>
      </c>
      <c r="D127" s="22" t="s">
        <v>57</v>
      </c>
      <c r="E127" s="653" t="s">
        <v>1719</v>
      </c>
      <c r="F127" s="627"/>
      <c r="G127" s="24"/>
      <c r="H127" s="24"/>
      <c r="I127" s="565"/>
      <c r="J127" s="23">
        <v>2</v>
      </c>
      <c r="K127" s="23">
        <v>2</v>
      </c>
      <c r="L127" s="23">
        <v>2</v>
      </c>
      <c r="M127" s="544">
        <v>2500</v>
      </c>
      <c r="N127" s="544">
        <v>2500</v>
      </c>
      <c r="O127" s="544">
        <v>2500</v>
      </c>
      <c r="P127" s="23">
        <v>2</v>
      </c>
      <c r="Q127" s="23">
        <v>2</v>
      </c>
      <c r="R127" s="647">
        <v>2</v>
      </c>
      <c r="S127" s="544">
        <v>2500</v>
      </c>
      <c r="T127" s="544">
        <v>2500</v>
      </c>
      <c r="U127" s="544">
        <v>2500</v>
      </c>
      <c r="V127" s="23">
        <v>2</v>
      </c>
      <c r="W127" s="23">
        <v>2</v>
      </c>
      <c r="X127" s="23">
        <v>2</v>
      </c>
      <c r="Y127" s="544">
        <v>2500</v>
      </c>
      <c r="Z127" s="544">
        <v>2500</v>
      </c>
      <c r="AA127" s="544">
        <v>2500</v>
      </c>
      <c r="AB127" s="23">
        <v>2</v>
      </c>
      <c r="AC127" s="23">
        <v>2</v>
      </c>
      <c r="AD127" s="23">
        <v>2</v>
      </c>
      <c r="AE127" s="544">
        <v>2500</v>
      </c>
      <c r="AF127" s="544">
        <v>2500</v>
      </c>
      <c r="AG127" s="544">
        <v>2500</v>
      </c>
      <c r="AH127" s="26">
        <f>SUM(M127,N127,O127,S127,T127,U127,Y127,Z127,AA127,AE127,AF127,AG127)</f>
        <v>30000</v>
      </c>
      <c r="AI127" s="544">
        <f>SUM(M127+N127+O127+S127+T127+U127+Y127+Z127+AA127+AE127+AF127+AG127)</f>
        <v>30000</v>
      </c>
      <c r="AJ127" s="26"/>
      <c r="AK127" s="26"/>
      <c r="AL127" s="26"/>
      <c r="AM127" s="26"/>
      <c r="AN127" s="26"/>
      <c r="AO127" s="654" t="s">
        <v>1703</v>
      </c>
      <c r="AP127" s="655" t="s">
        <v>1404</v>
      </c>
      <c r="AQ127" s="654"/>
    </row>
    <row r="128" spans="1:43" ht="30">
      <c r="A128" s="637" t="s">
        <v>1720</v>
      </c>
      <c r="B128" s="659" t="s">
        <v>1721</v>
      </c>
      <c r="C128" s="660"/>
      <c r="D128" s="661"/>
      <c r="E128" s="661"/>
      <c r="F128" s="662"/>
      <c r="G128" s="16"/>
      <c r="H128" s="640"/>
      <c r="I128" s="16"/>
      <c r="J128" s="663"/>
      <c r="K128" s="663"/>
      <c r="L128" s="663"/>
      <c r="M128" s="664"/>
      <c r="N128" s="664"/>
      <c r="O128" s="664"/>
      <c r="P128" s="663"/>
      <c r="Q128" s="663"/>
      <c r="R128" s="663"/>
      <c r="S128" s="664"/>
      <c r="T128" s="664"/>
      <c r="U128" s="664">
        <f>SUM(U129)</f>
        <v>10000</v>
      </c>
      <c r="V128" s="663"/>
      <c r="W128" s="663"/>
      <c r="X128" s="663"/>
      <c r="Y128" s="664"/>
      <c r="Z128" s="664"/>
      <c r="AA128" s="664">
        <f>SUM(AA129)</f>
        <v>34095</v>
      </c>
      <c r="AB128" s="663"/>
      <c r="AC128" s="663"/>
      <c r="AD128" s="663"/>
      <c r="AE128" s="664"/>
      <c r="AF128" s="664"/>
      <c r="AG128" s="664">
        <f t="shared" ref="AG128:AJ129" si="143">SUM(AG129)</f>
        <v>102895</v>
      </c>
      <c r="AH128" s="664">
        <f t="shared" si="143"/>
        <v>146990</v>
      </c>
      <c r="AI128" s="664"/>
      <c r="AJ128" s="664">
        <f t="shared" si="143"/>
        <v>146990</v>
      </c>
      <c r="AK128" s="664"/>
      <c r="AL128" s="664"/>
      <c r="AM128" s="664"/>
      <c r="AN128" s="664"/>
      <c r="AO128" s="662"/>
      <c r="AP128" s="662"/>
      <c r="AQ128" s="662"/>
    </row>
    <row r="129" spans="1:43" ht="60">
      <c r="A129" s="641" t="s">
        <v>1722</v>
      </c>
      <c r="B129" s="665" t="s">
        <v>1723</v>
      </c>
      <c r="C129" s="666"/>
      <c r="D129" s="667"/>
      <c r="E129" s="667"/>
      <c r="F129" s="668"/>
      <c r="G129" s="20"/>
      <c r="H129" s="20"/>
      <c r="I129" s="20"/>
      <c r="J129" s="669"/>
      <c r="K129" s="669"/>
      <c r="L129" s="669"/>
      <c r="M129" s="670"/>
      <c r="N129" s="670"/>
      <c r="O129" s="670"/>
      <c r="P129" s="669"/>
      <c r="Q129" s="669"/>
      <c r="R129" s="560"/>
      <c r="S129" s="670"/>
      <c r="T129" s="670"/>
      <c r="U129" s="562">
        <f>SUM(U130)</f>
        <v>10000</v>
      </c>
      <c r="V129" s="669"/>
      <c r="W129" s="669"/>
      <c r="X129" s="669"/>
      <c r="Y129" s="670"/>
      <c r="Z129" s="670"/>
      <c r="AA129" s="562">
        <f>SUM(AA130)</f>
        <v>34095</v>
      </c>
      <c r="AB129" s="669"/>
      <c r="AC129" s="669"/>
      <c r="AD129" s="669"/>
      <c r="AE129" s="670"/>
      <c r="AF129" s="670"/>
      <c r="AG129" s="562">
        <f t="shared" si="143"/>
        <v>102895</v>
      </c>
      <c r="AH129" s="562">
        <f t="shared" si="143"/>
        <v>146990</v>
      </c>
      <c r="AI129" s="562"/>
      <c r="AJ129" s="562">
        <f t="shared" si="143"/>
        <v>146990</v>
      </c>
      <c r="AK129" s="670"/>
      <c r="AL129" s="670"/>
      <c r="AM129" s="670"/>
      <c r="AN129" s="670"/>
      <c r="AO129" s="668"/>
      <c r="AP129" s="668"/>
      <c r="AQ129" s="668"/>
    </row>
    <row r="130" spans="1:43" ht="60">
      <c r="A130" s="644" t="s">
        <v>1724</v>
      </c>
      <c r="B130" s="671" t="s">
        <v>1725</v>
      </c>
      <c r="C130" s="672">
        <v>3</v>
      </c>
      <c r="D130" s="673" t="s">
        <v>52</v>
      </c>
      <c r="E130" s="646" t="s">
        <v>1726</v>
      </c>
      <c r="F130" s="674" t="s">
        <v>52</v>
      </c>
      <c r="G130" s="24"/>
      <c r="H130" s="24"/>
      <c r="I130" s="565"/>
      <c r="J130" s="675"/>
      <c r="K130" s="675"/>
      <c r="L130" s="675"/>
      <c r="M130" s="676"/>
      <c r="N130" s="676"/>
      <c r="O130" s="676"/>
      <c r="P130" s="675"/>
      <c r="Q130" s="675"/>
      <c r="R130" s="675">
        <v>1</v>
      </c>
      <c r="S130" s="677"/>
      <c r="T130" s="677"/>
      <c r="U130" s="676">
        <v>10000</v>
      </c>
      <c r="V130" s="675"/>
      <c r="W130" s="675"/>
      <c r="X130" s="675">
        <v>1</v>
      </c>
      <c r="Y130" s="677"/>
      <c r="Z130" s="677"/>
      <c r="AA130" s="649">
        <v>34095</v>
      </c>
      <c r="AB130" s="678"/>
      <c r="AC130" s="678"/>
      <c r="AD130" s="678">
        <v>1</v>
      </c>
      <c r="AE130" s="677"/>
      <c r="AF130" s="677"/>
      <c r="AG130" s="649">
        <v>102895</v>
      </c>
      <c r="AH130" s="26">
        <f>SUM(M130,N130,O130,S130,T130,U130,Y130,Z130,AA130,AE130,AF130,AG130)</f>
        <v>146990</v>
      </c>
      <c r="AI130" s="677"/>
      <c r="AJ130" s="677">
        <v>146990</v>
      </c>
      <c r="AK130" s="677"/>
      <c r="AL130" s="677"/>
      <c r="AM130" s="677"/>
      <c r="AN130" s="677"/>
      <c r="AO130" s="679" t="s">
        <v>1727</v>
      </c>
      <c r="AP130" s="650" t="s">
        <v>1404</v>
      </c>
      <c r="AQ130" s="650"/>
    </row>
    <row r="131" spans="1:43" ht="15.6">
      <c r="A131" s="680"/>
      <c r="B131" s="681" t="s">
        <v>1728</v>
      </c>
      <c r="C131" s="682"/>
      <c r="D131" s="681"/>
      <c r="E131" s="681"/>
      <c r="F131" s="681"/>
      <c r="G131" s="683"/>
      <c r="H131" s="683"/>
      <c r="I131" s="683"/>
      <c r="J131" s="15"/>
      <c r="K131" s="15"/>
      <c r="L131" s="15"/>
      <c r="M131" s="17">
        <f>SUM(M79,M70,M48,M36,M11)</f>
        <v>223705.41666666669</v>
      </c>
      <c r="N131" s="17">
        <f t="shared" ref="N131:O131" si="144">SUM(N79,N70,N48,N36,N11)</f>
        <v>105095.41666666667</v>
      </c>
      <c r="O131" s="17">
        <f t="shared" si="144"/>
        <v>274970.41666666669</v>
      </c>
      <c r="P131" s="15"/>
      <c r="Q131" s="15"/>
      <c r="R131" s="15"/>
      <c r="S131" s="17">
        <f t="shared" ref="S131:U131" si="145">SUM(S79,S70,S48,S36,S11)</f>
        <v>198485.41666666669</v>
      </c>
      <c r="T131" s="17">
        <f t="shared" si="145"/>
        <v>335045.41666666669</v>
      </c>
      <c r="U131" s="17">
        <f t="shared" si="145"/>
        <v>456051.41666666669</v>
      </c>
      <c r="V131" s="15"/>
      <c r="W131" s="15"/>
      <c r="X131" s="15"/>
      <c r="Y131" s="17">
        <f t="shared" ref="Y131:AA131" si="146">SUM(Y79,Y70,Y48,Y36,Y11)</f>
        <v>2470366.4166666665</v>
      </c>
      <c r="Z131" s="17">
        <f t="shared" si="146"/>
        <v>1849397.4166666667</v>
      </c>
      <c r="AA131" s="17">
        <f t="shared" si="146"/>
        <v>2570200.4166666665</v>
      </c>
      <c r="AB131" s="684"/>
      <c r="AC131" s="684"/>
      <c r="AD131" s="684"/>
      <c r="AE131" s="17">
        <f t="shared" ref="AE131:AK131" si="147">SUM(AE79,AE70,AE48,AE36,AE11)</f>
        <v>702311.41666666674</v>
      </c>
      <c r="AF131" s="17">
        <f t="shared" si="147"/>
        <v>884870.41666666674</v>
      </c>
      <c r="AG131" s="17">
        <f t="shared" si="147"/>
        <v>533615.41666666674</v>
      </c>
      <c r="AH131" s="17">
        <f t="shared" si="147"/>
        <v>10604115</v>
      </c>
      <c r="AI131" s="17">
        <f t="shared" si="147"/>
        <v>6057125</v>
      </c>
      <c r="AJ131" s="17">
        <f t="shared" si="147"/>
        <v>3046990</v>
      </c>
      <c r="AK131" s="17">
        <f t="shared" si="147"/>
        <v>1500000</v>
      </c>
      <c r="AL131" s="685"/>
      <c r="AM131" s="685"/>
      <c r="AN131" s="685"/>
      <c r="AO131" s="686"/>
      <c r="AP131" s="686"/>
      <c r="AQ131" s="687"/>
    </row>
  </sheetData>
  <sheetProtection algorithmName="SHA-512" hashValue="bA5b8S3vCjqCmFGTTCUqiQdRQzlOw7H+6dh616sN/ssCmagrWZ3znfyLPxbQq4lE4RNQow3WJ4Cxk34FXdrC5g==" saltValue="MR56n/iCo/ozj2k6wCu39w==" spinCount="100000" sheet="1" objects="1" scenarios="1"/>
  <mergeCells count="42">
    <mergeCell ref="A34:A35"/>
    <mergeCell ref="B34:B35"/>
    <mergeCell ref="E34:E35"/>
    <mergeCell ref="F34:F35"/>
    <mergeCell ref="AO34:AO35"/>
    <mergeCell ref="AP34:AP35"/>
    <mergeCell ref="AM8:AM10"/>
    <mergeCell ref="AN8:AN10"/>
    <mergeCell ref="J9:L9"/>
    <mergeCell ref="M9:O9"/>
    <mergeCell ref="P9:R9"/>
    <mergeCell ref="S9:U9"/>
    <mergeCell ref="V9:X9"/>
    <mergeCell ref="Y9:AA9"/>
    <mergeCell ref="AB9:AD9"/>
    <mergeCell ref="AE9:AG9"/>
    <mergeCell ref="AH8:AH10"/>
    <mergeCell ref="AK8:AK10"/>
    <mergeCell ref="AL8:AL10"/>
    <mergeCell ref="A8:A10"/>
    <mergeCell ref="J8:O8"/>
    <mergeCell ref="P8:U8"/>
    <mergeCell ref="V8:AA8"/>
    <mergeCell ref="AB8:AG8"/>
    <mergeCell ref="I7:I10"/>
    <mergeCell ref="J7:AH7"/>
    <mergeCell ref="A1:AQ1"/>
    <mergeCell ref="A2:AQ2"/>
    <mergeCell ref="A3:AQ3"/>
    <mergeCell ref="B7:B10"/>
    <mergeCell ref="C7:C10"/>
    <mergeCell ref="D7:D10"/>
    <mergeCell ref="E7:E10"/>
    <mergeCell ref="F7:F10"/>
    <mergeCell ref="G7:G10"/>
    <mergeCell ref="H7:H10"/>
    <mergeCell ref="AI7:AN7"/>
    <mergeCell ref="AO7:AO10"/>
    <mergeCell ref="AP7:AP10"/>
    <mergeCell ref="AQ7:AQ10"/>
    <mergeCell ref="AI8:AI10"/>
    <mergeCell ref="AJ8:AJ10"/>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53"/>
  <sheetViews>
    <sheetView workbookViewId="0">
      <selection activeCell="F13" sqref="F13"/>
    </sheetView>
  </sheetViews>
  <sheetFormatPr baseColWidth="10" defaultRowHeight="14.4"/>
  <cols>
    <col min="1" max="1" width="12.44140625" customWidth="1"/>
    <col min="2" max="2" width="35" customWidth="1"/>
    <col min="3" max="3" width="10.44140625" customWidth="1"/>
    <col min="4" max="4" width="12.44140625" customWidth="1"/>
    <col min="5" max="5" width="18.109375" customWidth="1"/>
    <col min="6" max="6" width="13.88671875" customWidth="1"/>
    <col min="7" max="7" width="10.33203125" customWidth="1"/>
    <col min="8" max="8" width="8.5546875" customWidth="1"/>
    <col min="9" max="9" width="9.33203125" customWidth="1"/>
    <col min="10" max="10" width="10.109375" customWidth="1"/>
    <col min="11" max="11" width="8.33203125" bestFit="1" customWidth="1"/>
    <col min="12" max="12" width="7" bestFit="1" customWidth="1"/>
    <col min="13" max="15" width="10.44140625" customWidth="1"/>
    <col min="16" max="16" width="10.6640625" customWidth="1"/>
    <col min="17" max="17" width="13.6640625" bestFit="1" customWidth="1"/>
    <col min="18" max="18" width="10.6640625" bestFit="1" customWidth="1"/>
    <col min="19" max="19" width="12.88671875" customWidth="1"/>
    <col min="20" max="20" width="11.88671875" customWidth="1"/>
    <col min="21" max="21" width="10.44140625" customWidth="1"/>
    <col min="22" max="30" width="14.6640625" customWidth="1"/>
    <col min="31" max="31" width="13.109375" customWidth="1"/>
    <col min="32" max="32" width="12.109375" customWidth="1"/>
    <col min="33" max="33" width="13.44140625" customWidth="1"/>
    <col min="34" max="34" width="13.88671875" customWidth="1"/>
    <col min="35" max="35" width="13.33203125" customWidth="1"/>
    <col min="36" max="36" width="8.44140625" bestFit="1" customWidth="1"/>
    <col min="37" max="37" width="10.109375" bestFit="1" customWidth="1"/>
    <col min="38" max="38" width="8.5546875" bestFit="1" customWidth="1"/>
    <col min="39" max="39" width="10.44140625" bestFit="1" customWidth="1"/>
    <col min="40" max="40" width="7.88671875" bestFit="1" customWidth="1"/>
    <col min="41" max="41" width="13.6640625" bestFit="1" customWidth="1"/>
    <col min="42" max="42" width="17.109375" customWidth="1"/>
    <col min="43" max="43" width="29.109375" customWidth="1"/>
  </cols>
  <sheetData>
    <row r="1" spans="1:43" ht="17.399999999999999">
      <c r="A1" s="2061" t="s">
        <v>0</v>
      </c>
      <c r="B1" s="2061"/>
      <c r="C1" s="2061"/>
      <c r="D1" s="2061"/>
      <c r="E1" s="2061"/>
      <c r="F1" s="2061"/>
      <c r="G1" s="2061"/>
      <c r="H1" s="2061"/>
      <c r="I1" s="2061"/>
      <c r="J1" s="2061"/>
      <c r="K1" s="2061"/>
      <c r="L1" s="2061"/>
      <c r="M1" s="2061"/>
      <c r="N1" s="2061"/>
      <c r="O1" s="2061"/>
      <c r="P1" s="2061"/>
      <c r="Q1" s="2061"/>
      <c r="R1" s="2061"/>
      <c r="S1" s="2061"/>
      <c r="T1" s="2061"/>
      <c r="U1" s="2061"/>
      <c r="V1" s="2061"/>
      <c r="W1" s="2061"/>
      <c r="X1" s="2061"/>
      <c r="Y1" s="2061"/>
      <c r="Z1" s="2061"/>
      <c r="AA1" s="2061"/>
      <c r="AB1" s="2061"/>
      <c r="AC1" s="2061"/>
      <c r="AD1" s="2061"/>
      <c r="AE1" s="2061"/>
      <c r="AF1" s="2061"/>
      <c r="AG1" s="2061"/>
      <c r="AH1" s="2061"/>
      <c r="AI1" s="2061"/>
      <c r="AJ1" s="2061"/>
      <c r="AK1" s="2061"/>
      <c r="AL1" s="2061"/>
      <c r="AM1" s="2061"/>
      <c r="AN1" s="2061"/>
      <c r="AO1" s="2061"/>
      <c r="AP1" s="2061"/>
      <c r="AQ1" s="2061"/>
    </row>
    <row r="2" spans="1:43" ht="17.399999999999999">
      <c r="A2" s="2061" t="s">
        <v>1</v>
      </c>
      <c r="B2" s="2061"/>
      <c r="C2" s="2061"/>
      <c r="D2" s="2061"/>
      <c r="E2" s="2061"/>
      <c r="F2" s="2061"/>
      <c r="G2" s="2061"/>
      <c r="H2" s="2061"/>
      <c r="I2" s="2061"/>
      <c r="J2" s="2061"/>
      <c r="K2" s="2061"/>
      <c r="L2" s="2061"/>
      <c r="M2" s="2061"/>
      <c r="N2" s="2061"/>
      <c r="O2" s="2061"/>
      <c r="P2" s="2061"/>
      <c r="Q2" s="2061"/>
      <c r="R2" s="2061"/>
      <c r="S2" s="2061"/>
      <c r="T2" s="2061"/>
      <c r="U2" s="2061"/>
      <c r="V2" s="2061"/>
      <c r="W2" s="2061"/>
      <c r="X2" s="2061"/>
      <c r="Y2" s="2061"/>
      <c r="Z2" s="2061"/>
      <c r="AA2" s="2061"/>
      <c r="AB2" s="2061"/>
      <c r="AC2" s="2061"/>
      <c r="AD2" s="2061"/>
      <c r="AE2" s="2061"/>
      <c r="AF2" s="2061"/>
      <c r="AG2" s="2061"/>
      <c r="AH2" s="2061"/>
      <c r="AI2" s="2061"/>
      <c r="AJ2" s="2061"/>
      <c r="AK2" s="2061"/>
      <c r="AL2" s="2061"/>
      <c r="AM2" s="2061"/>
      <c r="AN2" s="2061"/>
      <c r="AO2" s="2061"/>
      <c r="AP2" s="2061"/>
      <c r="AQ2" s="2061"/>
    </row>
    <row r="3" spans="1:43" ht="17.399999999999999">
      <c r="A3" s="689"/>
      <c r="B3" s="690" t="s">
        <v>2</v>
      </c>
      <c r="C3" s="691"/>
      <c r="D3" s="692"/>
      <c r="E3" s="693"/>
      <c r="F3" s="690"/>
      <c r="G3" s="694"/>
      <c r="H3" s="691"/>
      <c r="I3" s="691"/>
      <c r="J3" s="691"/>
      <c r="K3" s="695"/>
      <c r="L3" s="695"/>
      <c r="M3" s="696"/>
      <c r="N3" s="696"/>
      <c r="O3" s="696"/>
      <c r="P3" s="695"/>
      <c r="Q3" s="695"/>
      <c r="R3" s="695"/>
      <c r="S3" s="695"/>
      <c r="T3" s="691"/>
      <c r="U3" s="691"/>
      <c r="V3" s="695"/>
      <c r="W3" s="695"/>
      <c r="X3" s="691"/>
      <c r="Y3" s="691"/>
      <c r="Z3" s="691"/>
      <c r="AA3" s="691"/>
      <c r="AB3" s="691"/>
      <c r="AC3" s="691"/>
      <c r="AD3" s="691"/>
      <c r="AE3" s="691"/>
      <c r="AF3" s="691"/>
      <c r="AG3" s="691"/>
      <c r="AH3" s="691"/>
      <c r="AI3" s="691"/>
      <c r="AJ3" s="697"/>
      <c r="AK3" s="690"/>
      <c r="AL3" s="690"/>
      <c r="AM3" s="690"/>
      <c r="AN3" s="690"/>
      <c r="AO3" s="690"/>
      <c r="AP3" s="690"/>
      <c r="AQ3" s="690"/>
    </row>
    <row r="4" spans="1:43" ht="17.399999999999999">
      <c r="A4" s="689"/>
      <c r="B4" s="698" t="s">
        <v>1729</v>
      </c>
      <c r="C4" s="691"/>
      <c r="D4" s="690"/>
      <c r="E4" s="690"/>
      <c r="F4" s="690"/>
      <c r="G4" s="694"/>
      <c r="H4" s="691"/>
      <c r="I4" s="691"/>
      <c r="J4" s="691"/>
      <c r="K4" s="695"/>
      <c r="L4" s="695"/>
      <c r="M4" s="696"/>
      <c r="N4" s="696"/>
      <c r="O4" s="696"/>
      <c r="P4" s="695"/>
      <c r="Q4" s="695"/>
      <c r="R4" s="695"/>
      <c r="S4" s="695"/>
      <c r="T4" s="691"/>
      <c r="U4" s="691"/>
      <c r="V4" s="695"/>
      <c r="W4" s="695"/>
      <c r="X4" s="691"/>
      <c r="Y4" s="691"/>
      <c r="Z4" s="691"/>
      <c r="AA4" s="691"/>
      <c r="AB4" s="691"/>
      <c r="AC4" s="691"/>
      <c r="AD4" s="691"/>
      <c r="AE4" s="691"/>
      <c r="AF4" s="691"/>
      <c r="AG4" s="691"/>
      <c r="AH4" s="691"/>
      <c r="AI4" s="691"/>
      <c r="AJ4" s="690"/>
      <c r="AK4" s="690"/>
      <c r="AL4" s="690"/>
      <c r="AM4" s="690"/>
      <c r="AN4" s="690"/>
      <c r="AO4" s="690"/>
      <c r="AP4" s="690"/>
      <c r="AQ4" s="690"/>
    </row>
    <row r="5" spans="1:43" ht="17.399999999999999">
      <c r="A5" s="689"/>
      <c r="B5" s="699" t="s">
        <v>1392</v>
      </c>
      <c r="C5" s="700"/>
      <c r="D5" s="701"/>
      <c r="E5" s="702"/>
      <c r="F5" s="703"/>
      <c r="G5" s="704"/>
      <c r="H5" s="705"/>
      <c r="I5" s="706"/>
      <c r="J5" s="706"/>
      <c r="K5" s="707"/>
      <c r="L5" s="707"/>
      <c r="M5" s="708"/>
      <c r="N5" s="708"/>
      <c r="O5" s="708"/>
      <c r="P5" s="707"/>
      <c r="Q5" s="707"/>
      <c r="R5" s="707"/>
      <c r="S5" s="708"/>
      <c r="T5" s="708"/>
      <c r="U5" s="708"/>
      <c r="V5" s="707"/>
      <c r="W5" s="707"/>
      <c r="X5" s="706"/>
      <c r="Y5" s="708"/>
      <c r="Z5" s="708"/>
      <c r="AA5" s="708"/>
      <c r="AB5" s="706"/>
      <c r="AC5" s="706"/>
      <c r="AD5" s="706"/>
      <c r="AE5" s="708"/>
      <c r="AF5" s="708"/>
      <c r="AG5" s="708"/>
      <c r="AH5" s="708"/>
      <c r="AI5" s="706"/>
      <c r="AJ5" s="709"/>
      <c r="AK5" s="710"/>
      <c r="AL5" s="710"/>
      <c r="AM5" s="710"/>
      <c r="AN5" s="710"/>
      <c r="AO5" s="710"/>
      <c r="AP5" s="710"/>
      <c r="AQ5" s="710"/>
    </row>
    <row r="6" spans="1:43" ht="15.6">
      <c r="A6" s="2062" t="s">
        <v>5</v>
      </c>
      <c r="B6" s="2065" t="s">
        <v>398</v>
      </c>
      <c r="C6" s="2066" t="s">
        <v>7</v>
      </c>
      <c r="D6" s="2067" t="s">
        <v>399</v>
      </c>
      <c r="E6" s="2067" t="s">
        <v>9</v>
      </c>
      <c r="F6" s="2068" t="s">
        <v>10</v>
      </c>
      <c r="G6" s="2069" t="s">
        <v>1730</v>
      </c>
      <c r="H6" s="2069" t="s">
        <v>1731</v>
      </c>
      <c r="I6" s="2069" t="s">
        <v>1732</v>
      </c>
      <c r="J6" s="2072" t="s">
        <v>14</v>
      </c>
      <c r="K6" s="2072"/>
      <c r="L6" s="2072"/>
      <c r="M6" s="2072"/>
      <c r="N6" s="2072"/>
      <c r="O6" s="2072"/>
      <c r="P6" s="2072"/>
      <c r="Q6" s="2072"/>
      <c r="R6" s="2072"/>
      <c r="S6" s="2072"/>
      <c r="T6" s="2072"/>
      <c r="U6" s="2072"/>
      <c r="V6" s="2072"/>
      <c r="W6" s="2072"/>
      <c r="X6" s="2072"/>
      <c r="Y6" s="2072"/>
      <c r="Z6" s="2072"/>
      <c r="AA6" s="2072"/>
      <c r="AB6" s="2072"/>
      <c r="AC6" s="2072"/>
      <c r="AD6" s="2072"/>
      <c r="AE6" s="2072"/>
      <c r="AF6" s="2072"/>
      <c r="AG6" s="2072"/>
      <c r="AH6" s="2072"/>
      <c r="AI6" s="2073" t="s">
        <v>15</v>
      </c>
      <c r="AJ6" s="2073"/>
      <c r="AK6" s="2073"/>
      <c r="AL6" s="2073"/>
      <c r="AM6" s="2073"/>
      <c r="AN6" s="2073"/>
      <c r="AO6" s="2067" t="s">
        <v>402</v>
      </c>
      <c r="AP6" s="2067" t="s">
        <v>17</v>
      </c>
      <c r="AQ6" s="2067" t="s">
        <v>18</v>
      </c>
    </row>
    <row r="7" spans="1:43" ht="15.6">
      <c r="A7" s="2063"/>
      <c r="B7" s="2065"/>
      <c r="C7" s="2066"/>
      <c r="D7" s="2067"/>
      <c r="E7" s="2067"/>
      <c r="F7" s="2068"/>
      <c r="G7" s="2070"/>
      <c r="H7" s="2070"/>
      <c r="I7" s="2070"/>
      <c r="J7" s="2072" t="s">
        <v>19</v>
      </c>
      <c r="K7" s="2072"/>
      <c r="L7" s="2072"/>
      <c r="M7" s="2072"/>
      <c r="N7" s="2072"/>
      <c r="O7" s="2072"/>
      <c r="P7" s="2072" t="s">
        <v>20</v>
      </c>
      <c r="Q7" s="2072"/>
      <c r="R7" s="2072"/>
      <c r="S7" s="2072"/>
      <c r="T7" s="2072"/>
      <c r="U7" s="2072"/>
      <c r="V7" s="2072" t="s">
        <v>21</v>
      </c>
      <c r="W7" s="2072"/>
      <c r="X7" s="2072"/>
      <c r="Y7" s="2072"/>
      <c r="Z7" s="2072"/>
      <c r="AA7" s="2072"/>
      <c r="AB7" s="2072" t="s">
        <v>22</v>
      </c>
      <c r="AC7" s="2072"/>
      <c r="AD7" s="2072"/>
      <c r="AE7" s="2072"/>
      <c r="AF7" s="2072"/>
      <c r="AG7" s="2072"/>
      <c r="AH7" s="2075" t="s">
        <v>403</v>
      </c>
      <c r="AI7" s="2073" t="s">
        <v>24</v>
      </c>
      <c r="AJ7" s="2073" t="s">
        <v>404</v>
      </c>
      <c r="AK7" s="2076" t="s">
        <v>405</v>
      </c>
      <c r="AL7" s="2073" t="s">
        <v>406</v>
      </c>
      <c r="AM7" s="2074" t="s">
        <v>1733</v>
      </c>
      <c r="AN7" s="2074" t="s">
        <v>1734</v>
      </c>
      <c r="AO7" s="2067"/>
      <c r="AP7" s="2067"/>
      <c r="AQ7" s="2067"/>
    </row>
    <row r="8" spans="1:43" ht="15.6">
      <c r="A8" s="2063"/>
      <c r="B8" s="2065"/>
      <c r="C8" s="2066"/>
      <c r="D8" s="2067"/>
      <c r="E8" s="2067"/>
      <c r="F8" s="2068"/>
      <c r="G8" s="2070"/>
      <c r="H8" s="2070"/>
      <c r="I8" s="2070"/>
      <c r="J8" s="2072" t="s">
        <v>30</v>
      </c>
      <c r="K8" s="2072"/>
      <c r="L8" s="2072"/>
      <c r="M8" s="2073" t="s">
        <v>31</v>
      </c>
      <c r="N8" s="2073"/>
      <c r="O8" s="2073"/>
      <c r="P8" s="2072" t="s">
        <v>30</v>
      </c>
      <c r="Q8" s="2072"/>
      <c r="R8" s="2072"/>
      <c r="S8" s="2073" t="s">
        <v>31</v>
      </c>
      <c r="T8" s="2073"/>
      <c r="U8" s="2073"/>
      <c r="V8" s="2072" t="s">
        <v>30</v>
      </c>
      <c r="W8" s="2072"/>
      <c r="X8" s="2072"/>
      <c r="Y8" s="2073" t="s">
        <v>31</v>
      </c>
      <c r="Z8" s="2073"/>
      <c r="AA8" s="2073"/>
      <c r="AB8" s="2072" t="s">
        <v>30</v>
      </c>
      <c r="AC8" s="2072"/>
      <c r="AD8" s="2072"/>
      <c r="AE8" s="2073" t="s">
        <v>31</v>
      </c>
      <c r="AF8" s="2073"/>
      <c r="AG8" s="2073"/>
      <c r="AH8" s="2075"/>
      <c r="AI8" s="2073"/>
      <c r="AJ8" s="2073"/>
      <c r="AK8" s="2077"/>
      <c r="AL8" s="2073"/>
      <c r="AM8" s="2074"/>
      <c r="AN8" s="2074"/>
      <c r="AO8" s="2067"/>
      <c r="AP8" s="2067"/>
      <c r="AQ8" s="2067"/>
    </row>
    <row r="9" spans="1:43" ht="15.6">
      <c r="A9" s="2064"/>
      <c r="B9" s="2065"/>
      <c r="C9" s="2066"/>
      <c r="D9" s="2067"/>
      <c r="E9" s="2067"/>
      <c r="F9" s="2068"/>
      <c r="G9" s="2071"/>
      <c r="H9" s="2071"/>
      <c r="I9" s="2071"/>
      <c r="J9" s="711" t="s">
        <v>32</v>
      </c>
      <c r="K9" s="711" t="s">
        <v>33</v>
      </c>
      <c r="L9" s="711" t="s">
        <v>34</v>
      </c>
      <c r="M9" s="712" t="s">
        <v>32</v>
      </c>
      <c r="N9" s="712" t="s">
        <v>33</v>
      </c>
      <c r="O9" s="712" t="s">
        <v>34</v>
      </c>
      <c r="P9" s="711" t="s">
        <v>35</v>
      </c>
      <c r="Q9" s="711" t="s">
        <v>34</v>
      </c>
      <c r="R9" s="711" t="s">
        <v>36</v>
      </c>
      <c r="S9" s="712" t="s">
        <v>35</v>
      </c>
      <c r="T9" s="712" t="s">
        <v>34</v>
      </c>
      <c r="U9" s="712" t="s">
        <v>36</v>
      </c>
      <c r="V9" s="713" t="s">
        <v>36</v>
      </c>
      <c r="W9" s="711" t="s">
        <v>35</v>
      </c>
      <c r="X9" s="711" t="s">
        <v>37</v>
      </c>
      <c r="Y9" s="712" t="s">
        <v>36</v>
      </c>
      <c r="Z9" s="712" t="s">
        <v>35</v>
      </c>
      <c r="AA9" s="712" t="s">
        <v>37</v>
      </c>
      <c r="AB9" s="711" t="s">
        <v>38</v>
      </c>
      <c r="AC9" s="711" t="s">
        <v>39</v>
      </c>
      <c r="AD9" s="711" t="s">
        <v>40</v>
      </c>
      <c r="AE9" s="712" t="s">
        <v>38</v>
      </c>
      <c r="AF9" s="712" t="s">
        <v>39</v>
      </c>
      <c r="AG9" s="712" t="s">
        <v>40</v>
      </c>
      <c r="AH9" s="2075"/>
      <c r="AI9" s="2073"/>
      <c r="AJ9" s="2073"/>
      <c r="AK9" s="2078"/>
      <c r="AL9" s="2073"/>
      <c r="AM9" s="2074"/>
      <c r="AN9" s="2074"/>
      <c r="AO9" s="2067"/>
      <c r="AP9" s="2067"/>
      <c r="AQ9" s="2067"/>
    </row>
    <row r="10" spans="1:43" ht="45">
      <c r="A10" s="47" t="s">
        <v>41</v>
      </c>
      <c r="B10" s="47" t="s">
        <v>42</v>
      </c>
      <c r="C10" s="714"/>
      <c r="D10" s="47"/>
      <c r="E10" s="47"/>
      <c r="F10" s="47"/>
      <c r="G10" s="715"/>
      <c r="H10" s="716"/>
      <c r="I10" s="716"/>
      <c r="J10" s="717"/>
      <c r="K10" s="717"/>
      <c r="L10" s="717"/>
      <c r="M10" s="718">
        <f t="shared" ref="M10" si="0">M11</f>
        <v>0</v>
      </c>
      <c r="N10" s="719">
        <f>N11+N67+N71+N75+N79</f>
        <v>1590</v>
      </c>
      <c r="O10" s="719">
        <f>O11+O67+O71+O75+O79</f>
        <v>6215</v>
      </c>
      <c r="P10" s="720"/>
      <c r="Q10" s="720"/>
      <c r="R10" s="720"/>
      <c r="S10" s="719">
        <f>S11+S67+S71+S75+S79</f>
        <v>2450</v>
      </c>
      <c r="T10" s="719">
        <f>T11+T67+T71+T75+T79</f>
        <v>11475</v>
      </c>
      <c r="U10" s="719">
        <f>U11+U67+U71+U75+U79</f>
        <v>5175</v>
      </c>
      <c r="V10" s="720"/>
      <c r="W10" s="720"/>
      <c r="X10" s="720"/>
      <c r="Y10" s="719">
        <f t="shared" ref="Y10:AA10" si="1">Y11+Y67+Y71+Y75+Y79</f>
        <v>10265</v>
      </c>
      <c r="Z10" s="719">
        <f t="shared" si="1"/>
        <v>4200</v>
      </c>
      <c r="AA10" s="719">
        <f t="shared" si="1"/>
        <v>650</v>
      </c>
      <c r="AB10" s="720"/>
      <c r="AC10" s="720"/>
      <c r="AD10" s="720"/>
      <c r="AE10" s="719">
        <f t="shared" ref="AE10:AF10" si="2">AE11+AE67+AE71+AE75+AE79</f>
        <v>4350</v>
      </c>
      <c r="AF10" s="719">
        <f t="shared" si="2"/>
        <v>150</v>
      </c>
      <c r="AG10" s="719">
        <f>AG11</f>
        <v>0</v>
      </c>
      <c r="AH10" s="719">
        <f>SUM(M10:AG10)</f>
        <v>46520</v>
      </c>
      <c r="AI10" s="719">
        <f>AH10</f>
        <v>46520</v>
      </c>
      <c r="AJ10" s="718"/>
      <c r="AK10" s="718"/>
      <c r="AL10" s="718"/>
      <c r="AM10" s="718"/>
      <c r="AN10" s="721"/>
      <c r="AO10" s="722"/>
      <c r="AP10" s="47" t="s">
        <v>1735</v>
      </c>
      <c r="AQ10" s="722"/>
    </row>
    <row r="11" spans="1:43" ht="60">
      <c r="A11" s="355" t="s">
        <v>44</v>
      </c>
      <c r="B11" s="355" t="s">
        <v>45</v>
      </c>
      <c r="C11" s="723"/>
      <c r="D11" s="355"/>
      <c r="E11" s="355"/>
      <c r="F11" s="355"/>
      <c r="G11" s="724"/>
      <c r="H11" s="725"/>
      <c r="I11" s="725"/>
      <c r="J11" s="726"/>
      <c r="K11" s="726"/>
      <c r="L11" s="726"/>
      <c r="M11" s="727">
        <f t="shared" ref="M11" si="3">M12+M16+M28+M31+M35+M38+M44+M50+M58+M61+M64</f>
        <v>0</v>
      </c>
      <c r="N11" s="728">
        <f>N12+N16+N28+N31+N35+N38+N44+N50+N58+N61+N64</f>
        <v>500</v>
      </c>
      <c r="O11" s="728">
        <f>O12+O16+O28+O31+O35+O38+O44+O50+O58+O61+O64</f>
        <v>5125</v>
      </c>
      <c r="P11" s="729"/>
      <c r="Q11" s="729"/>
      <c r="R11" s="729"/>
      <c r="S11" s="728">
        <f t="shared" ref="S11:T11" si="4">S12+S16+S28+S31+S35+S38+S44+S50+S58+S61+S64</f>
        <v>2450</v>
      </c>
      <c r="T11" s="728">
        <f t="shared" si="4"/>
        <v>11475</v>
      </c>
      <c r="U11" s="728">
        <f>U12+U16+U28+U31+U35+U38+U44+U50+U58+U61+U64</f>
        <v>5175</v>
      </c>
      <c r="V11" s="729"/>
      <c r="W11" s="729"/>
      <c r="X11" s="729"/>
      <c r="Y11" s="728">
        <f t="shared" ref="Y11:Z11" si="5">Y12+Y16+Y28+Y31+Y35+Y38+Y44+Y50+Y58+Y61+Y64</f>
        <v>10265</v>
      </c>
      <c r="Z11" s="728">
        <f t="shared" si="5"/>
        <v>4200</v>
      </c>
      <c r="AA11" s="728">
        <f>AA12+AA16+AA28+AA31+AA35+AA38+AA44+AA50+AA58+AA61+AA64</f>
        <v>650</v>
      </c>
      <c r="AB11" s="729"/>
      <c r="AC11" s="729"/>
      <c r="AD11" s="729"/>
      <c r="AE11" s="728">
        <f t="shared" ref="AE11:AF11" si="6">AE12+AE16+AE28+AE31+AE35+AE38+AE44+AE50+AE58+AE61+AE64</f>
        <v>4350</v>
      </c>
      <c r="AF11" s="728">
        <f t="shared" si="6"/>
        <v>150</v>
      </c>
      <c r="AG11" s="728">
        <f>AG12+AG16+AG28+AG31+AG35+AG38+AG44+AG50+AG58+AG61+AG64</f>
        <v>0</v>
      </c>
      <c r="AH11" s="728">
        <f>AH12+AH16+AH28+AH31+AH35+AH38+AH44+AH50+AH58+AH61+AH64</f>
        <v>44340</v>
      </c>
      <c r="AI11" s="728">
        <f>AH11</f>
        <v>44340</v>
      </c>
      <c r="AJ11" s="727"/>
      <c r="AK11" s="727"/>
      <c r="AL11" s="727"/>
      <c r="AM11" s="727"/>
      <c r="AN11" s="730"/>
      <c r="AO11" s="731"/>
      <c r="AP11" s="355" t="s">
        <v>1735</v>
      </c>
      <c r="AQ11" s="731"/>
    </row>
    <row r="12" spans="1:43" ht="45">
      <c r="A12" s="363" t="s">
        <v>1736</v>
      </c>
      <c r="B12" s="363" t="s">
        <v>1737</v>
      </c>
      <c r="C12" s="732"/>
      <c r="D12" s="363"/>
      <c r="E12" s="363"/>
      <c r="F12" s="363"/>
      <c r="G12" s="733"/>
      <c r="H12" s="734"/>
      <c r="I12" s="734"/>
      <c r="J12" s="735"/>
      <c r="K12" s="735"/>
      <c r="L12" s="735"/>
      <c r="M12" s="736">
        <f>M13</f>
        <v>0</v>
      </c>
      <c r="N12" s="737">
        <f>N13</f>
        <v>0</v>
      </c>
      <c r="O12" s="737">
        <f>O13</f>
        <v>975</v>
      </c>
      <c r="P12" s="738"/>
      <c r="Q12" s="738"/>
      <c r="R12" s="738"/>
      <c r="S12" s="737"/>
      <c r="T12" s="737"/>
      <c r="U12" s="737"/>
      <c r="V12" s="738"/>
      <c r="W12" s="738"/>
      <c r="X12" s="738"/>
      <c r="Y12" s="737"/>
      <c r="Z12" s="737"/>
      <c r="AA12" s="737"/>
      <c r="AB12" s="738"/>
      <c r="AC12" s="738"/>
      <c r="AD12" s="738"/>
      <c r="AE12" s="737"/>
      <c r="AF12" s="737"/>
      <c r="AG12" s="737"/>
      <c r="AH12" s="737">
        <f>AH13</f>
        <v>975</v>
      </c>
      <c r="AI12" s="737">
        <f>AH12</f>
        <v>975</v>
      </c>
      <c r="AJ12" s="736"/>
      <c r="AK12" s="736"/>
      <c r="AL12" s="736"/>
      <c r="AM12" s="736"/>
      <c r="AN12" s="739"/>
      <c r="AO12" s="740"/>
      <c r="AP12" s="363" t="s">
        <v>1735</v>
      </c>
      <c r="AQ12" s="740"/>
    </row>
    <row r="13" spans="1:43" ht="150">
      <c r="A13" s="371" t="s">
        <v>1738</v>
      </c>
      <c r="B13" s="371" t="s">
        <v>1739</v>
      </c>
      <c r="C13" s="741"/>
      <c r="D13" s="371" t="s">
        <v>1740</v>
      </c>
      <c r="E13" s="371" t="s">
        <v>1741</v>
      </c>
      <c r="F13" s="371"/>
      <c r="G13" s="742"/>
      <c r="H13" s="743"/>
      <c r="I13" s="744"/>
      <c r="J13" s="745"/>
      <c r="K13" s="745"/>
      <c r="L13" s="745"/>
      <c r="M13" s="746"/>
      <c r="N13" s="746"/>
      <c r="O13" s="746">
        <f>O14+O15</f>
        <v>975</v>
      </c>
      <c r="P13" s="745"/>
      <c r="Q13" s="745"/>
      <c r="R13" s="745"/>
      <c r="S13" s="746"/>
      <c r="T13" s="746"/>
      <c r="U13" s="746"/>
      <c r="V13" s="745"/>
      <c r="W13" s="745"/>
      <c r="X13" s="745"/>
      <c r="Y13" s="746"/>
      <c r="Z13" s="746"/>
      <c r="AA13" s="746"/>
      <c r="AB13" s="745"/>
      <c r="AC13" s="745"/>
      <c r="AD13" s="745"/>
      <c r="AE13" s="746"/>
      <c r="AF13" s="746"/>
      <c r="AG13" s="746"/>
      <c r="AH13" s="747">
        <f>SUM(J13:AG13)</f>
        <v>975</v>
      </c>
      <c r="AI13" s="748">
        <f>AH13</f>
        <v>975</v>
      </c>
      <c r="AJ13" s="746"/>
      <c r="AK13" s="746"/>
      <c r="AL13" s="746"/>
      <c r="AM13" s="746"/>
      <c r="AN13" s="746"/>
      <c r="AO13" s="749"/>
      <c r="AP13" s="371" t="s">
        <v>1735</v>
      </c>
      <c r="AQ13" s="749"/>
    </row>
    <row r="14" spans="1:43" ht="75">
      <c r="A14" s="379" t="s">
        <v>1742</v>
      </c>
      <c r="B14" s="379" t="s">
        <v>1743</v>
      </c>
      <c r="C14" s="750">
        <v>1</v>
      </c>
      <c r="D14" s="379" t="s">
        <v>1740</v>
      </c>
      <c r="E14" s="379" t="s">
        <v>1741</v>
      </c>
      <c r="F14" s="379" t="s">
        <v>1744</v>
      </c>
      <c r="G14" s="751"/>
      <c r="H14" s="752"/>
      <c r="I14" s="752"/>
      <c r="J14" s="753"/>
      <c r="K14" s="753"/>
      <c r="L14" s="754">
        <v>1</v>
      </c>
      <c r="M14" s="754"/>
      <c r="N14" s="754"/>
      <c r="O14" s="754">
        <v>545</v>
      </c>
      <c r="P14" s="755"/>
      <c r="Q14" s="756"/>
      <c r="R14" s="756"/>
      <c r="S14" s="756"/>
      <c r="T14" s="756"/>
      <c r="U14" s="756"/>
      <c r="V14" s="756"/>
      <c r="W14" s="756"/>
      <c r="X14" s="756"/>
      <c r="Y14" s="756"/>
      <c r="Z14" s="756"/>
      <c r="AA14" s="756"/>
      <c r="AB14" s="756"/>
      <c r="AC14" s="756"/>
      <c r="AD14" s="756"/>
      <c r="AE14" s="756"/>
      <c r="AF14" s="756"/>
      <c r="AG14" s="756"/>
      <c r="AH14" s="757">
        <f t="shared" ref="AH14:AH15" si="7">SUM(M14+N14+O14+S14+T14+U14+Y14+Z14+AA14+AE14+AF14+AG14)</f>
        <v>545</v>
      </c>
      <c r="AI14" s="758">
        <f t="shared" ref="AI14:AI15" si="8">+AH14</f>
        <v>545</v>
      </c>
      <c r="AJ14" s="759"/>
      <c r="AK14" s="759"/>
      <c r="AL14" s="759"/>
      <c r="AM14" s="760"/>
      <c r="AN14" s="2079"/>
      <c r="AO14" s="2080" t="s">
        <v>1745</v>
      </c>
      <c r="AP14" s="379" t="s">
        <v>1746</v>
      </c>
      <c r="AQ14" s="761">
        <f>AI14</f>
        <v>545</v>
      </c>
    </row>
    <row r="15" spans="1:43" ht="75">
      <c r="A15" s="379" t="s">
        <v>1747</v>
      </c>
      <c r="B15" s="379" t="s">
        <v>1748</v>
      </c>
      <c r="C15" s="750">
        <v>1</v>
      </c>
      <c r="D15" s="379" t="s">
        <v>1740</v>
      </c>
      <c r="E15" s="379" t="s">
        <v>1749</v>
      </c>
      <c r="F15" s="379" t="s">
        <v>1744</v>
      </c>
      <c r="G15" s="751"/>
      <c r="H15" s="762"/>
      <c r="I15" s="763"/>
      <c r="J15" s="753"/>
      <c r="K15" s="753"/>
      <c r="L15" s="754">
        <v>1</v>
      </c>
      <c r="M15" s="754"/>
      <c r="N15" s="754"/>
      <c r="O15" s="754">
        <v>430</v>
      </c>
      <c r="P15" s="755"/>
      <c r="Q15" s="756"/>
      <c r="R15" s="756"/>
      <c r="S15" s="756"/>
      <c r="T15" s="756"/>
      <c r="U15" s="756"/>
      <c r="V15" s="756"/>
      <c r="W15" s="756"/>
      <c r="X15" s="756"/>
      <c r="Y15" s="756"/>
      <c r="Z15" s="756"/>
      <c r="AA15" s="756"/>
      <c r="AB15" s="756"/>
      <c r="AC15" s="756"/>
      <c r="AD15" s="756"/>
      <c r="AE15" s="756"/>
      <c r="AF15" s="756"/>
      <c r="AG15" s="756"/>
      <c r="AH15" s="757">
        <f t="shared" si="7"/>
        <v>430</v>
      </c>
      <c r="AI15" s="758">
        <f t="shared" si="8"/>
        <v>430</v>
      </c>
      <c r="AJ15" s="759"/>
      <c r="AK15" s="759"/>
      <c r="AL15" s="759"/>
      <c r="AM15" s="760"/>
      <c r="AN15" s="2079"/>
      <c r="AO15" s="2080"/>
      <c r="AP15" s="379" t="s">
        <v>1746</v>
      </c>
      <c r="AQ15" s="761">
        <f>AI15</f>
        <v>430</v>
      </c>
    </row>
    <row r="16" spans="1:43" ht="30">
      <c r="A16" s="363" t="s">
        <v>1750</v>
      </c>
      <c r="B16" s="363" t="s">
        <v>1751</v>
      </c>
      <c r="C16" s="732"/>
      <c r="D16" s="363"/>
      <c r="E16" s="363"/>
      <c r="F16" s="363"/>
      <c r="G16" s="733"/>
      <c r="H16" s="764"/>
      <c r="I16" s="765"/>
      <c r="J16" s="766"/>
      <c r="K16" s="766"/>
      <c r="L16" s="767"/>
      <c r="M16" s="768"/>
      <c r="N16" s="768"/>
      <c r="O16" s="769">
        <f>O17+O20+O22+O24+O26</f>
        <v>250</v>
      </c>
      <c r="P16" s="767"/>
      <c r="Q16" s="766"/>
      <c r="R16" s="766"/>
      <c r="S16" s="769">
        <f>S17+S20+S22+S24+S26</f>
        <v>2450</v>
      </c>
      <c r="T16" s="769">
        <f t="shared" ref="T16:U16" si="9">T17+T20+T22+T24+T26</f>
        <v>250</v>
      </c>
      <c r="U16" s="769">
        <f t="shared" si="9"/>
        <v>150</v>
      </c>
      <c r="V16" s="766"/>
      <c r="W16" s="766"/>
      <c r="X16" s="766"/>
      <c r="Y16" s="769">
        <f>Y17+Y20+Y22+Y24+Y26</f>
        <v>10115</v>
      </c>
      <c r="Z16" s="769">
        <f t="shared" ref="Z16:AA16" si="10">Z17+Z20+Z22+Z24+Z26</f>
        <v>0</v>
      </c>
      <c r="AA16" s="769">
        <f t="shared" si="10"/>
        <v>650</v>
      </c>
      <c r="AB16" s="766"/>
      <c r="AC16" s="766"/>
      <c r="AD16" s="766"/>
      <c r="AE16" s="769"/>
      <c r="AF16" s="769"/>
      <c r="AG16" s="769">
        <f t="shared" ref="AG16:AH16" si="11">AG17+AG20+AG22+AG24+AG26</f>
        <v>0</v>
      </c>
      <c r="AH16" s="769">
        <f t="shared" si="11"/>
        <v>13865</v>
      </c>
      <c r="AI16" s="770">
        <f>AH16</f>
        <v>13865</v>
      </c>
      <c r="AJ16" s="769"/>
      <c r="AK16" s="769"/>
      <c r="AL16" s="769"/>
      <c r="AM16" s="769"/>
      <c r="AN16" s="769"/>
      <c r="AO16" s="740"/>
      <c r="AP16" s="363" t="s">
        <v>1735</v>
      </c>
      <c r="AQ16" s="740"/>
    </row>
    <row r="17" spans="1:43" ht="75">
      <c r="A17" s="371" t="s">
        <v>1752</v>
      </c>
      <c r="B17" s="371" t="s">
        <v>1753</v>
      </c>
      <c r="C17" s="741"/>
      <c r="D17" s="371" t="s">
        <v>1740</v>
      </c>
      <c r="E17" s="371" t="s">
        <v>1741</v>
      </c>
      <c r="F17" s="371"/>
      <c r="G17" s="742"/>
      <c r="H17" s="744"/>
      <c r="I17" s="771"/>
      <c r="J17" s="745"/>
      <c r="K17" s="745"/>
      <c r="L17" s="772"/>
      <c r="M17" s="773"/>
      <c r="N17" s="773"/>
      <c r="O17" s="773"/>
      <c r="P17" s="772"/>
      <c r="Q17" s="745"/>
      <c r="R17" s="745"/>
      <c r="S17" s="774">
        <f>S18+S19</f>
        <v>1950</v>
      </c>
      <c r="T17" s="746"/>
      <c r="U17" s="746"/>
      <c r="V17" s="745"/>
      <c r="W17" s="745"/>
      <c r="X17" s="745"/>
      <c r="Y17" s="746"/>
      <c r="Z17" s="746"/>
      <c r="AA17" s="746"/>
      <c r="AB17" s="745"/>
      <c r="AC17" s="745"/>
      <c r="AD17" s="745"/>
      <c r="AE17" s="746"/>
      <c r="AF17" s="746"/>
      <c r="AG17" s="746"/>
      <c r="AH17" s="747">
        <f>SUM(J17:AG17)</f>
        <v>1950</v>
      </c>
      <c r="AI17" s="748">
        <f>AH17</f>
        <v>1950</v>
      </c>
      <c r="AJ17" s="746"/>
      <c r="AK17" s="746"/>
      <c r="AL17" s="746"/>
      <c r="AM17" s="746"/>
      <c r="AN17" s="746"/>
      <c r="AO17" s="749"/>
      <c r="AP17" s="371" t="s">
        <v>1735</v>
      </c>
      <c r="AQ17" s="749"/>
    </row>
    <row r="18" spans="1:43" ht="75">
      <c r="A18" s="379" t="s">
        <v>1754</v>
      </c>
      <c r="B18" s="379" t="s">
        <v>1755</v>
      </c>
      <c r="C18" s="775">
        <f t="shared" ref="C18:C27" si="12">J18+K18+L18+P18+Q18+R18+V18+W18+X18+AB18+AC18+AD18</f>
        <v>1</v>
      </c>
      <c r="D18" s="379" t="s">
        <v>1740</v>
      </c>
      <c r="E18" s="379" t="s">
        <v>1741</v>
      </c>
      <c r="F18" s="379" t="s">
        <v>1744</v>
      </c>
      <c r="G18" s="751"/>
      <c r="H18" s="752"/>
      <c r="I18" s="762"/>
      <c r="J18" s="753"/>
      <c r="K18" s="753"/>
      <c r="L18" s="753"/>
      <c r="M18" s="753"/>
      <c r="N18" s="753"/>
      <c r="O18" s="756"/>
      <c r="P18" s="754">
        <v>1</v>
      </c>
      <c r="Q18" s="754"/>
      <c r="R18" s="754"/>
      <c r="S18" s="776">
        <v>1090</v>
      </c>
      <c r="T18" s="756"/>
      <c r="U18" s="756"/>
      <c r="V18" s="757"/>
      <c r="W18" s="757"/>
      <c r="X18" s="757"/>
      <c r="Y18" s="757"/>
      <c r="Z18" s="757"/>
      <c r="AA18" s="757"/>
      <c r="AB18" s="757"/>
      <c r="AC18" s="757"/>
      <c r="AD18" s="757"/>
      <c r="AE18" s="757"/>
      <c r="AF18" s="757"/>
      <c r="AG18" s="757"/>
      <c r="AH18" s="757">
        <f t="shared" ref="AH18:AH19" si="13">SUM(M18+N18+O18+S18+T18+U18+Y18+Z18+AA18+AE18+AF18+AG18)</f>
        <v>1090</v>
      </c>
      <c r="AI18" s="758">
        <f t="shared" ref="AI18:AI19" si="14">+AH18</f>
        <v>1090</v>
      </c>
      <c r="AJ18" s="777"/>
      <c r="AK18" s="777"/>
      <c r="AL18" s="777"/>
      <c r="AM18" s="778"/>
      <c r="AN18" s="2079"/>
      <c r="AO18" s="2080" t="s">
        <v>1745</v>
      </c>
      <c r="AP18" s="379" t="s">
        <v>1746</v>
      </c>
      <c r="AQ18" s="761">
        <f t="shared" ref="AQ18:AQ19" si="15">AI18</f>
        <v>1090</v>
      </c>
    </row>
    <row r="19" spans="1:43" ht="75">
      <c r="A19" s="379" t="s">
        <v>1756</v>
      </c>
      <c r="B19" s="379" t="s">
        <v>1757</v>
      </c>
      <c r="C19" s="775">
        <f t="shared" si="12"/>
        <v>1</v>
      </c>
      <c r="D19" s="379" t="s">
        <v>1740</v>
      </c>
      <c r="E19" s="379" t="s">
        <v>1749</v>
      </c>
      <c r="F19" s="379" t="s">
        <v>1744</v>
      </c>
      <c r="G19" s="751"/>
      <c r="H19" s="762"/>
      <c r="I19" s="762"/>
      <c r="J19" s="753"/>
      <c r="K19" s="753"/>
      <c r="L19" s="753"/>
      <c r="M19" s="753"/>
      <c r="N19" s="753"/>
      <c r="O19" s="756"/>
      <c r="P19" s="754">
        <v>1</v>
      </c>
      <c r="Q19" s="754"/>
      <c r="R19" s="754"/>
      <c r="S19" s="754">
        <v>860</v>
      </c>
      <c r="T19" s="756"/>
      <c r="U19" s="756"/>
      <c r="V19" s="757"/>
      <c r="W19" s="757"/>
      <c r="X19" s="757"/>
      <c r="Y19" s="757"/>
      <c r="Z19" s="757"/>
      <c r="AA19" s="757"/>
      <c r="AB19" s="757"/>
      <c r="AC19" s="757"/>
      <c r="AD19" s="757"/>
      <c r="AE19" s="757"/>
      <c r="AF19" s="757"/>
      <c r="AG19" s="757"/>
      <c r="AH19" s="757">
        <f t="shared" si="13"/>
        <v>860</v>
      </c>
      <c r="AI19" s="758">
        <f t="shared" si="14"/>
        <v>860</v>
      </c>
      <c r="AJ19" s="777"/>
      <c r="AK19" s="777"/>
      <c r="AL19" s="777"/>
      <c r="AM19" s="778"/>
      <c r="AN19" s="2079"/>
      <c r="AO19" s="2080"/>
      <c r="AP19" s="379" t="s">
        <v>1746</v>
      </c>
      <c r="AQ19" s="761">
        <f t="shared" si="15"/>
        <v>860</v>
      </c>
    </row>
    <row r="20" spans="1:43" ht="60">
      <c r="A20" s="371" t="s">
        <v>1758</v>
      </c>
      <c r="B20" s="371" t="s">
        <v>1759</v>
      </c>
      <c r="C20" s="741"/>
      <c r="D20" s="371" t="s">
        <v>57</v>
      </c>
      <c r="E20" s="371" t="s">
        <v>1760</v>
      </c>
      <c r="F20" s="371" t="s">
        <v>1761</v>
      </c>
      <c r="G20" s="742"/>
      <c r="H20" s="743"/>
      <c r="I20" s="743"/>
      <c r="J20" s="779"/>
      <c r="K20" s="779"/>
      <c r="L20" s="779"/>
      <c r="M20" s="747"/>
      <c r="N20" s="747"/>
      <c r="O20" s="747">
        <f>O21</f>
        <v>250</v>
      </c>
      <c r="P20" s="780"/>
      <c r="Q20" s="780"/>
      <c r="R20" s="780"/>
      <c r="S20" s="747"/>
      <c r="T20" s="747">
        <f>T21</f>
        <v>250</v>
      </c>
      <c r="U20" s="747"/>
      <c r="V20" s="780"/>
      <c r="W20" s="780"/>
      <c r="X20" s="780"/>
      <c r="Y20" s="747"/>
      <c r="Z20" s="747"/>
      <c r="AA20" s="747"/>
      <c r="AB20" s="780"/>
      <c r="AC20" s="780"/>
      <c r="AD20" s="780"/>
      <c r="AE20" s="747"/>
      <c r="AF20" s="747"/>
      <c r="AG20" s="747"/>
      <c r="AH20" s="747">
        <f>SUM(J20:AG20)</f>
        <v>500</v>
      </c>
      <c r="AI20" s="747">
        <f t="shared" ref="AI20:AI30" si="16">AH20</f>
        <v>500</v>
      </c>
      <c r="AJ20" s="747"/>
      <c r="AK20" s="747"/>
      <c r="AL20" s="747"/>
      <c r="AM20" s="747"/>
      <c r="AN20" s="781"/>
      <c r="AO20" s="749"/>
      <c r="AP20" s="371" t="s">
        <v>1735</v>
      </c>
      <c r="AQ20" s="749"/>
    </row>
    <row r="21" spans="1:43" ht="60">
      <c r="A21" s="379" t="s">
        <v>1762</v>
      </c>
      <c r="B21" s="379" t="s">
        <v>1763</v>
      </c>
      <c r="C21" s="775">
        <f t="shared" si="12"/>
        <v>2</v>
      </c>
      <c r="D21" s="379" t="s">
        <v>57</v>
      </c>
      <c r="E21" s="379" t="s">
        <v>1760</v>
      </c>
      <c r="F21" s="379" t="s">
        <v>1761</v>
      </c>
      <c r="G21" s="751"/>
      <c r="H21" s="751"/>
      <c r="I21" s="763"/>
      <c r="J21" s="782"/>
      <c r="K21" s="782"/>
      <c r="L21" s="782">
        <v>1</v>
      </c>
      <c r="M21" s="782"/>
      <c r="N21" s="782"/>
      <c r="O21" s="757">
        <v>250</v>
      </c>
      <c r="P21" s="757"/>
      <c r="Q21" s="783">
        <v>1</v>
      </c>
      <c r="R21" s="757"/>
      <c r="S21" s="757"/>
      <c r="T21" s="757">
        <v>250</v>
      </c>
      <c r="U21" s="757"/>
      <c r="V21" s="757"/>
      <c r="W21" s="757"/>
      <c r="X21" s="757"/>
      <c r="Y21" s="757"/>
      <c r="Z21" s="757"/>
      <c r="AA21" s="757"/>
      <c r="AB21" s="757"/>
      <c r="AC21" s="757"/>
      <c r="AD21" s="757"/>
      <c r="AE21" s="757"/>
      <c r="AF21" s="757"/>
      <c r="AG21" s="757"/>
      <c r="AH21" s="757">
        <f t="shared" ref="AH21" si="17">SUM(M21+N21+O21+S21+T21+U21+Y21+Z21+AA21+AE21+AF21+AG21)</f>
        <v>500</v>
      </c>
      <c r="AI21" s="784">
        <f t="shared" si="16"/>
        <v>500</v>
      </c>
      <c r="AJ21" s="777"/>
      <c r="AK21" s="777"/>
      <c r="AL21" s="777"/>
      <c r="AM21" s="778"/>
      <c r="AN21" s="785"/>
      <c r="AO21" s="786" t="s">
        <v>1764</v>
      </c>
      <c r="AP21" s="379" t="s">
        <v>1765</v>
      </c>
      <c r="AQ21" s="761">
        <f>AI21</f>
        <v>500</v>
      </c>
    </row>
    <row r="22" spans="1:43" ht="90">
      <c r="A22" s="371" t="s">
        <v>1766</v>
      </c>
      <c r="B22" s="371" t="s">
        <v>1767</v>
      </c>
      <c r="C22" s="741"/>
      <c r="D22" s="371" t="s">
        <v>944</v>
      </c>
      <c r="E22" s="371" t="s">
        <v>1768</v>
      </c>
      <c r="F22" s="371" t="s">
        <v>1769</v>
      </c>
      <c r="G22" s="742"/>
      <c r="H22" s="742"/>
      <c r="I22" s="742"/>
      <c r="J22" s="780"/>
      <c r="K22" s="780"/>
      <c r="L22" s="780"/>
      <c r="M22" s="747"/>
      <c r="N22" s="747"/>
      <c r="O22" s="747"/>
      <c r="P22" s="780"/>
      <c r="Q22" s="780"/>
      <c r="R22" s="780"/>
      <c r="S22" s="747"/>
      <c r="T22" s="747"/>
      <c r="U22" s="747">
        <f>U23</f>
        <v>150</v>
      </c>
      <c r="V22" s="780"/>
      <c r="W22" s="780"/>
      <c r="X22" s="780"/>
      <c r="Y22" s="747"/>
      <c r="Z22" s="747"/>
      <c r="AA22" s="747">
        <f>AA23</f>
        <v>150</v>
      </c>
      <c r="AB22" s="780"/>
      <c r="AC22" s="780"/>
      <c r="AD22" s="780"/>
      <c r="AE22" s="747"/>
      <c r="AF22" s="747"/>
      <c r="AG22" s="747"/>
      <c r="AH22" s="747">
        <f>SUM(J22:AG22)</f>
        <v>300</v>
      </c>
      <c r="AI22" s="748">
        <f t="shared" si="16"/>
        <v>300</v>
      </c>
      <c r="AJ22" s="748"/>
      <c r="AK22" s="748"/>
      <c r="AL22" s="748"/>
      <c r="AM22" s="748"/>
      <c r="AN22" s="787"/>
      <c r="AO22" s="788"/>
      <c r="AP22" s="371" t="s">
        <v>1735</v>
      </c>
      <c r="AQ22" s="789"/>
    </row>
    <row r="23" spans="1:43" ht="90">
      <c r="A23" s="379" t="s">
        <v>1770</v>
      </c>
      <c r="B23" s="379" t="s">
        <v>1771</v>
      </c>
      <c r="C23" s="775">
        <f t="shared" si="12"/>
        <v>2</v>
      </c>
      <c r="D23" s="379" t="s">
        <v>944</v>
      </c>
      <c r="E23" s="379" t="s">
        <v>1768</v>
      </c>
      <c r="F23" s="379" t="s">
        <v>1769</v>
      </c>
      <c r="G23" s="751"/>
      <c r="H23" s="751"/>
      <c r="I23" s="763"/>
      <c r="J23" s="782"/>
      <c r="K23" s="782"/>
      <c r="L23" s="782"/>
      <c r="M23" s="782"/>
      <c r="N23" s="782"/>
      <c r="O23" s="757"/>
      <c r="P23" s="757"/>
      <c r="Q23" s="757"/>
      <c r="R23" s="757">
        <v>1</v>
      </c>
      <c r="S23" s="757"/>
      <c r="T23" s="757"/>
      <c r="U23" s="757">
        <v>150</v>
      </c>
      <c r="V23" s="757"/>
      <c r="W23" s="757"/>
      <c r="X23" s="757">
        <v>1</v>
      </c>
      <c r="Y23" s="757"/>
      <c r="Z23" s="757"/>
      <c r="AA23" s="757">
        <v>150</v>
      </c>
      <c r="AB23" s="757"/>
      <c r="AC23" s="757"/>
      <c r="AD23" s="757"/>
      <c r="AE23" s="757"/>
      <c r="AF23" s="757"/>
      <c r="AG23" s="757"/>
      <c r="AH23" s="757">
        <f t="shared" ref="AH23" si="18">SUM(M23+N23+O23+S23+T23+U23+Y23+Z23+AA23+AE23+AF23+AG23)</f>
        <v>300</v>
      </c>
      <c r="AI23" s="784">
        <f t="shared" si="16"/>
        <v>300</v>
      </c>
      <c r="AJ23" s="777"/>
      <c r="AK23" s="777"/>
      <c r="AL23" s="777"/>
      <c r="AM23" s="778"/>
      <c r="AN23" s="785"/>
      <c r="AO23" s="786" t="s">
        <v>1764</v>
      </c>
      <c r="AP23" s="379" t="s">
        <v>1765</v>
      </c>
      <c r="AQ23" s="761">
        <f>AI23</f>
        <v>300</v>
      </c>
    </row>
    <row r="24" spans="1:43" ht="120">
      <c r="A24" s="371" t="s">
        <v>1772</v>
      </c>
      <c r="B24" s="371" t="s">
        <v>1773</v>
      </c>
      <c r="C24" s="741"/>
      <c r="D24" s="371" t="s">
        <v>231</v>
      </c>
      <c r="E24" s="371" t="s">
        <v>1774</v>
      </c>
      <c r="F24" s="371" t="s">
        <v>1775</v>
      </c>
      <c r="G24" s="742"/>
      <c r="H24" s="742"/>
      <c r="I24" s="771"/>
      <c r="J24" s="790"/>
      <c r="K24" s="790"/>
      <c r="L24" s="790"/>
      <c r="M24" s="791"/>
      <c r="N24" s="791"/>
      <c r="O24" s="791"/>
      <c r="P24" s="790"/>
      <c r="Q24" s="790"/>
      <c r="R24" s="790"/>
      <c r="S24" s="791"/>
      <c r="T24" s="791"/>
      <c r="U24" s="747"/>
      <c r="V24" s="780"/>
      <c r="W24" s="780"/>
      <c r="X24" s="780"/>
      <c r="Y24" s="792">
        <f>Y25</f>
        <v>10115</v>
      </c>
      <c r="Z24" s="793"/>
      <c r="AA24" s="793"/>
      <c r="AB24" s="793"/>
      <c r="AC24" s="793"/>
      <c r="AD24" s="793"/>
      <c r="AE24" s="793"/>
      <c r="AF24" s="793"/>
      <c r="AG24" s="793"/>
      <c r="AH24" s="793">
        <f>SUM(J24:AG24)</f>
        <v>10115</v>
      </c>
      <c r="AI24" s="794">
        <f t="shared" si="16"/>
        <v>10115</v>
      </c>
      <c r="AJ24" s="795"/>
      <c r="AK24" s="795"/>
      <c r="AL24" s="795"/>
      <c r="AM24" s="795"/>
      <c r="AN24" s="796"/>
      <c r="AO24" s="797"/>
      <c r="AP24" s="371" t="s">
        <v>1735</v>
      </c>
      <c r="AQ24" s="789"/>
    </row>
    <row r="25" spans="1:43" ht="120">
      <c r="A25" s="379" t="s">
        <v>1776</v>
      </c>
      <c r="B25" s="379" t="s">
        <v>1777</v>
      </c>
      <c r="C25" s="775">
        <f t="shared" si="12"/>
        <v>1</v>
      </c>
      <c r="D25" s="379" t="s">
        <v>231</v>
      </c>
      <c r="E25" s="379" t="s">
        <v>1774</v>
      </c>
      <c r="F25" s="379" t="s">
        <v>1775</v>
      </c>
      <c r="G25" s="751"/>
      <c r="H25" s="751"/>
      <c r="I25" s="751"/>
      <c r="J25" s="798"/>
      <c r="K25" s="798"/>
      <c r="L25" s="798"/>
      <c r="M25" s="798"/>
      <c r="N25" s="798"/>
      <c r="O25" s="798"/>
      <c r="P25" s="798"/>
      <c r="Q25" s="798"/>
      <c r="R25" s="798"/>
      <c r="S25" s="798"/>
      <c r="T25" s="798"/>
      <c r="U25" s="757"/>
      <c r="V25" s="757">
        <v>1</v>
      </c>
      <c r="W25" s="757"/>
      <c r="X25" s="757"/>
      <c r="Y25" s="799">
        <v>10115</v>
      </c>
      <c r="Z25" s="799"/>
      <c r="AA25" s="799"/>
      <c r="AB25" s="799"/>
      <c r="AC25" s="799"/>
      <c r="AD25" s="799"/>
      <c r="AE25" s="799"/>
      <c r="AF25" s="799"/>
      <c r="AG25" s="799"/>
      <c r="AH25" s="799">
        <f t="shared" ref="AH25" si="19">SUM(M25+N25+O25+S25+T25+U25+Y25+Z25+AA25+AE25+AF25+AG25)</f>
        <v>10115</v>
      </c>
      <c r="AI25" s="800">
        <f t="shared" si="16"/>
        <v>10115</v>
      </c>
      <c r="AJ25" s="801"/>
      <c r="AK25" s="801"/>
      <c r="AL25" s="801"/>
      <c r="AM25" s="801"/>
      <c r="AN25" s="802"/>
      <c r="AO25" s="803" t="s">
        <v>1764</v>
      </c>
      <c r="AP25" s="379" t="s">
        <v>1765</v>
      </c>
      <c r="AQ25" s="761">
        <f>AI25</f>
        <v>10115</v>
      </c>
    </row>
    <row r="26" spans="1:43" ht="165">
      <c r="A26" s="371" t="s">
        <v>1778</v>
      </c>
      <c r="B26" s="371" t="s">
        <v>1779</v>
      </c>
      <c r="C26" s="741"/>
      <c r="D26" s="371" t="s">
        <v>231</v>
      </c>
      <c r="E26" s="371" t="s">
        <v>1780</v>
      </c>
      <c r="F26" s="371" t="s">
        <v>1775</v>
      </c>
      <c r="G26" s="742"/>
      <c r="H26" s="804"/>
      <c r="I26" s="771"/>
      <c r="J26" s="805"/>
      <c r="K26" s="805"/>
      <c r="L26" s="805"/>
      <c r="M26" s="806"/>
      <c r="N26" s="806"/>
      <c r="O26" s="806"/>
      <c r="P26" s="805"/>
      <c r="Q26" s="805"/>
      <c r="R26" s="805"/>
      <c r="S26" s="807">
        <f>S27</f>
        <v>500</v>
      </c>
      <c r="T26" s="807"/>
      <c r="U26" s="807"/>
      <c r="V26" s="807"/>
      <c r="W26" s="807"/>
      <c r="X26" s="807"/>
      <c r="Y26" s="807"/>
      <c r="Z26" s="807"/>
      <c r="AA26" s="807">
        <f>AA27</f>
        <v>500</v>
      </c>
      <c r="AB26" s="807"/>
      <c r="AC26" s="807"/>
      <c r="AD26" s="807"/>
      <c r="AE26" s="807"/>
      <c r="AF26" s="807"/>
      <c r="AG26" s="807"/>
      <c r="AH26" s="793">
        <f>SUM(J26:AG26)</f>
        <v>1000</v>
      </c>
      <c r="AI26" s="794">
        <f t="shared" si="16"/>
        <v>1000</v>
      </c>
      <c r="AJ26" s="806"/>
      <c r="AK26" s="806"/>
      <c r="AL26" s="806"/>
      <c r="AM26" s="806"/>
      <c r="AN26" s="787"/>
      <c r="AO26" s="788"/>
      <c r="AP26" s="371" t="s">
        <v>1735</v>
      </c>
      <c r="AQ26" s="808"/>
    </row>
    <row r="27" spans="1:43" ht="105">
      <c r="A27" s="379" t="s">
        <v>1781</v>
      </c>
      <c r="B27" s="379" t="s">
        <v>1782</v>
      </c>
      <c r="C27" s="775">
        <f t="shared" si="12"/>
        <v>2</v>
      </c>
      <c r="D27" s="379" t="s">
        <v>231</v>
      </c>
      <c r="E27" s="379" t="s">
        <v>1780</v>
      </c>
      <c r="F27" s="379" t="s">
        <v>1775</v>
      </c>
      <c r="G27" s="751"/>
      <c r="H27" s="752"/>
      <c r="I27" s="751"/>
      <c r="J27" s="809"/>
      <c r="K27" s="809"/>
      <c r="L27" s="809"/>
      <c r="M27" s="809"/>
      <c r="N27" s="809"/>
      <c r="O27" s="809"/>
      <c r="P27" s="810">
        <v>1</v>
      </c>
      <c r="Q27" s="810"/>
      <c r="R27" s="810"/>
      <c r="S27" s="810">
        <v>500</v>
      </c>
      <c r="T27" s="810"/>
      <c r="U27" s="810"/>
      <c r="V27" s="810"/>
      <c r="W27" s="810"/>
      <c r="X27" s="810">
        <v>1</v>
      </c>
      <c r="Y27" s="810"/>
      <c r="Z27" s="810"/>
      <c r="AA27" s="810">
        <v>500</v>
      </c>
      <c r="AB27" s="810"/>
      <c r="AC27" s="810"/>
      <c r="AD27" s="810"/>
      <c r="AE27" s="810"/>
      <c r="AF27" s="810"/>
      <c r="AG27" s="810"/>
      <c r="AH27" s="757">
        <f t="shared" ref="AH27" si="20">SUM(M27+N27+O27+S27+T27+U27+Y27+Z27+AA27+AE27+AF27+AG27)</f>
        <v>1000</v>
      </c>
      <c r="AI27" s="784">
        <f t="shared" si="16"/>
        <v>1000</v>
      </c>
      <c r="AJ27" s="811"/>
      <c r="AK27" s="811"/>
      <c r="AL27" s="812"/>
      <c r="AM27" s="812"/>
      <c r="AN27" s="785"/>
      <c r="AO27" s="786" t="s">
        <v>1764</v>
      </c>
      <c r="AP27" s="379" t="s">
        <v>1765</v>
      </c>
      <c r="AQ27" s="761">
        <f>AI27</f>
        <v>1000</v>
      </c>
    </row>
    <row r="28" spans="1:43" ht="60">
      <c r="A28" s="363" t="s">
        <v>1783</v>
      </c>
      <c r="B28" s="363" t="s">
        <v>1784</v>
      </c>
      <c r="C28" s="732"/>
      <c r="D28" s="363"/>
      <c r="E28" s="363"/>
      <c r="F28" s="363"/>
      <c r="G28" s="733"/>
      <c r="H28" s="733"/>
      <c r="I28" s="733"/>
      <c r="J28" s="766"/>
      <c r="K28" s="766"/>
      <c r="L28" s="766"/>
      <c r="M28" s="813"/>
      <c r="N28" s="813"/>
      <c r="O28" s="813"/>
      <c r="P28" s="766"/>
      <c r="Q28" s="766"/>
      <c r="R28" s="766"/>
      <c r="S28" s="813"/>
      <c r="T28" s="813"/>
      <c r="U28" s="813"/>
      <c r="V28" s="814"/>
      <c r="W28" s="814"/>
      <c r="X28" s="814"/>
      <c r="Y28" s="813">
        <f>Y29</f>
        <v>150</v>
      </c>
      <c r="Z28" s="813"/>
      <c r="AA28" s="813"/>
      <c r="AB28" s="814"/>
      <c r="AC28" s="814"/>
      <c r="AD28" s="814"/>
      <c r="AE28" s="813">
        <f>AE29</f>
        <v>150</v>
      </c>
      <c r="AF28" s="813"/>
      <c r="AG28" s="813"/>
      <c r="AH28" s="813">
        <f>AH29</f>
        <v>300</v>
      </c>
      <c r="AI28" s="770">
        <f t="shared" si="16"/>
        <v>300</v>
      </c>
      <c r="AJ28" s="815"/>
      <c r="AK28" s="815"/>
      <c r="AL28" s="815"/>
      <c r="AM28" s="815"/>
      <c r="AN28" s="815"/>
      <c r="AO28" s="816"/>
      <c r="AP28" s="363" t="s">
        <v>1735</v>
      </c>
      <c r="AQ28" s="816"/>
    </row>
    <row r="29" spans="1:43" ht="105">
      <c r="A29" s="371" t="s">
        <v>1785</v>
      </c>
      <c r="B29" s="371" t="s">
        <v>1786</v>
      </c>
      <c r="C29" s="741"/>
      <c r="D29" s="371" t="s">
        <v>944</v>
      </c>
      <c r="E29" s="371" t="s">
        <v>1787</v>
      </c>
      <c r="F29" s="371" t="s">
        <v>1769</v>
      </c>
      <c r="G29" s="742"/>
      <c r="H29" s="742"/>
      <c r="I29" s="771"/>
      <c r="J29" s="745"/>
      <c r="K29" s="745"/>
      <c r="L29" s="772"/>
      <c r="M29" s="817"/>
      <c r="N29" s="817"/>
      <c r="O29" s="773"/>
      <c r="P29" s="745"/>
      <c r="Q29" s="745"/>
      <c r="R29" s="745"/>
      <c r="S29" s="746"/>
      <c r="T29" s="746"/>
      <c r="U29" s="746"/>
      <c r="V29" s="780"/>
      <c r="W29" s="780"/>
      <c r="X29" s="780"/>
      <c r="Y29" s="747">
        <f>Y30</f>
        <v>150</v>
      </c>
      <c r="Z29" s="747"/>
      <c r="AA29" s="747"/>
      <c r="AB29" s="780"/>
      <c r="AC29" s="780"/>
      <c r="AD29" s="780"/>
      <c r="AE29" s="747">
        <f>AE30</f>
        <v>150</v>
      </c>
      <c r="AF29" s="747"/>
      <c r="AG29" s="747"/>
      <c r="AH29" s="747">
        <f>SUM(M29:AG29)</f>
        <v>300</v>
      </c>
      <c r="AI29" s="748">
        <f t="shared" si="16"/>
        <v>300</v>
      </c>
      <c r="AJ29" s="818"/>
      <c r="AK29" s="818"/>
      <c r="AL29" s="818"/>
      <c r="AM29" s="818"/>
      <c r="AN29" s="746"/>
      <c r="AO29" s="749"/>
      <c r="AP29" s="371" t="s">
        <v>1735</v>
      </c>
      <c r="AQ29" s="789"/>
    </row>
    <row r="30" spans="1:43" ht="105">
      <c r="A30" s="379" t="s">
        <v>1788</v>
      </c>
      <c r="B30" s="379" t="s">
        <v>1789</v>
      </c>
      <c r="C30" s="750">
        <v>2</v>
      </c>
      <c r="D30" s="379" t="s">
        <v>944</v>
      </c>
      <c r="E30" s="379" t="s">
        <v>1787</v>
      </c>
      <c r="F30" s="379" t="s">
        <v>1769</v>
      </c>
      <c r="G30" s="751"/>
      <c r="H30" s="752"/>
      <c r="I30" s="751"/>
      <c r="J30" s="819"/>
      <c r="K30" s="819"/>
      <c r="L30" s="819"/>
      <c r="M30" s="820"/>
      <c r="N30" s="820"/>
      <c r="O30" s="821"/>
      <c r="P30" s="821"/>
      <c r="Q30" s="821"/>
      <c r="R30" s="821"/>
      <c r="S30" s="821"/>
      <c r="T30" s="820"/>
      <c r="U30" s="821"/>
      <c r="V30" s="821">
        <v>1</v>
      </c>
      <c r="W30" s="821"/>
      <c r="X30" s="821"/>
      <c r="Y30" s="821">
        <v>150</v>
      </c>
      <c r="Z30" s="820"/>
      <c r="AA30" s="820"/>
      <c r="AB30" s="821">
        <v>1</v>
      </c>
      <c r="AC30" s="821"/>
      <c r="AD30" s="821"/>
      <c r="AE30" s="821">
        <v>150</v>
      </c>
      <c r="AF30" s="821"/>
      <c r="AG30" s="820"/>
      <c r="AH30" s="757">
        <f t="shared" ref="AH30" si="21">SUM(M30+N30+O30+S30+T30+U30+Y30+Z30+AA30+AE30+AF30+AG30)</f>
        <v>300</v>
      </c>
      <c r="AI30" s="784">
        <f t="shared" si="16"/>
        <v>300</v>
      </c>
      <c r="AJ30" s="811"/>
      <c r="AK30" s="811"/>
      <c r="AL30" s="812"/>
      <c r="AM30" s="812"/>
      <c r="AN30" s="785"/>
      <c r="AO30" s="786" t="s">
        <v>1764</v>
      </c>
      <c r="AP30" s="379" t="s">
        <v>1765</v>
      </c>
      <c r="AQ30" s="761">
        <f>AI30</f>
        <v>300</v>
      </c>
    </row>
    <row r="31" spans="1:43" ht="45">
      <c r="A31" s="363" t="s">
        <v>1790</v>
      </c>
      <c r="B31" s="363" t="s">
        <v>1791</v>
      </c>
      <c r="C31" s="732"/>
      <c r="D31" s="363"/>
      <c r="E31" s="363"/>
      <c r="F31" s="363"/>
      <c r="G31" s="733"/>
      <c r="H31" s="733"/>
      <c r="I31" s="765"/>
      <c r="J31" s="814"/>
      <c r="K31" s="814"/>
      <c r="L31" s="814"/>
      <c r="M31" s="813"/>
      <c r="N31" s="813"/>
      <c r="O31" s="813"/>
      <c r="P31" s="766"/>
      <c r="Q31" s="767"/>
      <c r="R31" s="767"/>
      <c r="S31" s="768"/>
      <c r="T31" s="768">
        <f>T32</f>
        <v>975</v>
      </c>
      <c r="U31" s="769"/>
      <c r="V31" s="814"/>
      <c r="W31" s="814"/>
      <c r="X31" s="814"/>
      <c r="Y31" s="769"/>
      <c r="Z31" s="769"/>
      <c r="AA31" s="769"/>
      <c r="AB31" s="814"/>
      <c r="AC31" s="814"/>
      <c r="AD31" s="814"/>
      <c r="AE31" s="813"/>
      <c r="AF31" s="813"/>
      <c r="AG31" s="813"/>
      <c r="AH31" s="813">
        <f>AH32</f>
        <v>975</v>
      </c>
      <c r="AI31" s="770">
        <f>AH31</f>
        <v>975</v>
      </c>
      <c r="AJ31" s="815"/>
      <c r="AK31" s="815"/>
      <c r="AL31" s="815"/>
      <c r="AM31" s="815"/>
      <c r="AN31" s="769"/>
      <c r="AO31" s="740"/>
      <c r="AP31" s="363" t="s">
        <v>1735</v>
      </c>
      <c r="AQ31" s="816"/>
    </row>
    <row r="32" spans="1:43" ht="105">
      <c r="A32" s="371" t="s">
        <v>1792</v>
      </c>
      <c r="B32" s="371" t="s">
        <v>1793</v>
      </c>
      <c r="C32" s="741"/>
      <c r="D32" s="371" t="s">
        <v>1794</v>
      </c>
      <c r="E32" s="371" t="s">
        <v>1795</v>
      </c>
      <c r="F32" s="371" t="s">
        <v>1796</v>
      </c>
      <c r="G32" s="742"/>
      <c r="H32" s="804"/>
      <c r="I32" s="771"/>
      <c r="J32" s="822"/>
      <c r="K32" s="823"/>
      <c r="L32" s="823"/>
      <c r="M32" s="747"/>
      <c r="N32" s="747"/>
      <c r="O32" s="747"/>
      <c r="P32" s="823"/>
      <c r="Q32" s="823"/>
      <c r="R32" s="823"/>
      <c r="S32" s="747"/>
      <c r="T32" s="787">
        <f>T33+T34</f>
        <v>975</v>
      </c>
      <c r="U32" s="787"/>
      <c r="V32" s="823"/>
      <c r="W32" s="823"/>
      <c r="X32" s="823"/>
      <c r="Y32" s="747"/>
      <c r="Z32" s="747"/>
      <c r="AA32" s="747"/>
      <c r="AB32" s="823"/>
      <c r="AC32" s="823"/>
      <c r="AD32" s="823"/>
      <c r="AE32" s="747"/>
      <c r="AF32" s="747"/>
      <c r="AG32" s="747"/>
      <c r="AH32" s="747">
        <f>SUM(J32:AG32)</f>
        <v>975</v>
      </c>
      <c r="AI32" s="806">
        <f>AH32</f>
        <v>975</v>
      </c>
      <c r="AJ32" s="806"/>
      <c r="AK32" s="806"/>
      <c r="AL32" s="806"/>
      <c r="AM32" s="806"/>
      <c r="AN32" s="806"/>
      <c r="AO32" s="808"/>
      <c r="AP32" s="371" t="s">
        <v>1735</v>
      </c>
      <c r="AQ32" s="808"/>
    </row>
    <row r="33" spans="1:43" ht="75">
      <c r="A33" s="379" t="s">
        <v>1797</v>
      </c>
      <c r="B33" s="379" t="s">
        <v>1798</v>
      </c>
      <c r="C33" s="775">
        <f t="shared" ref="C33:C34" si="22">J33+K33+L33+P33+Q33+R33+V33+W33+X33+AB33+AC33+AD33</f>
        <v>1</v>
      </c>
      <c r="D33" s="379" t="s">
        <v>1740</v>
      </c>
      <c r="E33" s="379" t="s">
        <v>1799</v>
      </c>
      <c r="F33" s="379" t="s">
        <v>1744</v>
      </c>
      <c r="G33" s="751"/>
      <c r="H33" s="824"/>
      <c r="I33" s="763"/>
      <c r="J33" s="753"/>
      <c r="K33" s="753"/>
      <c r="L33" s="753"/>
      <c r="M33" s="757"/>
      <c r="N33" s="757"/>
      <c r="O33" s="757"/>
      <c r="P33" s="756"/>
      <c r="Q33" s="754">
        <v>1</v>
      </c>
      <c r="R33" s="754"/>
      <c r="S33" s="754"/>
      <c r="T33" s="754">
        <v>545</v>
      </c>
      <c r="U33" s="756"/>
      <c r="V33" s="757"/>
      <c r="W33" s="757"/>
      <c r="X33" s="757"/>
      <c r="Y33" s="757"/>
      <c r="Z33" s="757"/>
      <c r="AA33" s="757"/>
      <c r="AB33" s="757"/>
      <c r="AC33" s="757"/>
      <c r="AD33" s="757"/>
      <c r="AE33" s="757"/>
      <c r="AF33" s="757"/>
      <c r="AG33" s="757"/>
      <c r="AH33" s="757">
        <f t="shared" ref="AH33:AH34" si="23">SUM(M33+N33+O33+S33+T33+U33+Y33+Z33+AA33+AE33+AF33+AG33)</f>
        <v>545</v>
      </c>
      <c r="AI33" s="758">
        <f t="shared" ref="AI33:AI34" si="24">+AH33</f>
        <v>545</v>
      </c>
      <c r="AJ33" s="777"/>
      <c r="AK33" s="777"/>
      <c r="AL33" s="778"/>
      <c r="AM33" s="778"/>
      <c r="AN33" s="2079"/>
      <c r="AO33" s="2080" t="s">
        <v>1745</v>
      </c>
      <c r="AP33" s="379" t="s">
        <v>1746</v>
      </c>
      <c r="AQ33" s="761">
        <f t="shared" ref="AQ33:AQ34" si="25">AI33</f>
        <v>545</v>
      </c>
    </row>
    <row r="34" spans="1:43" ht="75">
      <c r="A34" s="379" t="s">
        <v>1800</v>
      </c>
      <c r="B34" s="379" t="s">
        <v>1801</v>
      </c>
      <c r="C34" s="775">
        <f t="shared" si="22"/>
        <v>1</v>
      </c>
      <c r="D34" s="379" t="s">
        <v>1740</v>
      </c>
      <c r="E34" s="379" t="s">
        <v>1749</v>
      </c>
      <c r="F34" s="379" t="s">
        <v>1744</v>
      </c>
      <c r="G34" s="751"/>
      <c r="H34" s="752"/>
      <c r="I34" s="752"/>
      <c r="J34" s="782"/>
      <c r="K34" s="782"/>
      <c r="L34" s="782"/>
      <c r="M34" s="757"/>
      <c r="N34" s="757"/>
      <c r="O34" s="757"/>
      <c r="P34" s="756"/>
      <c r="Q34" s="754">
        <v>1</v>
      </c>
      <c r="R34" s="754"/>
      <c r="S34" s="754"/>
      <c r="T34" s="754">
        <v>430</v>
      </c>
      <c r="U34" s="756"/>
      <c r="V34" s="757"/>
      <c r="W34" s="757"/>
      <c r="X34" s="757"/>
      <c r="Y34" s="757"/>
      <c r="Z34" s="757"/>
      <c r="AA34" s="757"/>
      <c r="AB34" s="757"/>
      <c r="AC34" s="757"/>
      <c r="AD34" s="757"/>
      <c r="AE34" s="757"/>
      <c r="AF34" s="757"/>
      <c r="AG34" s="757"/>
      <c r="AH34" s="757">
        <f t="shared" si="23"/>
        <v>430</v>
      </c>
      <c r="AI34" s="758">
        <f t="shared" si="24"/>
        <v>430</v>
      </c>
      <c r="AJ34" s="777"/>
      <c r="AK34" s="777"/>
      <c r="AL34" s="778"/>
      <c r="AM34" s="778"/>
      <c r="AN34" s="2079"/>
      <c r="AO34" s="2080"/>
      <c r="AP34" s="379" t="s">
        <v>1746</v>
      </c>
      <c r="AQ34" s="761">
        <f t="shared" si="25"/>
        <v>430</v>
      </c>
    </row>
    <row r="35" spans="1:43" ht="60">
      <c r="A35" s="363" t="s">
        <v>1802</v>
      </c>
      <c r="B35" s="363" t="s">
        <v>1803</v>
      </c>
      <c r="C35" s="732"/>
      <c r="D35" s="363"/>
      <c r="E35" s="363"/>
      <c r="F35" s="363"/>
      <c r="G35" s="733"/>
      <c r="H35" s="683"/>
      <c r="I35" s="765"/>
      <c r="J35" s="825"/>
      <c r="K35" s="826"/>
      <c r="L35" s="826"/>
      <c r="M35" s="813"/>
      <c r="N35" s="813"/>
      <c r="O35" s="738">
        <f>O36</f>
        <v>3900</v>
      </c>
      <c r="P35" s="827"/>
      <c r="Q35" s="827"/>
      <c r="R35" s="827"/>
      <c r="S35" s="738"/>
      <c r="T35" s="738"/>
      <c r="U35" s="738">
        <f>U36</f>
        <v>3900</v>
      </c>
      <c r="V35" s="827"/>
      <c r="W35" s="827"/>
      <c r="X35" s="827"/>
      <c r="Y35" s="738"/>
      <c r="Z35" s="738"/>
      <c r="AA35" s="738"/>
      <c r="AB35" s="827"/>
      <c r="AC35" s="827"/>
      <c r="AD35" s="827"/>
      <c r="AE35" s="738"/>
      <c r="AF35" s="738"/>
      <c r="AG35" s="738"/>
      <c r="AH35" s="738">
        <f>AH36</f>
        <v>7800</v>
      </c>
      <c r="AI35" s="828">
        <f>AH35</f>
        <v>7800</v>
      </c>
      <c r="AJ35" s="685"/>
      <c r="AK35" s="685"/>
      <c r="AL35" s="685"/>
      <c r="AM35" s="685"/>
      <c r="AN35" s="685"/>
      <c r="AO35" s="829"/>
      <c r="AP35" s="363" t="s">
        <v>1735</v>
      </c>
      <c r="AQ35" s="829"/>
    </row>
    <row r="36" spans="1:43" ht="60">
      <c r="A36" s="371" t="s">
        <v>1804</v>
      </c>
      <c r="B36" s="371" t="s">
        <v>1805</v>
      </c>
      <c r="C36" s="741"/>
      <c r="D36" s="371" t="s">
        <v>1617</v>
      </c>
      <c r="E36" s="371" t="s">
        <v>1806</v>
      </c>
      <c r="F36" s="371" t="s">
        <v>52</v>
      </c>
      <c r="G36" s="742"/>
      <c r="H36" s="804"/>
      <c r="I36" s="771"/>
      <c r="J36" s="805"/>
      <c r="K36" s="805"/>
      <c r="L36" s="805"/>
      <c r="M36" s="806"/>
      <c r="N36" s="806"/>
      <c r="O36" s="807">
        <f>O37</f>
        <v>3900</v>
      </c>
      <c r="P36" s="807"/>
      <c r="Q36" s="807"/>
      <c r="R36" s="807"/>
      <c r="S36" s="807"/>
      <c r="T36" s="807"/>
      <c r="U36" s="807">
        <f>U37</f>
        <v>3900</v>
      </c>
      <c r="V36" s="807"/>
      <c r="W36" s="807"/>
      <c r="X36" s="807"/>
      <c r="Y36" s="807"/>
      <c r="Z36" s="807"/>
      <c r="AA36" s="807"/>
      <c r="AB36" s="807"/>
      <c r="AC36" s="807"/>
      <c r="AD36" s="807"/>
      <c r="AE36" s="807"/>
      <c r="AF36" s="807"/>
      <c r="AG36" s="807"/>
      <c r="AH36" s="793">
        <f>SUM(J36:AG36)</f>
        <v>7800</v>
      </c>
      <c r="AI36" s="794">
        <f>AH36</f>
        <v>7800</v>
      </c>
      <c r="AJ36" s="806"/>
      <c r="AK36" s="806"/>
      <c r="AL36" s="806"/>
      <c r="AM36" s="806"/>
      <c r="AN36" s="787"/>
      <c r="AO36" s="788"/>
      <c r="AP36" s="371" t="s">
        <v>1735</v>
      </c>
      <c r="AQ36" s="808"/>
    </row>
    <row r="37" spans="1:43" ht="60">
      <c r="A37" s="379" t="s">
        <v>1807</v>
      </c>
      <c r="B37" s="379" t="s">
        <v>1808</v>
      </c>
      <c r="C37" s="775">
        <f t="shared" ref="C37" si="26">J37+K37+L37+P37+Q37+R37+V37+W37+X37+AB37+AC37+AD37</f>
        <v>2</v>
      </c>
      <c r="D37" s="379" t="s">
        <v>1617</v>
      </c>
      <c r="E37" s="379" t="s">
        <v>1806</v>
      </c>
      <c r="F37" s="379" t="s">
        <v>52</v>
      </c>
      <c r="G37" s="751"/>
      <c r="H37" s="752"/>
      <c r="I37" s="752"/>
      <c r="J37" s="830"/>
      <c r="K37" s="830"/>
      <c r="L37" s="830">
        <v>1</v>
      </c>
      <c r="M37" s="830"/>
      <c r="N37" s="830"/>
      <c r="O37" s="831">
        <v>3900</v>
      </c>
      <c r="P37" s="831"/>
      <c r="Q37" s="831"/>
      <c r="R37" s="831">
        <v>1</v>
      </c>
      <c r="S37" s="831"/>
      <c r="T37" s="831"/>
      <c r="U37" s="831">
        <v>3900</v>
      </c>
      <c r="V37" s="831"/>
      <c r="W37" s="831"/>
      <c r="X37" s="831"/>
      <c r="Y37" s="831"/>
      <c r="Z37" s="831"/>
      <c r="AA37" s="831"/>
      <c r="AB37" s="831"/>
      <c r="AC37" s="831"/>
      <c r="AD37" s="831"/>
      <c r="AE37" s="831"/>
      <c r="AF37" s="831"/>
      <c r="AG37" s="831"/>
      <c r="AH37" s="799">
        <f t="shared" ref="AH37" si="27">SUM(M37+N37+O37+S37+T37+U37+Y37+Z37+AA37+AE37+AF37+AG37)</f>
        <v>7800</v>
      </c>
      <c r="AI37" s="800">
        <f t="shared" ref="AI37" si="28">AH37</f>
        <v>7800</v>
      </c>
      <c r="AJ37" s="832"/>
      <c r="AK37" s="833"/>
      <c r="AL37" s="833"/>
      <c r="AM37" s="833"/>
      <c r="AN37" s="785"/>
      <c r="AO37" s="786" t="s">
        <v>1764</v>
      </c>
      <c r="AP37" s="379" t="s">
        <v>1765</v>
      </c>
      <c r="AQ37" s="761">
        <f>AI37</f>
        <v>7800</v>
      </c>
    </row>
    <row r="38" spans="1:43" ht="45">
      <c r="A38" s="363" t="s">
        <v>1809</v>
      </c>
      <c r="B38" s="363" t="s">
        <v>1810</v>
      </c>
      <c r="C38" s="732"/>
      <c r="D38" s="363"/>
      <c r="E38" s="363"/>
      <c r="F38" s="363"/>
      <c r="G38" s="733"/>
      <c r="H38" s="764"/>
      <c r="I38" s="733"/>
      <c r="J38" s="814"/>
      <c r="K38" s="814"/>
      <c r="L38" s="814"/>
      <c r="M38" s="769"/>
      <c r="N38" s="769"/>
      <c r="O38" s="769"/>
      <c r="P38" s="766"/>
      <c r="Q38" s="766"/>
      <c r="R38" s="766"/>
      <c r="S38" s="769"/>
      <c r="T38" s="769">
        <f>T39+T42</f>
        <v>975</v>
      </c>
      <c r="U38" s="769"/>
      <c r="V38" s="814"/>
      <c r="W38" s="814"/>
      <c r="X38" s="814"/>
      <c r="Y38" s="769"/>
      <c r="Z38" s="769">
        <f>Z39+Z42</f>
        <v>150</v>
      </c>
      <c r="AA38" s="769"/>
      <c r="AB38" s="814"/>
      <c r="AC38" s="814"/>
      <c r="AD38" s="814"/>
      <c r="AE38" s="769"/>
      <c r="AF38" s="769">
        <f>AF39+AF42</f>
        <v>150</v>
      </c>
      <c r="AG38" s="769"/>
      <c r="AH38" s="769">
        <f>AH39+AH42</f>
        <v>1275</v>
      </c>
      <c r="AI38" s="770">
        <f>AH38</f>
        <v>1275</v>
      </c>
      <c r="AJ38" s="815"/>
      <c r="AK38" s="815"/>
      <c r="AL38" s="815"/>
      <c r="AM38" s="815"/>
      <c r="AN38" s="815"/>
      <c r="AO38" s="816"/>
      <c r="AP38" s="363" t="s">
        <v>1735</v>
      </c>
      <c r="AQ38" s="816"/>
    </row>
    <row r="39" spans="1:43" ht="105">
      <c r="A39" s="371" t="s">
        <v>1811</v>
      </c>
      <c r="B39" s="371" t="s">
        <v>1812</v>
      </c>
      <c r="C39" s="741"/>
      <c r="D39" s="371" t="s">
        <v>1794</v>
      </c>
      <c r="E39" s="371" t="s">
        <v>1795</v>
      </c>
      <c r="F39" s="371" t="s">
        <v>1796</v>
      </c>
      <c r="G39" s="742"/>
      <c r="H39" s="742"/>
      <c r="I39" s="771"/>
      <c r="J39" s="780"/>
      <c r="K39" s="780"/>
      <c r="L39" s="780"/>
      <c r="M39" s="747"/>
      <c r="N39" s="747"/>
      <c r="O39" s="747"/>
      <c r="P39" s="745"/>
      <c r="Q39" s="745"/>
      <c r="R39" s="772"/>
      <c r="S39" s="773"/>
      <c r="T39" s="773">
        <f>T40+T41</f>
        <v>975</v>
      </c>
      <c r="U39" s="773"/>
      <c r="V39" s="780"/>
      <c r="W39" s="780"/>
      <c r="X39" s="780"/>
      <c r="Y39" s="746"/>
      <c r="Z39" s="746"/>
      <c r="AA39" s="746"/>
      <c r="AB39" s="780"/>
      <c r="AC39" s="780"/>
      <c r="AD39" s="780"/>
      <c r="AE39" s="747"/>
      <c r="AF39" s="747"/>
      <c r="AG39" s="747"/>
      <c r="AH39" s="747">
        <f>SUM(J39:AG39)</f>
        <v>975</v>
      </c>
      <c r="AI39" s="748">
        <f>AH39</f>
        <v>975</v>
      </c>
      <c r="AJ39" s="818"/>
      <c r="AK39" s="818"/>
      <c r="AL39" s="818"/>
      <c r="AM39" s="818"/>
      <c r="AN39" s="746"/>
      <c r="AO39" s="749"/>
      <c r="AP39" s="371" t="s">
        <v>1735</v>
      </c>
      <c r="AQ39" s="789"/>
    </row>
    <row r="40" spans="1:43" ht="75">
      <c r="A40" s="379" t="s">
        <v>1813</v>
      </c>
      <c r="B40" s="379" t="s">
        <v>1814</v>
      </c>
      <c r="C40" s="775">
        <f t="shared" ref="C40:C41" si="29">J40+K40+L40+P40+Q40+R40+V40+W40+X40+AB40+AC40+AD40</f>
        <v>1</v>
      </c>
      <c r="D40" s="379" t="s">
        <v>1740</v>
      </c>
      <c r="E40" s="379" t="s">
        <v>1799</v>
      </c>
      <c r="F40" s="379" t="s">
        <v>1744</v>
      </c>
      <c r="G40" s="751"/>
      <c r="H40" s="751"/>
      <c r="I40" s="763"/>
      <c r="J40" s="782"/>
      <c r="K40" s="782"/>
      <c r="L40" s="782"/>
      <c r="M40" s="782"/>
      <c r="N40" s="782"/>
      <c r="O40" s="782"/>
      <c r="P40" s="753"/>
      <c r="Q40" s="754">
        <v>1</v>
      </c>
      <c r="R40" s="754"/>
      <c r="S40" s="754"/>
      <c r="T40" s="754">
        <v>545</v>
      </c>
      <c r="U40" s="756"/>
      <c r="V40" s="757"/>
      <c r="W40" s="757"/>
      <c r="X40" s="757"/>
      <c r="Y40" s="756"/>
      <c r="Z40" s="756"/>
      <c r="AA40" s="756"/>
      <c r="AB40" s="757"/>
      <c r="AC40" s="757"/>
      <c r="AD40" s="757"/>
      <c r="AE40" s="757"/>
      <c r="AF40" s="757"/>
      <c r="AG40" s="757"/>
      <c r="AH40" s="757">
        <f t="shared" ref="AH40:AH41" si="30">SUM(M40+N40+O40+S40+T40+U40+Y40+Z40+AA40+AE40+AF40+AG40)</f>
        <v>545</v>
      </c>
      <c r="AI40" s="758">
        <f t="shared" ref="AI40:AI41" si="31">+AH40</f>
        <v>545</v>
      </c>
      <c r="AJ40" s="778"/>
      <c r="AK40" s="778"/>
      <c r="AL40" s="778"/>
      <c r="AM40" s="778"/>
      <c r="AN40" s="2079"/>
      <c r="AO40" s="2080" t="s">
        <v>1745</v>
      </c>
      <c r="AP40" s="379" t="s">
        <v>1746</v>
      </c>
      <c r="AQ40" s="761">
        <f t="shared" ref="AQ40:AQ41" si="32">AI40</f>
        <v>545</v>
      </c>
    </row>
    <row r="41" spans="1:43" ht="75">
      <c r="A41" s="379" t="s">
        <v>1815</v>
      </c>
      <c r="B41" s="379" t="s">
        <v>1816</v>
      </c>
      <c r="C41" s="775">
        <f t="shared" si="29"/>
        <v>1</v>
      </c>
      <c r="D41" s="379" t="s">
        <v>1740</v>
      </c>
      <c r="E41" s="379" t="s">
        <v>1749</v>
      </c>
      <c r="F41" s="379" t="s">
        <v>1744</v>
      </c>
      <c r="G41" s="751"/>
      <c r="H41" s="752"/>
      <c r="I41" s="752"/>
      <c r="J41" s="782"/>
      <c r="K41" s="782"/>
      <c r="L41" s="782"/>
      <c r="M41" s="782"/>
      <c r="N41" s="782"/>
      <c r="O41" s="782"/>
      <c r="P41" s="753"/>
      <c r="Q41" s="754">
        <v>1</v>
      </c>
      <c r="R41" s="754"/>
      <c r="S41" s="754"/>
      <c r="T41" s="754">
        <v>430</v>
      </c>
      <c r="U41" s="756"/>
      <c r="V41" s="757"/>
      <c r="W41" s="757"/>
      <c r="X41" s="757"/>
      <c r="Y41" s="756"/>
      <c r="Z41" s="756"/>
      <c r="AA41" s="756"/>
      <c r="AB41" s="757"/>
      <c r="AC41" s="757"/>
      <c r="AD41" s="757"/>
      <c r="AE41" s="757"/>
      <c r="AF41" s="757"/>
      <c r="AG41" s="757"/>
      <c r="AH41" s="757">
        <f t="shared" si="30"/>
        <v>430</v>
      </c>
      <c r="AI41" s="758">
        <f t="shared" si="31"/>
        <v>430</v>
      </c>
      <c r="AJ41" s="778"/>
      <c r="AK41" s="778"/>
      <c r="AL41" s="778"/>
      <c r="AM41" s="778"/>
      <c r="AN41" s="2079"/>
      <c r="AO41" s="2080"/>
      <c r="AP41" s="379" t="s">
        <v>1746</v>
      </c>
      <c r="AQ41" s="761">
        <f t="shared" si="32"/>
        <v>430</v>
      </c>
    </row>
    <row r="42" spans="1:43" ht="75">
      <c r="A42" s="371" t="s">
        <v>1817</v>
      </c>
      <c r="B42" s="371" t="s">
        <v>1818</v>
      </c>
      <c r="C42" s="741"/>
      <c r="D42" s="371" t="s">
        <v>944</v>
      </c>
      <c r="E42" s="371" t="s">
        <v>1819</v>
      </c>
      <c r="F42" s="371" t="s">
        <v>1769</v>
      </c>
      <c r="G42" s="742"/>
      <c r="H42" s="743"/>
      <c r="I42" s="742"/>
      <c r="J42" s="780"/>
      <c r="K42" s="780"/>
      <c r="L42" s="780"/>
      <c r="M42" s="747"/>
      <c r="N42" s="747"/>
      <c r="O42" s="747"/>
      <c r="P42" s="745"/>
      <c r="Q42" s="745"/>
      <c r="R42" s="745"/>
      <c r="S42" s="747"/>
      <c r="T42" s="747"/>
      <c r="U42" s="747"/>
      <c r="V42" s="780"/>
      <c r="W42" s="780"/>
      <c r="X42" s="780"/>
      <c r="Y42" s="747"/>
      <c r="Z42" s="747">
        <f>Z43</f>
        <v>150</v>
      </c>
      <c r="AA42" s="747"/>
      <c r="AB42" s="780"/>
      <c r="AC42" s="780"/>
      <c r="AD42" s="780"/>
      <c r="AE42" s="747"/>
      <c r="AF42" s="747">
        <f>AF43</f>
        <v>150</v>
      </c>
      <c r="AG42" s="747"/>
      <c r="AH42" s="747">
        <f>SUM(J42:AG42)</f>
        <v>300</v>
      </c>
      <c r="AI42" s="748">
        <f>AH42</f>
        <v>300</v>
      </c>
      <c r="AJ42" s="747"/>
      <c r="AK42" s="747"/>
      <c r="AL42" s="747"/>
      <c r="AM42" s="747"/>
      <c r="AN42" s="747"/>
      <c r="AO42" s="789"/>
      <c r="AP42" s="371" t="s">
        <v>1735</v>
      </c>
      <c r="AQ42" s="789"/>
    </row>
    <row r="43" spans="1:43" ht="75">
      <c r="A43" s="379" t="s">
        <v>1820</v>
      </c>
      <c r="B43" s="379" t="s">
        <v>1821</v>
      </c>
      <c r="C43" s="775">
        <f t="shared" ref="C43" si="33">J43+K43+L43+P43+Q43+R43+V43+W43+X43+AB43+AC43+AD43</f>
        <v>2</v>
      </c>
      <c r="D43" s="379" t="s">
        <v>944</v>
      </c>
      <c r="E43" s="379" t="s">
        <v>1819</v>
      </c>
      <c r="F43" s="379" t="s">
        <v>1769</v>
      </c>
      <c r="G43" s="751"/>
      <c r="H43" s="751"/>
      <c r="I43" s="751"/>
      <c r="J43" s="834"/>
      <c r="K43" s="819"/>
      <c r="L43" s="819"/>
      <c r="M43" s="819"/>
      <c r="N43" s="819"/>
      <c r="O43" s="819"/>
      <c r="P43" s="819"/>
      <c r="Q43" s="821"/>
      <c r="R43" s="821"/>
      <c r="S43" s="821"/>
      <c r="T43" s="821"/>
      <c r="U43" s="821"/>
      <c r="V43" s="821"/>
      <c r="W43" s="821">
        <v>1</v>
      </c>
      <c r="X43" s="821"/>
      <c r="Y43" s="821"/>
      <c r="Z43" s="821">
        <v>150</v>
      </c>
      <c r="AA43" s="821"/>
      <c r="AB43" s="821"/>
      <c r="AC43" s="821">
        <v>1</v>
      </c>
      <c r="AD43" s="821"/>
      <c r="AE43" s="821"/>
      <c r="AF43" s="821">
        <v>150</v>
      </c>
      <c r="AG43" s="821"/>
      <c r="AH43" s="757">
        <f t="shared" ref="AH43" si="34">SUM(M43+N43+O43+S43+T43+U43+Y43+Z43+AA43+AE43+AF43+AG43)</f>
        <v>300</v>
      </c>
      <c r="AI43" s="784">
        <f>AH43</f>
        <v>300</v>
      </c>
      <c r="AJ43" s="812"/>
      <c r="AK43" s="812"/>
      <c r="AL43" s="812"/>
      <c r="AM43" s="812"/>
      <c r="AN43" s="785"/>
      <c r="AO43" s="786" t="s">
        <v>1764</v>
      </c>
      <c r="AP43" s="379" t="s">
        <v>1765</v>
      </c>
      <c r="AQ43" s="761">
        <f>AI43</f>
        <v>300</v>
      </c>
    </row>
    <row r="44" spans="1:43" ht="45">
      <c r="A44" s="363" t="s">
        <v>1822</v>
      </c>
      <c r="B44" s="363" t="s">
        <v>1823</v>
      </c>
      <c r="C44" s="732"/>
      <c r="D44" s="363"/>
      <c r="E44" s="363"/>
      <c r="F44" s="363"/>
      <c r="G44" s="733"/>
      <c r="H44" s="733"/>
      <c r="I44" s="765"/>
      <c r="J44" s="814"/>
      <c r="K44" s="814"/>
      <c r="L44" s="814"/>
      <c r="M44" s="813"/>
      <c r="N44" s="813"/>
      <c r="O44" s="813"/>
      <c r="P44" s="766"/>
      <c r="Q44" s="766"/>
      <c r="R44" s="766"/>
      <c r="S44" s="769"/>
      <c r="T44" s="769">
        <f>T45+T48</f>
        <v>975</v>
      </c>
      <c r="U44" s="769"/>
      <c r="V44" s="814"/>
      <c r="W44" s="814"/>
      <c r="X44" s="814"/>
      <c r="Y44" s="769"/>
      <c r="Z44" s="769">
        <f>Z45+Z48</f>
        <v>150</v>
      </c>
      <c r="AA44" s="769"/>
      <c r="AB44" s="814"/>
      <c r="AC44" s="814"/>
      <c r="AD44" s="814"/>
      <c r="AE44" s="769">
        <f>AE45+AE48</f>
        <v>150</v>
      </c>
      <c r="AF44" s="813"/>
      <c r="AG44" s="813"/>
      <c r="AH44" s="769">
        <f>AH45+AH48</f>
        <v>1275</v>
      </c>
      <c r="AI44" s="770">
        <f>AH44</f>
        <v>1275</v>
      </c>
      <c r="AJ44" s="813"/>
      <c r="AK44" s="813"/>
      <c r="AL44" s="813"/>
      <c r="AM44" s="813"/>
      <c r="AN44" s="813"/>
      <c r="AO44" s="816"/>
      <c r="AP44" s="363" t="s">
        <v>1735</v>
      </c>
      <c r="AQ44" s="816"/>
    </row>
    <row r="45" spans="1:43" ht="105">
      <c r="A45" s="371" t="s">
        <v>1824</v>
      </c>
      <c r="B45" s="371" t="s">
        <v>1825</v>
      </c>
      <c r="C45" s="741"/>
      <c r="D45" s="371" t="s">
        <v>1794</v>
      </c>
      <c r="E45" s="371" t="s">
        <v>1795</v>
      </c>
      <c r="F45" s="371" t="s">
        <v>1796</v>
      </c>
      <c r="G45" s="742"/>
      <c r="H45" s="743"/>
      <c r="I45" s="743"/>
      <c r="J45" s="779"/>
      <c r="K45" s="779"/>
      <c r="L45" s="779"/>
      <c r="M45" s="817"/>
      <c r="N45" s="817"/>
      <c r="O45" s="817"/>
      <c r="P45" s="779"/>
      <c r="Q45" s="779"/>
      <c r="R45" s="779"/>
      <c r="S45" s="817"/>
      <c r="T45" s="817">
        <f>T46+T47</f>
        <v>975</v>
      </c>
      <c r="U45" s="817"/>
      <c r="V45" s="779"/>
      <c r="W45" s="779"/>
      <c r="X45" s="779"/>
      <c r="Y45" s="817"/>
      <c r="Z45" s="817">
        <f>Z46+Z47</f>
        <v>0</v>
      </c>
      <c r="AA45" s="817"/>
      <c r="AB45" s="779"/>
      <c r="AC45" s="779"/>
      <c r="AD45" s="779"/>
      <c r="AE45" s="817">
        <f>AE46+AE47</f>
        <v>0</v>
      </c>
      <c r="AF45" s="817"/>
      <c r="AG45" s="817"/>
      <c r="AH45" s="817">
        <f>SUM(J45:AG45)</f>
        <v>975</v>
      </c>
      <c r="AI45" s="817">
        <f>AH45</f>
        <v>975</v>
      </c>
      <c r="AJ45" s="817"/>
      <c r="AK45" s="817"/>
      <c r="AL45" s="817"/>
      <c r="AM45" s="817"/>
      <c r="AN45" s="817"/>
      <c r="AO45" s="835"/>
      <c r="AP45" s="371" t="s">
        <v>1735</v>
      </c>
      <c r="AQ45" s="835"/>
    </row>
    <row r="46" spans="1:43" ht="75">
      <c r="A46" s="379" t="s">
        <v>1826</v>
      </c>
      <c r="B46" s="379" t="s">
        <v>1827</v>
      </c>
      <c r="C46" s="775">
        <f t="shared" ref="C46:C47" si="35">J46+K46+L46+P46+Q46+R46+V46+W46+X46+AB46+AC46+AD46</f>
        <v>1</v>
      </c>
      <c r="D46" s="379" t="s">
        <v>1740</v>
      </c>
      <c r="E46" s="379" t="s">
        <v>1799</v>
      </c>
      <c r="F46" s="379" t="s">
        <v>1744</v>
      </c>
      <c r="G46" s="751"/>
      <c r="H46" s="752"/>
      <c r="I46" s="752"/>
      <c r="J46" s="782"/>
      <c r="K46" s="782"/>
      <c r="L46" s="782"/>
      <c r="M46" s="782"/>
      <c r="N46" s="782"/>
      <c r="O46" s="782"/>
      <c r="P46" s="753"/>
      <c r="Q46" s="754">
        <v>1</v>
      </c>
      <c r="R46" s="754"/>
      <c r="S46" s="754"/>
      <c r="T46" s="754">
        <v>545</v>
      </c>
      <c r="U46" s="753"/>
      <c r="V46" s="782"/>
      <c r="W46" s="782"/>
      <c r="X46" s="782"/>
      <c r="Y46" s="753"/>
      <c r="Z46" s="753"/>
      <c r="AA46" s="756"/>
      <c r="AB46" s="757"/>
      <c r="AC46" s="757"/>
      <c r="AD46" s="757"/>
      <c r="AE46" s="757"/>
      <c r="AF46" s="757"/>
      <c r="AG46" s="757"/>
      <c r="AH46" s="757">
        <f t="shared" ref="AH46:AH47" si="36">SUM(M46+N46+O46+S46+T46+U46+Y46+Z46+AA46+AE46+AF46+AG46)</f>
        <v>545</v>
      </c>
      <c r="AI46" s="758">
        <f t="shared" ref="AI46:AI47" si="37">+AH46</f>
        <v>545</v>
      </c>
      <c r="AJ46" s="777"/>
      <c r="AK46" s="778"/>
      <c r="AL46" s="778"/>
      <c r="AM46" s="778"/>
      <c r="AN46" s="2079"/>
      <c r="AO46" s="2080" t="s">
        <v>1745</v>
      </c>
      <c r="AP46" s="379" t="s">
        <v>1746</v>
      </c>
      <c r="AQ46" s="761">
        <f t="shared" ref="AQ46:AQ47" si="38">AI46</f>
        <v>545</v>
      </c>
    </row>
    <row r="47" spans="1:43" ht="75">
      <c r="A47" s="379" t="s">
        <v>1828</v>
      </c>
      <c r="B47" s="379" t="s">
        <v>1829</v>
      </c>
      <c r="C47" s="775">
        <f t="shared" si="35"/>
        <v>1</v>
      </c>
      <c r="D47" s="379" t="s">
        <v>1740</v>
      </c>
      <c r="E47" s="379" t="s">
        <v>1749</v>
      </c>
      <c r="F47" s="379" t="s">
        <v>1744</v>
      </c>
      <c r="G47" s="751"/>
      <c r="H47" s="752"/>
      <c r="I47" s="752"/>
      <c r="J47" s="782"/>
      <c r="K47" s="782"/>
      <c r="L47" s="782"/>
      <c r="M47" s="782"/>
      <c r="N47" s="782"/>
      <c r="O47" s="782"/>
      <c r="P47" s="753"/>
      <c r="Q47" s="754">
        <v>1</v>
      </c>
      <c r="R47" s="754"/>
      <c r="S47" s="754"/>
      <c r="T47" s="754">
        <v>430</v>
      </c>
      <c r="U47" s="753"/>
      <c r="V47" s="782"/>
      <c r="W47" s="782"/>
      <c r="X47" s="782"/>
      <c r="Y47" s="753"/>
      <c r="Z47" s="753"/>
      <c r="AA47" s="756"/>
      <c r="AB47" s="757"/>
      <c r="AC47" s="757"/>
      <c r="AD47" s="757"/>
      <c r="AE47" s="757"/>
      <c r="AF47" s="757"/>
      <c r="AG47" s="757"/>
      <c r="AH47" s="757">
        <f t="shared" si="36"/>
        <v>430</v>
      </c>
      <c r="AI47" s="758">
        <f t="shared" si="37"/>
        <v>430</v>
      </c>
      <c r="AJ47" s="777"/>
      <c r="AK47" s="778"/>
      <c r="AL47" s="778"/>
      <c r="AM47" s="778"/>
      <c r="AN47" s="2079"/>
      <c r="AO47" s="2080"/>
      <c r="AP47" s="379" t="s">
        <v>1746</v>
      </c>
      <c r="AQ47" s="761">
        <f t="shared" si="38"/>
        <v>430</v>
      </c>
    </row>
    <row r="48" spans="1:43" ht="90">
      <c r="A48" s="371" t="s">
        <v>1830</v>
      </c>
      <c r="B48" s="371" t="s">
        <v>1831</v>
      </c>
      <c r="C48" s="741"/>
      <c r="D48" s="371" t="s">
        <v>944</v>
      </c>
      <c r="E48" s="371" t="s">
        <v>1832</v>
      </c>
      <c r="F48" s="371" t="s">
        <v>1769</v>
      </c>
      <c r="G48" s="742"/>
      <c r="H48" s="743"/>
      <c r="I48" s="743"/>
      <c r="J48" s="779"/>
      <c r="K48" s="779"/>
      <c r="L48" s="779"/>
      <c r="M48" s="817"/>
      <c r="N48" s="817"/>
      <c r="O48" s="817"/>
      <c r="P48" s="779"/>
      <c r="Q48" s="779"/>
      <c r="R48" s="779"/>
      <c r="S48" s="817"/>
      <c r="T48" s="817"/>
      <c r="U48" s="817"/>
      <c r="V48" s="779"/>
      <c r="W48" s="779"/>
      <c r="X48" s="779"/>
      <c r="Y48" s="817"/>
      <c r="Z48" s="817">
        <f>Z49</f>
        <v>150</v>
      </c>
      <c r="AA48" s="817"/>
      <c r="AB48" s="779"/>
      <c r="AC48" s="779"/>
      <c r="AD48" s="779"/>
      <c r="AE48" s="817">
        <f>AE49</f>
        <v>150</v>
      </c>
      <c r="AF48" s="817"/>
      <c r="AG48" s="817"/>
      <c r="AH48" s="817">
        <f>SUM(J48:AG48)</f>
        <v>300</v>
      </c>
      <c r="AI48" s="817">
        <f>AH48</f>
        <v>300</v>
      </c>
      <c r="AJ48" s="817"/>
      <c r="AK48" s="817"/>
      <c r="AL48" s="817"/>
      <c r="AM48" s="817"/>
      <c r="AN48" s="817"/>
      <c r="AO48" s="835"/>
      <c r="AP48" s="371" t="s">
        <v>1735</v>
      </c>
      <c r="AQ48" s="835"/>
    </row>
    <row r="49" spans="1:43" ht="90">
      <c r="A49" s="379" t="s">
        <v>1833</v>
      </c>
      <c r="B49" s="379" t="s">
        <v>1834</v>
      </c>
      <c r="C49" s="775">
        <f t="shared" ref="C49" si="39">J49+K49+L49+P49+Q49+R49+V49+W49+X49+AB49+AC49+AD49</f>
        <v>2</v>
      </c>
      <c r="D49" s="379" t="s">
        <v>944</v>
      </c>
      <c r="E49" s="379" t="s">
        <v>1832</v>
      </c>
      <c r="F49" s="379" t="s">
        <v>1769</v>
      </c>
      <c r="G49" s="751"/>
      <c r="H49" s="751"/>
      <c r="I49" s="751"/>
      <c r="J49" s="809"/>
      <c r="K49" s="809"/>
      <c r="L49" s="809"/>
      <c r="M49" s="809"/>
      <c r="N49" s="809"/>
      <c r="O49" s="809"/>
      <c r="P49" s="809"/>
      <c r="Q49" s="809"/>
      <c r="R49" s="809"/>
      <c r="S49" s="809"/>
      <c r="T49" s="810"/>
      <c r="U49" s="810"/>
      <c r="V49" s="810"/>
      <c r="W49" s="810">
        <v>1</v>
      </c>
      <c r="X49" s="810"/>
      <c r="Y49" s="810"/>
      <c r="Z49" s="810">
        <v>150</v>
      </c>
      <c r="AA49" s="810"/>
      <c r="AB49" s="810">
        <v>1</v>
      </c>
      <c r="AC49" s="810"/>
      <c r="AD49" s="810"/>
      <c r="AE49" s="810">
        <v>150</v>
      </c>
      <c r="AF49" s="810"/>
      <c r="AG49" s="810"/>
      <c r="AH49" s="757">
        <f t="shared" ref="AH49" si="40">SUM(M49+N49+O49+S49+T49+U49+Y49+Z49+AA49+AE49+AF49+AG49)</f>
        <v>300</v>
      </c>
      <c r="AI49" s="784">
        <f t="shared" ref="AI49" si="41">AH49</f>
        <v>300</v>
      </c>
      <c r="AJ49" s="812"/>
      <c r="AK49" s="812"/>
      <c r="AL49" s="812"/>
      <c r="AM49" s="812"/>
      <c r="AN49" s="785"/>
      <c r="AO49" s="786" t="s">
        <v>1764</v>
      </c>
      <c r="AP49" s="379" t="s">
        <v>1765</v>
      </c>
      <c r="AQ49" s="761">
        <f>AI49</f>
        <v>300</v>
      </c>
    </row>
    <row r="50" spans="1:43" ht="45">
      <c r="A50" s="363" t="s">
        <v>1835</v>
      </c>
      <c r="B50" s="363" t="s">
        <v>1836</v>
      </c>
      <c r="C50" s="732"/>
      <c r="D50" s="363"/>
      <c r="E50" s="363"/>
      <c r="F50" s="363"/>
      <c r="G50" s="733"/>
      <c r="H50" s="734"/>
      <c r="I50" s="765"/>
      <c r="J50" s="735"/>
      <c r="K50" s="735"/>
      <c r="L50" s="735"/>
      <c r="M50" s="736">
        <f>M51+M54+M56</f>
        <v>0</v>
      </c>
      <c r="N50" s="736">
        <f t="shared" ref="N50:O50" si="42">N51+N54+N56</f>
        <v>500</v>
      </c>
      <c r="O50" s="736">
        <f t="shared" si="42"/>
        <v>0</v>
      </c>
      <c r="P50" s="735"/>
      <c r="Q50" s="735"/>
      <c r="R50" s="735"/>
      <c r="S50" s="736">
        <f>S51+S54+S56</f>
        <v>0</v>
      </c>
      <c r="T50" s="736">
        <f t="shared" ref="T50:U50" si="43">T51+T54+T56</f>
        <v>500</v>
      </c>
      <c r="U50" s="736">
        <f t="shared" si="43"/>
        <v>1125</v>
      </c>
      <c r="V50" s="735"/>
      <c r="W50" s="735"/>
      <c r="X50" s="735"/>
      <c r="Y50" s="736">
        <f>Y51+Y54+Y56</f>
        <v>0</v>
      </c>
      <c r="Z50" s="736">
        <f t="shared" ref="Z50:AA50" si="44">Z51+Z54+Z56</f>
        <v>0</v>
      </c>
      <c r="AA50" s="736">
        <f t="shared" si="44"/>
        <v>0</v>
      </c>
      <c r="AB50" s="735"/>
      <c r="AC50" s="735"/>
      <c r="AD50" s="735"/>
      <c r="AE50" s="736">
        <f>AE51+AE54+AE56</f>
        <v>150</v>
      </c>
      <c r="AF50" s="736">
        <f t="shared" ref="AF50:AG50" si="45">AF51+AF54+AF56</f>
        <v>0</v>
      </c>
      <c r="AG50" s="736">
        <f t="shared" si="45"/>
        <v>0</v>
      </c>
      <c r="AH50" s="736">
        <f>AH51+AH54+AH56</f>
        <v>2275</v>
      </c>
      <c r="AI50" s="836">
        <f>AH50</f>
        <v>2275</v>
      </c>
      <c r="AJ50" s="736"/>
      <c r="AK50" s="736"/>
      <c r="AL50" s="736"/>
      <c r="AM50" s="736"/>
      <c r="AN50" s="837"/>
      <c r="AO50" s="838"/>
      <c r="AP50" s="363" t="s">
        <v>1735</v>
      </c>
      <c r="AQ50" s="839"/>
    </row>
    <row r="51" spans="1:43" ht="105">
      <c r="A51" s="371" t="s">
        <v>1837</v>
      </c>
      <c r="B51" s="371" t="s">
        <v>1838</v>
      </c>
      <c r="C51" s="741"/>
      <c r="D51" s="371" t="s">
        <v>1794</v>
      </c>
      <c r="E51" s="371" t="s">
        <v>1795</v>
      </c>
      <c r="F51" s="371" t="s">
        <v>1796</v>
      </c>
      <c r="G51" s="742"/>
      <c r="H51" s="743"/>
      <c r="I51" s="743"/>
      <c r="J51" s="779"/>
      <c r="K51" s="779"/>
      <c r="L51" s="779"/>
      <c r="M51" s="817"/>
      <c r="N51" s="817"/>
      <c r="O51" s="817"/>
      <c r="P51" s="779"/>
      <c r="Q51" s="779"/>
      <c r="R51" s="779"/>
      <c r="S51" s="817"/>
      <c r="T51" s="817"/>
      <c r="U51" s="817">
        <f>U52+U53</f>
        <v>975</v>
      </c>
      <c r="V51" s="779"/>
      <c r="W51" s="779"/>
      <c r="X51" s="779"/>
      <c r="Y51" s="817"/>
      <c r="Z51" s="817"/>
      <c r="AA51" s="817"/>
      <c r="AB51" s="779"/>
      <c r="AC51" s="779"/>
      <c r="AD51" s="779"/>
      <c r="AE51" s="817"/>
      <c r="AF51" s="817"/>
      <c r="AG51" s="817"/>
      <c r="AH51" s="817">
        <f>SUM(J51:AG51)</f>
        <v>975</v>
      </c>
      <c r="AI51" s="817">
        <f>AH51</f>
        <v>975</v>
      </c>
      <c r="AJ51" s="817"/>
      <c r="AK51" s="817"/>
      <c r="AL51" s="817"/>
      <c r="AM51" s="817"/>
      <c r="AN51" s="817"/>
      <c r="AO51" s="835"/>
      <c r="AP51" s="371" t="s">
        <v>1735</v>
      </c>
      <c r="AQ51" s="835"/>
    </row>
    <row r="52" spans="1:43" ht="75">
      <c r="A52" s="379" t="s">
        <v>1839</v>
      </c>
      <c r="B52" s="379" t="s">
        <v>1840</v>
      </c>
      <c r="C52" s="775">
        <f t="shared" ref="C52:C53" si="46">J52+K52+L52+P52+Q52+R52+V52+W52+X52+AB52+AC52+AD52</f>
        <v>1</v>
      </c>
      <c r="D52" s="379" t="s">
        <v>1740</v>
      </c>
      <c r="E52" s="379" t="s">
        <v>1799</v>
      </c>
      <c r="F52" s="379" t="s">
        <v>1744</v>
      </c>
      <c r="G52" s="751"/>
      <c r="H52" s="751"/>
      <c r="I52" s="751"/>
      <c r="J52" s="782"/>
      <c r="K52" s="782"/>
      <c r="L52" s="782"/>
      <c r="M52" s="782"/>
      <c r="N52" s="782"/>
      <c r="O52" s="782"/>
      <c r="P52" s="753"/>
      <c r="Q52" s="753"/>
      <c r="R52" s="754">
        <v>1</v>
      </c>
      <c r="S52" s="754"/>
      <c r="T52" s="754"/>
      <c r="U52" s="754">
        <v>545</v>
      </c>
      <c r="V52" s="782"/>
      <c r="W52" s="782"/>
      <c r="X52" s="782"/>
      <c r="Y52" s="753"/>
      <c r="Z52" s="753"/>
      <c r="AA52" s="753"/>
      <c r="AB52" s="782"/>
      <c r="AC52" s="782"/>
      <c r="AD52" s="782"/>
      <c r="AE52" s="782"/>
      <c r="AF52" s="782"/>
      <c r="AG52" s="757"/>
      <c r="AH52" s="757">
        <f t="shared" ref="AH52:AH53" si="47">SUM(M52+N52+O52+S52+T52+U52+Y52+Z52+AA52+AE52+AF52+AG52)</f>
        <v>545</v>
      </c>
      <c r="AI52" s="758">
        <f t="shared" ref="AI52:AI53" si="48">+AH52</f>
        <v>545</v>
      </c>
      <c r="AJ52" s="777"/>
      <c r="AK52" s="778"/>
      <c r="AL52" s="778"/>
      <c r="AM52" s="778"/>
      <c r="AN52" s="2079"/>
      <c r="AO52" s="2080" t="s">
        <v>1745</v>
      </c>
      <c r="AP52" s="379" t="s">
        <v>1746</v>
      </c>
      <c r="AQ52" s="761">
        <f t="shared" ref="AQ52:AQ53" si="49">AI52</f>
        <v>545</v>
      </c>
    </row>
    <row r="53" spans="1:43" ht="75">
      <c r="A53" s="379" t="s">
        <v>1841</v>
      </c>
      <c r="B53" s="379" t="s">
        <v>1842</v>
      </c>
      <c r="C53" s="775">
        <f t="shared" si="46"/>
        <v>1</v>
      </c>
      <c r="D53" s="379" t="s">
        <v>1740</v>
      </c>
      <c r="E53" s="379" t="s">
        <v>1749</v>
      </c>
      <c r="F53" s="379" t="s">
        <v>1744</v>
      </c>
      <c r="G53" s="751"/>
      <c r="H53" s="751"/>
      <c r="I53" s="763"/>
      <c r="J53" s="782"/>
      <c r="K53" s="782"/>
      <c r="L53" s="782"/>
      <c r="M53" s="782"/>
      <c r="N53" s="782"/>
      <c r="O53" s="782"/>
      <c r="P53" s="753"/>
      <c r="Q53" s="753"/>
      <c r="R53" s="754">
        <v>1</v>
      </c>
      <c r="S53" s="754"/>
      <c r="T53" s="754"/>
      <c r="U53" s="754">
        <v>430</v>
      </c>
      <c r="V53" s="782"/>
      <c r="W53" s="782"/>
      <c r="X53" s="782"/>
      <c r="Y53" s="753"/>
      <c r="Z53" s="753"/>
      <c r="AA53" s="753"/>
      <c r="AB53" s="782"/>
      <c r="AC53" s="782"/>
      <c r="AD53" s="782"/>
      <c r="AE53" s="782"/>
      <c r="AF53" s="782"/>
      <c r="AG53" s="757"/>
      <c r="AH53" s="757">
        <f t="shared" si="47"/>
        <v>430</v>
      </c>
      <c r="AI53" s="758">
        <f t="shared" si="48"/>
        <v>430</v>
      </c>
      <c r="AJ53" s="777"/>
      <c r="AK53" s="778"/>
      <c r="AL53" s="778"/>
      <c r="AM53" s="778"/>
      <c r="AN53" s="2079"/>
      <c r="AO53" s="2080"/>
      <c r="AP53" s="379" t="s">
        <v>1746</v>
      </c>
      <c r="AQ53" s="761">
        <f t="shared" si="49"/>
        <v>430</v>
      </c>
    </row>
    <row r="54" spans="1:43" ht="135">
      <c r="A54" s="371" t="s">
        <v>1843</v>
      </c>
      <c r="B54" s="371" t="s">
        <v>1844</v>
      </c>
      <c r="C54" s="741"/>
      <c r="D54" s="371" t="s">
        <v>944</v>
      </c>
      <c r="E54" s="371" t="s">
        <v>1845</v>
      </c>
      <c r="F54" s="371" t="s">
        <v>1769</v>
      </c>
      <c r="G54" s="742"/>
      <c r="H54" s="742"/>
      <c r="I54" s="742"/>
      <c r="J54" s="780"/>
      <c r="K54" s="780"/>
      <c r="L54" s="780"/>
      <c r="M54" s="747"/>
      <c r="N54" s="747"/>
      <c r="O54" s="747"/>
      <c r="P54" s="840"/>
      <c r="Q54" s="840"/>
      <c r="R54" s="840"/>
      <c r="S54" s="747"/>
      <c r="T54" s="747"/>
      <c r="U54" s="747">
        <f>U55</f>
        <v>150</v>
      </c>
      <c r="V54" s="840"/>
      <c r="W54" s="840"/>
      <c r="X54" s="840"/>
      <c r="Y54" s="747"/>
      <c r="Z54" s="747"/>
      <c r="AA54" s="747"/>
      <c r="AB54" s="840"/>
      <c r="AC54" s="840"/>
      <c r="AD54" s="840"/>
      <c r="AE54" s="747">
        <f>AE55</f>
        <v>150</v>
      </c>
      <c r="AF54" s="747"/>
      <c r="AG54" s="747"/>
      <c r="AH54" s="747">
        <f>SUM(J54:AG54)</f>
        <v>300</v>
      </c>
      <c r="AI54" s="747">
        <f>AH54</f>
        <v>300</v>
      </c>
      <c r="AJ54" s="747"/>
      <c r="AK54" s="747"/>
      <c r="AL54" s="747"/>
      <c r="AM54" s="747"/>
      <c r="AN54" s="818"/>
      <c r="AO54" s="789"/>
      <c r="AP54" s="371" t="s">
        <v>1735</v>
      </c>
      <c r="AQ54" s="789"/>
    </row>
    <row r="55" spans="1:43" ht="150">
      <c r="A55" s="379" t="s">
        <v>1846</v>
      </c>
      <c r="B55" s="379" t="s">
        <v>1847</v>
      </c>
      <c r="C55" s="775">
        <f t="shared" ref="C55" si="50">J55+K55+L55+P55+Q55+R55+V55+W55+X55+AB55+AC55+AD55</f>
        <v>2</v>
      </c>
      <c r="D55" s="379" t="s">
        <v>944</v>
      </c>
      <c r="E55" s="379" t="s">
        <v>1845</v>
      </c>
      <c r="F55" s="379" t="s">
        <v>1769</v>
      </c>
      <c r="G55" s="751"/>
      <c r="H55" s="841"/>
      <c r="I55" s="763"/>
      <c r="J55" s="830"/>
      <c r="K55" s="830"/>
      <c r="L55" s="842"/>
      <c r="M55" s="842"/>
      <c r="N55" s="842"/>
      <c r="O55" s="842"/>
      <c r="P55" s="842"/>
      <c r="Q55" s="842"/>
      <c r="R55" s="842">
        <v>1</v>
      </c>
      <c r="S55" s="842"/>
      <c r="T55" s="842"/>
      <c r="U55" s="842">
        <v>150</v>
      </c>
      <c r="V55" s="842"/>
      <c r="W55" s="842"/>
      <c r="X55" s="842"/>
      <c r="Y55" s="842"/>
      <c r="Z55" s="842"/>
      <c r="AA55" s="842"/>
      <c r="AB55" s="842">
        <v>1</v>
      </c>
      <c r="AC55" s="842"/>
      <c r="AD55" s="842"/>
      <c r="AE55" s="842">
        <v>150</v>
      </c>
      <c r="AF55" s="842"/>
      <c r="AG55" s="842"/>
      <c r="AH55" s="784">
        <f t="shared" ref="AH55" si="51">SUM(M55+N55+O55+S55+T55+U55+Y55+Z55+AA55+AE55+AF55+AG55)</f>
        <v>300</v>
      </c>
      <c r="AI55" s="784">
        <f t="shared" ref="AI55" si="52">AH55</f>
        <v>300</v>
      </c>
      <c r="AJ55" s="832"/>
      <c r="AK55" s="833"/>
      <c r="AL55" s="833"/>
      <c r="AM55" s="833"/>
      <c r="AN55" s="785"/>
      <c r="AO55" s="786" t="s">
        <v>1764</v>
      </c>
      <c r="AP55" s="379" t="s">
        <v>1765</v>
      </c>
      <c r="AQ55" s="843" t="s">
        <v>1848</v>
      </c>
    </row>
    <row r="56" spans="1:43" ht="60">
      <c r="A56" s="371" t="s">
        <v>1849</v>
      </c>
      <c r="B56" s="371" t="s">
        <v>1850</v>
      </c>
      <c r="C56" s="741"/>
      <c r="D56" s="371" t="s">
        <v>52</v>
      </c>
      <c r="E56" s="371" t="s">
        <v>1851</v>
      </c>
      <c r="F56" s="371" t="s">
        <v>1852</v>
      </c>
      <c r="G56" s="742"/>
      <c r="H56" s="844"/>
      <c r="I56" s="771"/>
      <c r="J56" s="845"/>
      <c r="K56" s="845"/>
      <c r="L56" s="845"/>
      <c r="M56" s="846"/>
      <c r="N56" s="847">
        <f>N57</f>
        <v>500</v>
      </c>
      <c r="O56" s="847"/>
      <c r="P56" s="847"/>
      <c r="Q56" s="848"/>
      <c r="R56" s="848"/>
      <c r="S56" s="848"/>
      <c r="T56" s="848">
        <f>T57</f>
        <v>500</v>
      </c>
      <c r="U56" s="848"/>
      <c r="V56" s="848"/>
      <c r="W56" s="848"/>
      <c r="X56" s="848"/>
      <c r="Y56" s="848"/>
      <c r="Z56" s="848"/>
      <c r="AA56" s="848"/>
      <c r="AB56" s="848"/>
      <c r="AC56" s="848"/>
      <c r="AD56" s="848"/>
      <c r="AE56" s="848"/>
      <c r="AF56" s="792"/>
      <c r="AG56" s="847"/>
      <c r="AH56" s="849">
        <f>SUM(M56:AG56)</f>
        <v>1000</v>
      </c>
      <c r="AI56" s="849">
        <f>AH56</f>
        <v>1000</v>
      </c>
      <c r="AJ56" s="846"/>
      <c r="AK56" s="846"/>
      <c r="AL56" s="846"/>
      <c r="AM56" s="846"/>
      <c r="AN56" s="787"/>
      <c r="AO56" s="788"/>
      <c r="AP56" s="371" t="s">
        <v>1735</v>
      </c>
      <c r="AQ56" s="850"/>
    </row>
    <row r="57" spans="1:43" ht="60">
      <c r="A57" s="379" t="s">
        <v>1853</v>
      </c>
      <c r="B57" s="379" t="s">
        <v>1854</v>
      </c>
      <c r="C57" s="775">
        <f t="shared" ref="C57" si="53">J57+K57+L57+P57+Q57+R57+V57+W57+X57+AB57+AC57+AD57</f>
        <v>2</v>
      </c>
      <c r="D57" s="379" t="s">
        <v>52</v>
      </c>
      <c r="E57" s="379" t="s">
        <v>1851</v>
      </c>
      <c r="F57" s="379" t="s">
        <v>1852</v>
      </c>
      <c r="G57" s="751"/>
      <c r="H57" s="841"/>
      <c r="I57" s="763"/>
      <c r="J57" s="842"/>
      <c r="K57" s="842">
        <v>1</v>
      </c>
      <c r="L57" s="842"/>
      <c r="M57" s="842"/>
      <c r="N57" s="831">
        <v>500</v>
      </c>
      <c r="O57" s="831"/>
      <c r="P57" s="831"/>
      <c r="Q57" s="831">
        <v>1</v>
      </c>
      <c r="R57" s="831"/>
      <c r="S57" s="831"/>
      <c r="T57" s="831">
        <v>500</v>
      </c>
      <c r="U57" s="831"/>
      <c r="V57" s="831"/>
      <c r="W57" s="831"/>
      <c r="X57" s="831"/>
      <c r="Y57" s="831"/>
      <c r="Z57" s="831"/>
      <c r="AA57" s="831"/>
      <c r="AB57" s="831"/>
      <c r="AC57" s="831"/>
      <c r="AD57" s="831"/>
      <c r="AE57" s="831"/>
      <c r="AF57" s="831"/>
      <c r="AG57" s="831"/>
      <c r="AH57" s="799">
        <f t="shared" ref="AH57" si="54">SUM(M57+N57+O57+S57+T57+U57+Y57+Z57+AA57+AE57+AF57+AG57)</f>
        <v>1000</v>
      </c>
      <c r="AI57" s="800">
        <f t="shared" ref="AI57" si="55">AH57</f>
        <v>1000</v>
      </c>
      <c r="AJ57" s="833"/>
      <c r="AK57" s="833"/>
      <c r="AL57" s="833"/>
      <c r="AM57" s="833"/>
      <c r="AN57" s="785"/>
      <c r="AO57" s="786" t="s">
        <v>1764</v>
      </c>
      <c r="AP57" s="379" t="s">
        <v>1765</v>
      </c>
      <c r="AQ57" s="843"/>
    </row>
    <row r="58" spans="1:43" ht="60">
      <c r="A58" s="363" t="s">
        <v>1423</v>
      </c>
      <c r="B58" s="363" t="s">
        <v>1424</v>
      </c>
      <c r="C58" s="732"/>
      <c r="D58" s="363"/>
      <c r="E58" s="363"/>
      <c r="F58" s="363"/>
      <c r="G58" s="733"/>
      <c r="H58" s="851"/>
      <c r="I58" s="765"/>
      <c r="J58" s="852"/>
      <c r="K58" s="852"/>
      <c r="L58" s="852"/>
      <c r="M58" s="853"/>
      <c r="N58" s="853"/>
      <c r="O58" s="853"/>
      <c r="P58" s="852"/>
      <c r="Q58" s="854"/>
      <c r="R58" s="854"/>
      <c r="S58" s="855"/>
      <c r="T58" s="856">
        <f>T59</f>
        <v>3900</v>
      </c>
      <c r="U58" s="856"/>
      <c r="V58" s="856"/>
      <c r="W58" s="856"/>
      <c r="X58" s="856"/>
      <c r="Y58" s="856"/>
      <c r="Z58" s="856">
        <f>Z59</f>
        <v>3900</v>
      </c>
      <c r="AA58" s="856"/>
      <c r="AB58" s="856"/>
      <c r="AC58" s="856"/>
      <c r="AD58" s="856"/>
      <c r="AE58" s="856"/>
      <c r="AF58" s="857"/>
      <c r="AG58" s="858"/>
      <c r="AH58" s="857">
        <f>AH59</f>
        <v>7800</v>
      </c>
      <c r="AI58" s="859">
        <f>AH58</f>
        <v>7800</v>
      </c>
      <c r="AJ58" s="853"/>
      <c r="AK58" s="853"/>
      <c r="AL58" s="853"/>
      <c r="AM58" s="853"/>
      <c r="AN58" s="837"/>
      <c r="AO58" s="838"/>
      <c r="AP58" s="363" t="s">
        <v>1735</v>
      </c>
      <c r="AQ58" s="860"/>
    </row>
    <row r="59" spans="1:43" ht="60">
      <c r="A59" s="371" t="s">
        <v>1855</v>
      </c>
      <c r="B59" s="371" t="s">
        <v>1856</v>
      </c>
      <c r="C59" s="741"/>
      <c r="D59" s="371" t="s">
        <v>1617</v>
      </c>
      <c r="E59" s="371" t="s">
        <v>1857</v>
      </c>
      <c r="F59" s="371" t="s">
        <v>52</v>
      </c>
      <c r="G59" s="742"/>
      <c r="H59" s="844"/>
      <c r="I59" s="771"/>
      <c r="J59" s="845"/>
      <c r="K59" s="845"/>
      <c r="L59" s="845"/>
      <c r="M59" s="846"/>
      <c r="N59" s="846"/>
      <c r="O59" s="846"/>
      <c r="P59" s="845"/>
      <c r="Q59" s="861"/>
      <c r="R59" s="861"/>
      <c r="S59" s="862"/>
      <c r="T59" s="848">
        <f>T60</f>
        <v>3900</v>
      </c>
      <c r="U59" s="848"/>
      <c r="V59" s="848"/>
      <c r="W59" s="848"/>
      <c r="X59" s="848"/>
      <c r="Y59" s="848"/>
      <c r="Z59" s="848">
        <f>Z60</f>
        <v>3900</v>
      </c>
      <c r="AA59" s="848"/>
      <c r="AB59" s="848"/>
      <c r="AC59" s="848"/>
      <c r="AD59" s="848"/>
      <c r="AE59" s="848"/>
      <c r="AF59" s="792"/>
      <c r="AG59" s="863"/>
      <c r="AH59" s="792">
        <f>SUM(M59:AG59)</f>
        <v>7800</v>
      </c>
      <c r="AI59" s="849">
        <f>AH59</f>
        <v>7800</v>
      </c>
      <c r="AJ59" s="846"/>
      <c r="AK59" s="846"/>
      <c r="AL59" s="846"/>
      <c r="AM59" s="846"/>
      <c r="AN59" s="787"/>
      <c r="AO59" s="788"/>
      <c r="AP59" s="371" t="s">
        <v>1735</v>
      </c>
      <c r="AQ59" s="850"/>
    </row>
    <row r="60" spans="1:43" ht="60">
      <c r="A60" s="379" t="s">
        <v>1858</v>
      </c>
      <c r="B60" s="379" t="s">
        <v>1859</v>
      </c>
      <c r="C60" s="775">
        <f t="shared" ref="C60" si="56">J60+K60+L60+P60+Q60+R60+V60+W60+X60+AB60+AC60+AD60</f>
        <v>2</v>
      </c>
      <c r="D60" s="379" t="s">
        <v>1617</v>
      </c>
      <c r="E60" s="379" t="s">
        <v>1857</v>
      </c>
      <c r="F60" s="379" t="s">
        <v>52</v>
      </c>
      <c r="G60" s="864"/>
      <c r="H60" s="865"/>
      <c r="I60" s="865"/>
      <c r="J60" s="830"/>
      <c r="K60" s="830"/>
      <c r="L60" s="830"/>
      <c r="M60" s="830"/>
      <c r="N60" s="830"/>
      <c r="O60" s="830"/>
      <c r="P60" s="830"/>
      <c r="Q60" s="842">
        <v>1</v>
      </c>
      <c r="R60" s="842"/>
      <c r="S60" s="842"/>
      <c r="T60" s="831">
        <v>3900</v>
      </c>
      <c r="U60" s="831"/>
      <c r="V60" s="831"/>
      <c r="W60" s="831">
        <v>1</v>
      </c>
      <c r="X60" s="831"/>
      <c r="Y60" s="831"/>
      <c r="Z60" s="831">
        <v>3900</v>
      </c>
      <c r="AA60" s="831"/>
      <c r="AB60" s="831"/>
      <c r="AC60" s="831"/>
      <c r="AD60" s="831"/>
      <c r="AE60" s="831"/>
      <c r="AF60" s="831"/>
      <c r="AG60" s="831"/>
      <c r="AH60" s="799">
        <f t="shared" ref="AH60" si="57">SUM(M60+N60+O60+S60+T60+U60+Y60+Z60+AA60+AE60+AF60+AG60)</f>
        <v>7800</v>
      </c>
      <c r="AI60" s="800">
        <f t="shared" ref="AI60" si="58">AH60</f>
        <v>7800</v>
      </c>
      <c r="AJ60" s="832"/>
      <c r="AK60" s="832"/>
      <c r="AL60" s="832"/>
      <c r="AM60" s="833"/>
      <c r="AN60" s="785"/>
      <c r="AO60" s="786" t="s">
        <v>1764</v>
      </c>
      <c r="AP60" s="379" t="s">
        <v>1860</v>
      </c>
      <c r="AQ60" s="866"/>
    </row>
    <row r="61" spans="1:43" ht="45">
      <c r="A61" s="363" t="s">
        <v>202</v>
      </c>
      <c r="B61" s="363" t="s">
        <v>203</v>
      </c>
      <c r="C61" s="732"/>
      <c r="D61" s="363"/>
      <c r="E61" s="363"/>
      <c r="F61" s="363"/>
      <c r="G61" s="867"/>
      <c r="H61" s="868"/>
      <c r="I61" s="869"/>
      <c r="J61" s="870"/>
      <c r="K61" s="870"/>
      <c r="L61" s="870"/>
      <c r="M61" s="871"/>
      <c r="N61" s="871"/>
      <c r="O61" s="871"/>
      <c r="P61" s="870"/>
      <c r="Q61" s="870"/>
      <c r="R61" s="870"/>
      <c r="S61" s="871"/>
      <c r="T61" s="871"/>
      <c r="U61" s="871"/>
      <c r="V61" s="870"/>
      <c r="W61" s="870"/>
      <c r="X61" s="870"/>
      <c r="Y61" s="871"/>
      <c r="Z61" s="871"/>
      <c r="AA61" s="871"/>
      <c r="AB61" s="870"/>
      <c r="AC61" s="870"/>
      <c r="AD61" s="870"/>
      <c r="AE61" s="871"/>
      <c r="AF61" s="871"/>
      <c r="AG61" s="871"/>
      <c r="AH61" s="872"/>
      <c r="AI61" s="873"/>
      <c r="AJ61" s="871"/>
      <c r="AK61" s="871"/>
      <c r="AL61" s="871"/>
      <c r="AM61" s="871"/>
      <c r="AN61" s="874"/>
      <c r="AO61" s="875"/>
      <c r="AP61" s="363" t="s">
        <v>1735</v>
      </c>
      <c r="AQ61" s="876"/>
    </row>
    <row r="62" spans="1:43" ht="105">
      <c r="A62" s="371" t="s">
        <v>218</v>
      </c>
      <c r="B62" s="371" t="s">
        <v>219</v>
      </c>
      <c r="C62" s="741"/>
      <c r="D62" s="371" t="s">
        <v>220</v>
      </c>
      <c r="E62" s="371" t="s">
        <v>221</v>
      </c>
      <c r="F62" s="371" t="s">
        <v>52</v>
      </c>
      <c r="G62" s="742"/>
      <c r="H62" s="743"/>
      <c r="I62" s="742"/>
      <c r="J62" s="840"/>
      <c r="K62" s="840"/>
      <c r="L62" s="840"/>
      <c r="M62" s="747"/>
      <c r="N62" s="747"/>
      <c r="O62" s="747"/>
      <c r="P62" s="780"/>
      <c r="Q62" s="780"/>
      <c r="R62" s="780"/>
      <c r="S62" s="747"/>
      <c r="T62" s="747"/>
      <c r="U62" s="747"/>
      <c r="V62" s="780"/>
      <c r="W62" s="780"/>
      <c r="X62" s="780"/>
      <c r="Y62" s="747"/>
      <c r="Z62" s="747"/>
      <c r="AA62" s="747"/>
      <c r="AB62" s="780"/>
      <c r="AC62" s="780"/>
      <c r="AD62" s="780"/>
      <c r="AE62" s="747"/>
      <c r="AF62" s="747"/>
      <c r="AG62" s="747"/>
      <c r="AH62" s="747"/>
      <c r="AI62" s="747"/>
      <c r="AJ62" s="747"/>
      <c r="AK62" s="747"/>
      <c r="AL62" s="747"/>
      <c r="AM62" s="747"/>
      <c r="AN62" s="818"/>
      <c r="AO62" s="789"/>
      <c r="AP62" s="371" t="s">
        <v>1735</v>
      </c>
      <c r="AQ62" s="789"/>
    </row>
    <row r="63" spans="1:43" ht="45">
      <c r="A63" s="379" t="s">
        <v>1861</v>
      </c>
      <c r="B63" s="379" t="s">
        <v>1862</v>
      </c>
      <c r="C63" s="775">
        <f t="shared" ref="C63" si="59">J63+K63+L63+P63+Q63+R63+V63+W63+X63+AB63+AC63+AD63</f>
        <v>0</v>
      </c>
      <c r="D63" s="379" t="s">
        <v>944</v>
      </c>
      <c r="E63" s="379" t="s">
        <v>1863</v>
      </c>
      <c r="F63" s="379" t="s">
        <v>309</v>
      </c>
      <c r="G63" s="751"/>
      <c r="H63" s="751"/>
      <c r="I63" s="751"/>
      <c r="J63" s="877"/>
      <c r="K63" s="877"/>
      <c r="L63" s="877"/>
      <c r="M63" s="878"/>
      <c r="N63" s="878"/>
      <c r="O63" s="878"/>
      <c r="P63" s="877"/>
      <c r="Q63" s="877"/>
      <c r="R63" s="877"/>
      <c r="S63" s="878"/>
      <c r="T63" s="878"/>
      <c r="U63" s="878"/>
      <c r="V63" s="877"/>
      <c r="W63" s="877"/>
      <c r="X63" s="877"/>
      <c r="Y63" s="878"/>
      <c r="Z63" s="878"/>
      <c r="AA63" s="878"/>
      <c r="AB63" s="877"/>
      <c r="AC63" s="877"/>
      <c r="AD63" s="877"/>
      <c r="AE63" s="878"/>
      <c r="AF63" s="878"/>
      <c r="AG63" s="878"/>
      <c r="AH63" s="878"/>
      <c r="AI63" s="878"/>
      <c r="AJ63" s="879"/>
      <c r="AK63" s="879"/>
      <c r="AL63" s="879"/>
      <c r="AM63" s="879"/>
      <c r="AN63" s="879"/>
      <c r="AO63" s="880"/>
      <c r="AP63" s="379" t="s">
        <v>1860</v>
      </c>
      <c r="AQ63" s="880"/>
    </row>
    <row r="64" spans="1:43" ht="45">
      <c r="A64" s="363" t="s">
        <v>267</v>
      </c>
      <c r="B64" s="363" t="s">
        <v>268</v>
      </c>
      <c r="C64" s="732"/>
      <c r="D64" s="363"/>
      <c r="E64" s="363"/>
      <c r="F64" s="363"/>
      <c r="G64" s="733"/>
      <c r="H64" s="733"/>
      <c r="I64" s="765"/>
      <c r="J64" s="881"/>
      <c r="K64" s="882"/>
      <c r="L64" s="882"/>
      <c r="M64" s="883"/>
      <c r="N64" s="883"/>
      <c r="O64" s="883"/>
      <c r="P64" s="882"/>
      <c r="Q64" s="882"/>
      <c r="R64" s="882"/>
      <c r="S64" s="883"/>
      <c r="T64" s="884">
        <f>T65</f>
        <v>3900</v>
      </c>
      <c r="U64" s="884"/>
      <c r="V64" s="884"/>
      <c r="W64" s="884"/>
      <c r="X64" s="884"/>
      <c r="Y64" s="884"/>
      <c r="Z64" s="884"/>
      <c r="AA64" s="884"/>
      <c r="AB64" s="884"/>
      <c r="AC64" s="884"/>
      <c r="AD64" s="884"/>
      <c r="AE64" s="884">
        <f>AE65</f>
        <v>3900</v>
      </c>
      <c r="AF64" s="884"/>
      <c r="AG64" s="885"/>
      <c r="AH64" s="857">
        <f>AH65</f>
        <v>7800</v>
      </c>
      <c r="AI64" s="857">
        <f>AH64</f>
        <v>7800</v>
      </c>
      <c r="AJ64" s="815"/>
      <c r="AK64" s="815"/>
      <c r="AL64" s="815"/>
      <c r="AM64" s="815"/>
      <c r="AN64" s="886"/>
      <c r="AO64" s="887"/>
      <c r="AP64" s="363" t="s">
        <v>1735</v>
      </c>
      <c r="AQ64" s="816"/>
    </row>
    <row r="65" spans="1:43" ht="60">
      <c r="A65" s="371" t="s">
        <v>1864</v>
      </c>
      <c r="B65" s="371" t="s">
        <v>1865</v>
      </c>
      <c r="C65" s="741">
        <v>2</v>
      </c>
      <c r="D65" s="371" t="s">
        <v>1617</v>
      </c>
      <c r="E65" s="371" t="s">
        <v>1866</v>
      </c>
      <c r="F65" s="371" t="s">
        <v>52</v>
      </c>
      <c r="G65" s="742"/>
      <c r="H65" s="742"/>
      <c r="I65" s="771"/>
      <c r="J65" s="823"/>
      <c r="K65" s="823"/>
      <c r="L65" s="823"/>
      <c r="M65" s="888"/>
      <c r="N65" s="787"/>
      <c r="O65" s="787"/>
      <c r="P65" s="823"/>
      <c r="Q65" s="823"/>
      <c r="R65" s="823"/>
      <c r="S65" s="787"/>
      <c r="T65" s="889">
        <f>T66</f>
        <v>3900</v>
      </c>
      <c r="U65" s="889"/>
      <c r="V65" s="889"/>
      <c r="W65" s="889"/>
      <c r="X65" s="889"/>
      <c r="Y65" s="890"/>
      <c r="Z65" s="889"/>
      <c r="AA65" s="889"/>
      <c r="AB65" s="889"/>
      <c r="AC65" s="889"/>
      <c r="AD65" s="889"/>
      <c r="AE65" s="889">
        <f>AE66</f>
        <v>3900</v>
      </c>
      <c r="AF65" s="889"/>
      <c r="AG65" s="889"/>
      <c r="AH65" s="792">
        <f>SUM(M65:AG65)</f>
        <v>7800</v>
      </c>
      <c r="AI65" s="891">
        <f>AH65</f>
        <v>7800</v>
      </c>
      <c r="AJ65" s="806"/>
      <c r="AK65" s="806"/>
      <c r="AL65" s="806"/>
      <c r="AM65" s="806"/>
      <c r="AN65" s="892"/>
      <c r="AO65" s="893"/>
      <c r="AP65" s="371" t="s">
        <v>1735</v>
      </c>
      <c r="AQ65" s="808"/>
    </row>
    <row r="66" spans="1:43" ht="60">
      <c r="A66" s="379" t="s">
        <v>1867</v>
      </c>
      <c r="B66" s="379" t="s">
        <v>1868</v>
      </c>
      <c r="C66" s="775">
        <f t="shared" ref="C66" si="60">J66+K66+L66+P66+Q66+R66+V66+W66+X66+AB66+AC66+AD66</f>
        <v>2</v>
      </c>
      <c r="D66" s="379" t="s">
        <v>1617</v>
      </c>
      <c r="E66" s="379" t="s">
        <v>1866</v>
      </c>
      <c r="F66" s="379" t="s">
        <v>52</v>
      </c>
      <c r="G66" s="751"/>
      <c r="H66" s="894"/>
      <c r="I66" s="894"/>
      <c r="J66" s="782"/>
      <c r="K66" s="782"/>
      <c r="L66" s="782"/>
      <c r="M66" s="782"/>
      <c r="N66" s="782"/>
      <c r="O66" s="782"/>
      <c r="P66" s="757"/>
      <c r="Q66" s="757">
        <v>1</v>
      </c>
      <c r="R66" s="757"/>
      <c r="S66" s="757"/>
      <c r="T66" s="799">
        <v>3900</v>
      </c>
      <c r="U66" s="799"/>
      <c r="V66" s="799"/>
      <c r="W66" s="799"/>
      <c r="X66" s="799"/>
      <c r="Y66" s="799"/>
      <c r="Z66" s="799"/>
      <c r="AA66" s="799"/>
      <c r="AB66" s="799">
        <v>1</v>
      </c>
      <c r="AC66" s="799"/>
      <c r="AD66" s="799"/>
      <c r="AE66" s="799">
        <v>3900</v>
      </c>
      <c r="AF66" s="799"/>
      <c r="AG66" s="799"/>
      <c r="AH66" s="799">
        <f t="shared" ref="AH66" si="61">SUM(M66+N66+O66+S66+T66+U66+Y66+Z66+AA66+AE66+AF66+AG66)</f>
        <v>7800</v>
      </c>
      <c r="AI66" s="800">
        <f t="shared" ref="AI66" si="62">AH66</f>
        <v>7800</v>
      </c>
      <c r="AJ66" s="895"/>
      <c r="AK66" s="895"/>
      <c r="AL66" s="896"/>
      <c r="AM66" s="896"/>
      <c r="AN66" s="785"/>
      <c r="AO66" s="786" t="s">
        <v>1764</v>
      </c>
      <c r="AP66" s="379" t="s">
        <v>1765</v>
      </c>
      <c r="AQ66" s="897"/>
    </row>
    <row r="67" spans="1:43" ht="30">
      <c r="A67" s="355" t="s">
        <v>917</v>
      </c>
      <c r="B67" s="355" t="s">
        <v>918</v>
      </c>
      <c r="C67" s="723"/>
      <c r="D67" s="355"/>
      <c r="E67" s="355"/>
      <c r="F67" s="355"/>
      <c r="G67" s="898"/>
      <c r="H67" s="899"/>
      <c r="I67" s="899"/>
      <c r="J67" s="900"/>
      <c r="K67" s="901"/>
      <c r="L67" s="901"/>
      <c r="M67" s="902"/>
      <c r="N67" s="902">
        <f>N68</f>
        <v>545</v>
      </c>
      <c r="O67" s="902"/>
      <c r="P67" s="901"/>
      <c r="Q67" s="901"/>
      <c r="R67" s="901"/>
      <c r="S67" s="902"/>
      <c r="T67" s="903"/>
      <c r="U67" s="903"/>
      <c r="V67" s="903"/>
      <c r="W67" s="903"/>
      <c r="X67" s="903"/>
      <c r="Y67" s="903"/>
      <c r="Z67" s="903"/>
      <c r="AA67" s="903"/>
      <c r="AB67" s="903"/>
      <c r="AC67" s="903"/>
      <c r="AD67" s="903"/>
      <c r="AE67" s="903"/>
      <c r="AF67" s="903"/>
      <c r="AG67" s="903"/>
      <c r="AH67" s="903">
        <f>AH68</f>
        <v>545</v>
      </c>
      <c r="AI67" s="903">
        <f>AH67</f>
        <v>545</v>
      </c>
      <c r="AJ67" s="902"/>
      <c r="AK67" s="902"/>
      <c r="AL67" s="902"/>
      <c r="AM67" s="902"/>
      <c r="AN67" s="902"/>
      <c r="AO67" s="904"/>
      <c r="AP67" s="355" t="s">
        <v>1735</v>
      </c>
      <c r="AQ67" s="904"/>
    </row>
    <row r="68" spans="1:43" ht="30">
      <c r="A68" s="363" t="s">
        <v>949</v>
      </c>
      <c r="B68" s="363" t="s">
        <v>950</v>
      </c>
      <c r="C68" s="732"/>
      <c r="D68" s="363"/>
      <c r="E68" s="363"/>
      <c r="F68" s="363"/>
      <c r="G68" s="905"/>
      <c r="H68" s="734"/>
      <c r="I68" s="906"/>
      <c r="J68" s="907"/>
      <c r="K68" s="907"/>
      <c r="L68" s="907"/>
      <c r="M68" s="908"/>
      <c r="N68" s="908">
        <f>N69</f>
        <v>545</v>
      </c>
      <c r="O68" s="908"/>
      <c r="P68" s="907"/>
      <c r="Q68" s="907"/>
      <c r="R68" s="907"/>
      <c r="S68" s="908"/>
      <c r="T68" s="908"/>
      <c r="U68" s="908"/>
      <c r="V68" s="907"/>
      <c r="W68" s="907"/>
      <c r="X68" s="907"/>
      <c r="Y68" s="908"/>
      <c r="Z68" s="908"/>
      <c r="AA68" s="908"/>
      <c r="AB68" s="907"/>
      <c r="AC68" s="907"/>
      <c r="AD68" s="907"/>
      <c r="AE68" s="908"/>
      <c r="AF68" s="908"/>
      <c r="AG68" s="908"/>
      <c r="AH68" s="908">
        <f>AH69</f>
        <v>545</v>
      </c>
      <c r="AI68" s="908">
        <f>AI69</f>
        <v>545</v>
      </c>
      <c r="AJ68" s="908"/>
      <c r="AK68" s="908"/>
      <c r="AL68" s="908"/>
      <c r="AM68" s="908"/>
      <c r="AN68" s="908"/>
      <c r="AO68" s="909"/>
      <c r="AP68" s="363" t="s">
        <v>1735</v>
      </c>
      <c r="AQ68" s="909"/>
    </row>
    <row r="69" spans="1:43" ht="105">
      <c r="A69" s="371" t="s">
        <v>1869</v>
      </c>
      <c r="B69" s="371" t="s">
        <v>1870</v>
      </c>
      <c r="C69" s="741"/>
      <c r="D69" s="371" t="s">
        <v>1460</v>
      </c>
      <c r="E69" s="371" t="s">
        <v>1871</v>
      </c>
      <c r="F69" s="371"/>
      <c r="G69" s="910"/>
      <c r="H69" s="910"/>
      <c r="I69" s="910"/>
      <c r="J69" s="911"/>
      <c r="K69" s="911"/>
      <c r="L69" s="911"/>
      <c r="M69" s="912"/>
      <c r="N69" s="912">
        <f>N70</f>
        <v>545</v>
      </c>
      <c r="O69" s="912"/>
      <c r="P69" s="911"/>
      <c r="Q69" s="911"/>
      <c r="R69" s="911"/>
      <c r="S69" s="912"/>
      <c r="T69" s="912"/>
      <c r="U69" s="912"/>
      <c r="V69" s="911"/>
      <c r="W69" s="911"/>
      <c r="X69" s="911"/>
      <c r="Y69" s="912"/>
      <c r="Z69" s="912"/>
      <c r="AA69" s="912"/>
      <c r="AB69" s="911"/>
      <c r="AC69" s="911"/>
      <c r="AD69" s="911"/>
      <c r="AE69" s="912"/>
      <c r="AF69" s="912"/>
      <c r="AG69" s="912"/>
      <c r="AH69" s="747">
        <f>SUM(N69:AG69)</f>
        <v>545</v>
      </c>
      <c r="AI69" s="912">
        <f>AH69</f>
        <v>545</v>
      </c>
      <c r="AJ69" s="912"/>
      <c r="AK69" s="912"/>
      <c r="AL69" s="912"/>
      <c r="AM69" s="912"/>
      <c r="AN69" s="912"/>
      <c r="AO69" s="913"/>
      <c r="AP69" s="371" t="s">
        <v>1735</v>
      </c>
      <c r="AQ69" s="913"/>
    </row>
    <row r="70" spans="1:43" ht="75">
      <c r="A70" s="379" t="s">
        <v>1872</v>
      </c>
      <c r="B70" s="379" t="s">
        <v>1873</v>
      </c>
      <c r="C70" s="775">
        <f t="shared" ref="C70" si="63">J70+K70+L70+P70+Q70+R70+V70+W70+X70+AB70+AC70+AD70</f>
        <v>1</v>
      </c>
      <c r="D70" s="379" t="s">
        <v>1740</v>
      </c>
      <c r="E70" s="379" t="s">
        <v>1799</v>
      </c>
      <c r="F70" s="379" t="s">
        <v>1744</v>
      </c>
      <c r="G70" s="751"/>
      <c r="H70" s="914"/>
      <c r="I70" s="763"/>
      <c r="J70" s="753"/>
      <c r="K70" s="754">
        <v>1</v>
      </c>
      <c r="L70" s="755"/>
      <c r="M70" s="755"/>
      <c r="N70" s="754">
        <v>545</v>
      </c>
      <c r="O70" s="753"/>
      <c r="P70" s="753"/>
      <c r="Q70" s="753"/>
      <c r="R70" s="753"/>
      <c r="S70" s="753"/>
      <c r="T70" s="753"/>
      <c r="U70" s="753"/>
      <c r="V70" s="753"/>
      <c r="W70" s="753"/>
      <c r="X70" s="753"/>
      <c r="Y70" s="753"/>
      <c r="Z70" s="753"/>
      <c r="AA70" s="753"/>
      <c r="AB70" s="753"/>
      <c r="AC70" s="756"/>
      <c r="AD70" s="756"/>
      <c r="AE70" s="756"/>
      <c r="AF70" s="756"/>
      <c r="AG70" s="756"/>
      <c r="AH70" s="757">
        <f t="shared" ref="AH70" si="64">SUM(M70+N70+O70+S70+T70+U70+Y70+Z70+AA70+AE70+AF70+AG70)</f>
        <v>545</v>
      </c>
      <c r="AI70" s="758">
        <f>+AH70</f>
        <v>545</v>
      </c>
      <c r="AJ70" s="759"/>
      <c r="AK70" s="760"/>
      <c r="AL70" s="760"/>
      <c r="AM70" s="760"/>
      <c r="AN70" s="915"/>
      <c r="AO70" s="916" t="s">
        <v>1745</v>
      </c>
      <c r="AP70" s="379" t="s">
        <v>1746</v>
      </c>
      <c r="AQ70" s="917"/>
    </row>
    <row r="71" spans="1:43" ht="45">
      <c r="A71" s="355" t="s">
        <v>1874</v>
      </c>
      <c r="B71" s="355" t="s">
        <v>1875</v>
      </c>
      <c r="C71" s="723"/>
      <c r="D71" s="355"/>
      <c r="E71" s="355"/>
      <c r="F71" s="355"/>
      <c r="G71" s="918"/>
      <c r="H71" s="918"/>
      <c r="I71" s="918"/>
      <c r="J71" s="919"/>
      <c r="K71" s="919"/>
      <c r="L71" s="919"/>
      <c r="M71" s="920"/>
      <c r="N71" s="920">
        <f>N72</f>
        <v>545</v>
      </c>
      <c r="O71" s="920"/>
      <c r="P71" s="919"/>
      <c r="Q71" s="919"/>
      <c r="R71" s="919"/>
      <c r="S71" s="920"/>
      <c r="T71" s="920"/>
      <c r="U71" s="920"/>
      <c r="V71" s="919"/>
      <c r="W71" s="919"/>
      <c r="X71" s="919"/>
      <c r="Y71" s="920"/>
      <c r="Z71" s="920"/>
      <c r="AA71" s="920"/>
      <c r="AB71" s="919"/>
      <c r="AC71" s="919"/>
      <c r="AD71" s="919"/>
      <c r="AE71" s="920"/>
      <c r="AF71" s="920"/>
      <c r="AG71" s="920"/>
      <c r="AH71" s="921">
        <f>AH72</f>
        <v>545</v>
      </c>
      <c r="AI71" s="922">
        <f>AI72</f>
        <v>545</v>
      </c>
      <c r="AJ71" s="922"/>
      <c r="AK71" s="922"/>
      <c r="AL71" s="922"/>
      <c r="AM71" s="922"/>
      <c r="AN71" s="922"/>
      <c r="AO71" s="923"/>
      <c r="AP71" s="355" t="s">
        <v>1735</v>
      </c>
      <c r="AQ71" s="923"/>
    </row>
    <row r="72" spans="1:43" ht="30">
      <c r="A72" s="363" t="s">
        <v>1876</v>
      </c>
      <c r="B72" s="363" t="s">
        <v>1877</v>
      </c>
      <c r="C72" s="732"/>
      <c r="D72" s="363"/>
      <c r="E72" s="363"/>
      <c r="F72" s="363"/>
      <c r="G72" s="733"/>
      <c r="H72" s="924"/>
      <c r="I72" s="765"/>
      <c r="J72" s="925"/>
      <c r="K72" s="925"/>
      <c r="L72" s="925"/>
      <c r="M72" s="926"/>
      <c r="N72" s="926">
        <f>N73</f>
        <v>545</v>
      </c>
      <c r="O72" s="926"/>
      <c r="P72" s="925"/>
      <c r="Q72" s="925"/>
      <c r="R72" s="925"/>
      <c r="S72" s="926"/>
      <c r="T72" s="926"/>
      <c r="U72" s="926"/>
      <c r="V72" s="925"/>
      <c r="W72" s="925"/>
      <c r="X72" s="925"/>
      <c r="Y72" s="926"/>
      <c r="Z72" s="926"/>
      <c r="AA72" s="926"/>
      <c r="AB72" s="925"/>
      <c r="AC72" s="925"/>
      <c r="AD72" s="925"/>
      <c r="AE72" s="926"/>
      <c r="AF72" s="926"/>
      <c r="AG72" s="926"/>
      <c r="AH72" s="813">
        <f>AH73</f>
        <v>545</v>
      </c>
      <c r="AI72" s="836">
        <f>AH72</f>
        <v>545</v>
      </c>
      <c r="AJ72" s="926"/>
      <c r="AK72" s="926"/>
      <c r="AL72" s="926"/>
      <c r="AM72" s="926"/>
      <c r="AN72" s="837"/>
      <c r="AO72" s="838"/>
      <c r="AP72" s="363" t="s">
        <v>1735</v>
      </c>
      <c r="AQ72" s="927"/>
    </row>
    <row r="73" spans="1:43" ht="105">
      <c r="A73" s="371" t="s">
        <v>1878</v>
      </c>
      <c r="B73" s="371" t="s">
        <v>1879</v>
      </c>
      <c r="C73" s="741"/>
      <c r="D73" s="371" t="s">
        <v>1740</v>
      </c>
      <c r="E73" s="371" t="s">
        <v>1741</v>
      </c>
      <c r="F73" s="371"/>
      <c r="G73" s="742"/>
      <c r="H73" s="928"/>
      <c r="I73" s="771"/>
      <c r="J73" s="929"/>
      <c r="K73" s="929"/>
      <c r="L73" s="929"/>
      <c r="M73" s="930"/>
      <c r="N73" s="930">
        <f>N74</f>
        <v>545</v>
      </c>
      <c r="O73" s="930"/>
      <c r="P73" s="929"/>
      <c r="Q73" s="929"/>
      <c r="R73" s="929"/>
      <c r="S73" s="930"/>
      <c r="T73" s="930"/>
      <c r="U73" s="930"/>
      <c r="V73" s="929"/>
      <c r="W73" s="929"/>
      <c r="X73" s="929"/>
      <c r="Y73" s="930"/>
      <c r="Z73" s="930"/>
      <c r="AA73" s="930"/>
      <c r="AB73" s="929"/>
      <c r="AC73" s="929"/>
      <c r="AD73" s="929"/>
      <c r="AE73" s="930"/>
      <c r="AF73" s="930"/>
      <c r="AG73" s="930"/>
      <c r="AH73" s="747">
        <f>SUM(J73:AG73)</f>
        <v>545</v>
      </c>
      <c r="AI73" s="931">
        <f>AH73</f>
        <v>545</v>
      </c>
      <c r="AJ73" s="930"/>
      <c r="AK73" s="930"/>
      <c r="AL73" s="930"/>
      <c r="AM73" s="930"/>
      <c r="AN73" s="787"/>
      <c r="AO73" s="788"/>
      <c r="AP73" s="371" t="s">
        <v>1735</v>
      </c>
      <c r="AQ73" s="932"/>
    </row>
    <row r="74" spans="1:43" ht="75">
      <c r="A74" s="379" t="s">
        <v>1880</v>
      </c>
      <c r="B74" s="379" t="s">
        <v>1881</v>
      </c>
      <c r="C74" s="775">
        <f t="shared" ref="C74" si="65">J74+K74+L74+P74+Q74+R74+V74+W74+X74+AB74+AC74+AD74</f>
        <v>1</v>
      </c>
      <c r="D74" s="379" t="s">
        <v>1740</v>
      </c>
      <c r="E74" s="379" t="s">
        <v>1741</v>
      </c>
      <c r="F74" s="379" t="s">
        <v>1744</v>
      </c>
      <c r="G74" s="751"/>
      <c r="H74" s="933"/>
      <c r="I74" s="763"/>
      <c r="J74" s="753"/>
      <c r="K74" s="754">
        <v>1</v>
      </c>
      <c r="L74" s="754"/>
      <c r="M74" s="754"/>
      <c r="N74" s="754">
        <v>545</v>
      </c>
      <c r="O74" s="754"/>
      <c r="P74" s="753"/>
      <c r="Q74" s="756"/>
      <c r="R74" s="756"/>
      <c r="S74" s="756"/>
      <c r="T74" s="756"/>
      <c r="U74" s="756"/>
      <c r="V74" s="756"/>
      <c r="W74" s="756"/>
      <c r="X74" s="756"/>
      <c r="Y74" s="756"/>
      <c r="Z74" s="756"/>
      <c r="AA74" s="756"/>
      <c r="AB74" s="756"/>
      <c r="AC74" s="756"/>
      <c r="AD74" s="756"/>
      <c r="AE74" s="756"/>
      <c r="AF74" s="756"/>
      <c r="AG74" s="756"/>
      <c r="AH74" s="757">
        <f t="shared" ref="AH74" si="66">SUM(M74+N74+O74+S74+T74+U74+Y74+Z74+AA74+AE74+AF74+AG74)</f>
        <v>545</v>
      </c>
      <c r="AI74" s="758">
        <f t="shared" ref="AI74" si="67">+AH74</f>
        <v>545</v>
      </c>
      <c r="AJ74" s="759"/>
      <c r="AK74" s="759"/>
      <c r="AL74" s="760"/>
      <c r="AM74" s="760"/>
      <c r="AN74" s="915"/>
      <c r="AO74" s="916" t="s">
        <v>1745</v>
      </c>
      <c r="AP74" s="379" t="s">
        <v>1746</v>
      </c>
      <c r="AQ74" s="934"/>
    </row>
    <row r="75" spans="1:43" ht="45">
      <c r="A75" s="355" t="s">
        <v>577</v>
      </c>
      <c r="B75" s="355" t="s">
        <v>578</v>
      </c>
      <c r="C75" s="723"/>
      <c r="D75" s="355"/>
      <c r="E75" s="355"/>
      <c r="F75" s="355"/>
      <c r="G75" s="724"/>
      <c r="H75" s="935"/>
      <c r="I75" s="936"/>
      <c r="J75" s="937"/>
      <c r="K75" s="937"/>
      <c r="L75" s="937"/>
      <c r="M75" s="938"/>
      <c r="N75" s="938"/>
      <c r="O75" s="938">
        <f>O76</f>
        <v>545</v>
      </c>
      <c r="P75" s="937"/>
      <c r="Q75" s="937"/>
      <c r="R75" s="937"/>
      <c r="S75" s="938"/>
      <c r="T75" s="938"/>
      <c r="U75" s="938"/>
      <c r="V75" s="937"/>
      <c r="W75" s="937"/>
      <c r="X75" s="937"/>
      <c r="Y75" s="938"/>
      <c r="Z75" s="938"/>
      <c r="AA75" s="938"/>
      <c r="AB75" s="937"/>
      <c r="AC75" s="937"/>
      <c r="AD75" s="937"/>
      <c r="AE75" s="938"/>
      <c r="AF75" s="938"/>
      <c r="AG75" s="938"/>
      <c r="AH75" s="921">
        <f>AH76</f>
        <v>545</v>
      </c>
      <c r="AI75" s="939">
        <f>AI76</f>
        <v>545</v>
      </c>
      <c r="AJ75" s="938"/>
      <c r="AK75" s="938"/>
      <c r="AL75" s="938"/>
      <c r="AM75" s="938"/>
      <c r="AN75" s="940"/>
      <c r="AO75" s="941"/>
      <c r="AP75" s="355" t="s">
        <v>1735</v>
      </c>
      <c r="AQ75" s="942"/>
    </row>
    <row r="76" spans="1:43" ht="30">
      <c r="A76" s="363" t="s">
        <v>1882</v>
      </c>
      <c r="B76" s="363" t="s">
        <v>1883</v>
      </c>
      <c r="C76" s="732"/>
      <c r="D76" s="363"/>
      <c r="E76" s="363"/>
      <c r="F76" s="363"/>
      <c r="G76" s="733"/>
      <c r="H76" s="924"/>
      <c r="I76" s="765"/>
      <c r="J76" s="925"/>
      <c r="K76" s="925"/>
      <c r="L76" s="925"/>
      <c r="M76" s="926"/>
      <c r="N76" s="926"/>
      <c r="O76" s="926">
        <f>O77</f>
        <v>545</v>
      </c>
      <c r="P76" s="925"/>
      <c r="Q76" s="925"/>
      <c r="R76" s="925"/>
      <c r="S76" s="926"/>
      <c r="T76" s="926"/>
      <c r="U76" s="926"/>
      <c r="V76" s="925"/>
      <c r="W76" s="925"/>
      <c r="X76" s="925"/>
      <c r="Y76" s="926"/>
      <c r="Z76" s="926"/>
      <c r="AA76" s="926"/>
      <c r="AB76" s="925"/>
      <c r="AC76" s="925"/>
      <c r="AD76" s="925"/>
      <c r="AE76" s="926"/>
      <c r="AF76" s="926"/>
      <c r="AG76" s="926"/>
      <c r="AH76" s="813">
        <f>AH77</f>
        <v>545</v>
      </c>
      <c r="AI76" s="836">
        <f>AI77</f>
        <v>545</v>
      </c>
      <c r="AJ76" s="926"/>
      <c r="AK76" s="926"/>
      <c r="AL76" s="926"/>
      <c r="AM76" s="926"/>
      <c r="AN76" s="837"/>
      <c r="AO76" s="838"/>
      <c r="AP76" s="363" t="s">
        <v>1735</v>
      </c>
      <c r="AQ76" s="927"/>
    </row>
    <row r="77" spans="1:43" ht="75">
      <c r="A77" s="371" t="s">
        <v>1884</v>
      </c>
      <c r="B77" s="371" t="s">
        <v>1885</v>
      </c>
      <c r="C77" s="741"/>
      <c r="D77" s="371" t="s">
        <v>1740</v>
      </c>
      <c r="E77" s="371" t="s">
        <v>1741</v>
      </c>
      <c r="F77" s="371"/>
      <c r="G77" s="742"/>
      <c r="H77" s="928"/>
      <c r="I77" s="771"/>
      <c r="J77" s="929"/>
      <c r="K77" s="929"/>
      <c r="L77" s="929"/>
      <c r="M77" s="930"/>
      <c r="N77" s="930"/>
      <c r="O77" s="930">
        <f>O78</f>
        <v>545</v>
      </c>
      <c r="P77" s="929"/>
      <c r="Q77" s="929"/>
      <c r="R77" s="929"/>
      <c r="S77" s="930"/>
      <c r="T77" s="930"/>
      <c r="U77" s="930"/>
      <c r="V77" s="929"/>
      <c r="W77" s="929"/>
      <c r="X77" s="929"/>
      <c r="Y77" s="930"/>
      <c r="Z77" s="930"/>
      <c r="AA77" s="930"/>
      <c r="AB77" s="929"/>
      <c r="AC77" s="929"/>
      <c r="AD77" s="929"/>
      <c r="AE77" s="930"/>
      <c r="AF77" s="930"/>
      <c r="AG77" s="930"/>
      <c r="AH77" s="747">
        <f>SUM(J77:AG77)</f>
        <v>545</v>
      </c>
      <c r="AI77" s="931">
        <f>AH77</f>
        <v>545</v>
      </c>
      <c r="AJ77" s="930"/>
      <c r="AK77" s="930"/>
      <c r="AL77" s="930"/>
      <c r="AM77" s="930"/>
      <c r="AN77" s="787"/>
      <c r="AO77" s="788"/>
      <c r="AP77" s="371" t="s">
        <v>1735</v>
      </c>
      <c r="AQ77" s="932"/>
    </row>
    <row r="78" spans="1:43" ht="75">
      <c r="A78" s="379" t="s">
        <v>1886</v>
      </c>
      <c r="B78" s="379" t="s">
        <v>1887</v>
      </c>
      <c r="C78" s="775">
        <f t="shared" ref="C78" si="68">J78+K78+L78+P78+Q78+R78+V78+W78+X78+AB78+AC78+AD78</f>
        <v>1</v>
      </c>
      <c r="D78" s="379" t="s">
        <v>1740</v>
      </c>
      <c r="E78" s="379" t="s">
        <v>1799</v>
      </c>
      <c r="F78" s="379" t="s">
        <v>1744</v>
      </c>
      <c r="G78" s="751"/>
      <c r="H78" s="933"/>
      <c r="I78" s="763"/>
      <c r="J78" s="753"/>
      <c r="K78" s="753"/>
      <c r="L78" s="754">
        <v>1</v>
      </c>
      <c r="M78" s="754"/>
      <c r="N78" s="754"/>
      <c r="O78" s="754">
        <v>545</v>
      </c>
      <c r="P78" s="753"/>
      <c r="Q78" s="753"/>
      <c r="R78" s="753"/>
      <c r="S78" s="753"/>
      <c r="T78" s="753"/>
      <c r="U78" s="753"/>
      <c r="V78" s="943"/>
      <c r="W78" s="943"/>
      <c r="X78" s="943"/>
      <c r="Y78" s="943"/>
      <c r="Z78" s="943"/>
      <c r="AA78" s="943"/>
      <c r="AB78" s="943"/>
      <c r="AC78" s="943"/>
      <c r="AD78" s="944"/>
      <c r="AE78" s="944"/>
      <c r="AF78" s="944"/>
      <c r="AG78" s="944"/>
      <c r="AH78" s="757">
        <f t="shared" ref="AH78" si="69">SUM(M78+N78+O78+S78+T78+U78+Y78+Z78+AA78+AE78+AF78+AG78)</f>
        <v>545</v>
      </c>
      <c r="AI78" s="758">
        <f t="shared" ref="AI78" si="70">+AH78</f>
        <v>545</v>
      </c>
      <c r="AJ78" s="777"/>
      <c r="AK78" s="778"/>
      <c r="AL78" s="778"/>
      <c r="AM78" s="778"/>
      <c r="AN78" s="915"/>
      <c r="AO78" s="916" t="s">
        <v>1745</v>
      </c>
      <c r="AP78" s="379" t="s">
        <v>1746</v>
      </c>
      <c r="AQ78" s="934"/>
    </row>
    <row r="79" spans="1:43" ht="30">
      <c r="A79" s="355" t="s">
        <v>1888</v>
      </c>
      <c r="B79" s="355" t="s">
        <v>1889</v>
      </c>
      <c r="C79" s="723"/>
      <c r="D79" s="355"/>
      <c r="E79" s="355"/>
      <c r="F79" s="355"/>
      <c r="G79" s="724"/>
      <c r="H79" s="935"/>
      <c r="I79" s="936"/>
      <c r="J79" s="937"/>
      <c r="K79" s="937"/>
      <c r="L79" s="937"/>
      <c r="M79" s="938"/>
      <c r="N79" s="938"/>
      <c r="O79" s="938">
        <f>O80</f>
        <v>545</v>
      </c>
      <c r="P79" s="937"/>
      <c r="Q79" s="937"/>
      <c r="R79" s="937"/>
      <c r="S79" s="938"/>
      <c r="T79" s="938"/>
      <c r="U79" s="938"/>
      <c r="V79" s="937"/>
      <c r="W79" s="937"/>
      <c r="X79" s="937"/>
      <c r="Y79" s="938"/>
      <c r="Z79" s="938"/>
      <c r="AA79" s="938"/>
      <c r="AB79" s="937"/>
      <c r="AC79" s="937"/>
      <c r="AD79" s="937"/>
      <c r="AE79" s="938"/>
      <c r="AF79" s="938"/>
      <c r="AG79" s="938"/>
      <c r="AH79" s="921">
        <f>AH80</f>
        <v>545</v>
      </c>
      <c r="AI79" s="939">
        <f>AH79</f>
        <v>545</v>
      </c>
      <c r="AJ79" s="938"/>
      <c r="AK79" s="938"/>
      <c r="AL79" s="938"/>
      <c r="AM79" s="938"/>
      <c r="AN79" s="940"/>
      <c r="AO79" s="941"/>
      <c r="AP79" s="355" t="s">
        <v>1735</v>
      </c>
      <c r="AQ79" s="942"/>
    </row>
    <row r="80" spans="1:43" ht="45">
      <c r="A80" s="363" t="s">
        <v>1890</v>
      </c>
      <c r="B80" s="363" t="s">
        <v>1891</v>
      </c>
      <c r="C80" s="732"/>
      <c r="D80" s="363"/>
      <c r="E80" s="363"/>
      <c r="F80" s="363"/>
      <c r="G80" s="733"/>
      <c r="H80" s="924"/>
      <c r="I80" s="765"/>
      <c r="J80" s="925"/>
      <c r="K80" s="925"/>
      <c r="L80" s="925"/>
      <c r="M80" s="926"/>
      <c r="N80" s="926"/>
      <c r="O80" s="926">
        <f>O81</f>
        <v>545</v>
      </c>
      <c r="P80" s="925"/>
      <c r="Q80" s="925"/>
      <c r="R80" s="925"/>
      <c r="S80" s="926"/>
      <c r="T80" s="926"/>
      <c r="U80" s="926"/>
      <c r="V80" s="925"/>
      <c r="W80" s="925"/>
      <c r="X80" s="925"/>
      <c r="Y80" s="926"/>
      <c r="Z80" s="926"/>
      <c r="AA80" s="926"/>
      <c r="AB80" s="925"/>
      <c r="AC80" s="925"/>
      <c r="AD80" s="925"/>
      <c r="AE80" s="926"/>
      <c r="AF80" s="926"/>
      <c r="AG80" s="926"/>
      <c r="AH80" s="813">
        <f>AH81</f>
        <v>545</v>
      </c>
      <c r="AI80" s="836">
        <f>AH80</f>
        <v>545</v>
      </c>
      <c r="AJ80" s="926"/>
      <c r="AK80" s="926"/>
      <c r="AL80" s="926"/>
      <c r="AM80" s="926"/>
      <c r="AN80" s="837"/>
      <c r="AO80" s="838"/>
      <c r="AP80" s="363" t="s">
        <v>1735</v>
      </c>
      <c r="AQ80" s="927"/>
    </row>
    <row r="81" spans="1:43" ht="105">
      <c r="A81" s="371" t="s">
        <v>1892</v>
      </c>
      <c r="B81" s="371" t="s">
        <v>1893</v>
      </c>
      <c r="C81" s="741"/>
      <c r="D81" s="371" t="s">
        <v>1894</v>
      </c>
      <c r="E81" s="371" t="s">
        <v>1895</v>
      </c>
      <c r="F81" s="371" t="s">
        <v>1596</v>
      </c>
      <c r="G81" s="742"/>
      <c r="H81" s="928"/>
      <c r="I81" s="771"/>
      <c r="J81" s="929"/>
      <c r="K81" s="929"/>
      <c r="L81" s="929"/>
      <c r="M81" s="930"/>
      <c r="N81" s="930"/>
      <c r="O81" s="930">
        <f>O82</f>
        <v>545</v>
      </c>
      <c r="P81" s="929"/>
      <c r="Q81" s="929"/>
      <c r="R81" s="929"/>
      <c r="S81" s="930"/>
      <c r="T81" s="930"/>
      <c r="U81" s="930"/>
      <c r="V81" s="929"/>
      <c r="W81" s="929"/>
      <c r="X81" s="929"/>
      <c r="Y81" s="930"/>
      <c r="Z81" s="930"/>
      <c r="AA81" s="930"/>
      <c r="AB81" s="929"/>
      <c r="AC81" s="929"/>
      <c r="AD81" s="929"/>
      <c r="AE81" s="930"/>
      <c r="AF81" s="930"/>
      <c r="AG81" s="930"/>
      <c r="AH81" s="747">
        <f>SUM(J81:AG81)</f>
        <v>545</v>
      </c>
      <c r="AI81" s="931">
        <f>AH81</f>
        <v>545</v>
      </c>
      <c r="AJ81" s="930"/>
      <c r="AK81" s="930"/>
      <c r="AL81" s="930"/>
      <c r="AM81" s="930"/>
      <c r="AN81" s="787"/>
      <c r="AO81" s="788"/>
      <c r="AP81" s="371" t="s">
        <v>1735</v>
      </c>
      <c r="AQ81" s="932"/>
    </row>
    <row r="82" spans="1:43" ht="75">
      <c r="A82" s="379" t="s">
        <v>1896</v>
      </c>
      <c r="B82" s="379" t="s">
        <v>1897</v>
      </c>
      <c r="C82" s="775">
        <f t="shared" ref="C82" si="71">J82+K82+L82+P82+Q82+R82+V82+W82+X82+AB82+AC82+AD82</f>
        <v>1</v>
      </c>
      <c r="D82" s="379" t="s">
        <v>1740</v>
      </c>
      <c r="E82" s="379" t="s">
        <v>1799</v>
      </c>
      <c r="F82" s="379" t="s">
        <v>1744</v>
      </c>
      <c r="G82" s="751"/>
      <c r="H82" s="933"/>
      <c r="I82" s="763"/>
      <c r="J82" s="753"/>
      <c r="K82" s="753"/>
      <c r="L82" s="754">
        <v>1</v>
      </c>
      <c r="M82" s="842"/>
      <c r="N82" s="842"/>
      <c r="O82" s="754">
        <v>545</v>
      </c>
      <c r="P82" s="753"/>
      <c r="Q82" s="753"/>
      <c r="R82" s="753"/>
      <c r="S82" s="753"/>
      <c r="T82" s="753"/>
      <c r="U82" s="753"/>
      <c r="V82" s="782"/>
      <c r="W82" s="782"/>
      <c r="X82" s="782"/>
      <c r="Y82" s="782"/>
      <c r="Z82" s="782"/>
      <c r="AA82" s="782"/>
      <c r="AB82" s="782"/>
      <c r="AC82" s="782"/>
      <c r="AD82" s="757"/>
      <c r="AE82" s="757"/>
      <c r="AF82" s="757"/>
      <c r="AG82" s="757"/>
      <c r="AH82" s="757">
        <f t="shared" ref="AH82" si="72">SUM(M82+N82+O82+S82+T82+U82+Y82+Z82+AA82+AE82+AF82+AG82)</f>
        <v>545</v>
      </c>
      <c r="AI82" s="758">
        <f t="shared" ref="AI82" si="73">+AH82</f>
        <v>545</v>
      </c>
      <c r="AJ82" s="777"/>
      <c r="AK82" s="778"/>
      <c r="AL82" s="778"/>
      <c r="AM82" s="778"/>
      <c r="AN82" s="915"/>
      <c r="AO82" s="916" t="s">
        <v>1745</v>
      </c>
      <c r="AP82" s="379" t="s">
        <v>1746</v>
      </c>
      <c r="AQ82" s="934"/>
    </row>
    <row r="83" spans="1:43" ht="30">
      <c r="A83" s="47" t="s">
        <v>283</v>
      </c>
      <c r="B83" s="47" t="s">
        <v>284</v>
      </c>
      <c r="C83" s="714"/>
      <c r="D83" s="47"/>
      <c r="E83" s="47"/>
      <c r="F83" s="47"/>
      <c r="G83" s="715"/>
      <c r="H83" s="945"/>
      <c r="I83" s="946"/>
      <c r="J83" s="947"/>
      <c r="K83" s="947"/>
      <c r="L83" s="947"/>
      <c r="M83" s="948"/>
      <c r="N83" s="948"/>
      <c r="O83" s="948"/>
      <c r="P83" s="947"/>
      <c r="Q83" s="947"/>
      <c r="R83" s="947"/>
      <c r="S83" s="949">
        <f>S84</f>
        <v>2371142.5099999998</v>
      </c>
      <c r="T83" s="950">
        <f t="shared" ref="T83:U85" si="74">T84</f>
        <v>15886167.439999999</v>
      </c>
      <c r="U83" s="950">
        <f t="shared" si="74"/>
        <v>418309.12</v>
      </c>
      <c r="V83" s="950"/>
      <c r="W83" s="950"/>
      <c r="X83" s="950"/>
      <c r="Y83" s="950">
        <f t="shared" ref="Y83:AA85" si="75">Y84</f>
        <v>232721.97767714999</v>
      </c>
      <c r="Z83" s="950">
        <f t="shared" si="75"/>
        <v>4744.4371237249998</v>
      </c>
      <c r="AA83" s="950">
        <f t="shared" si="75"/>
        <v>4415405</v>
      </c>
      <c r="AB83" s="950"/>
      <c r="AC83" s="950"/>
      <c r="AD83" s="950"/>
      <c r="AE83" s="950">
        <f t="shared" ref="AE83:AG85" si="76">AE84</f>
        <v>326557.827387425</v>
      </c>
      <c r="AF83" s="950">
        <f t="shared" si="76"/>
        <v>281144.58337289997</v>
      </c>
      <c r="AG83" s="950">
        <f t="shared" si="76"/>
        <v>241966.29330997501</v>
      </c>
      <c r="AH83" s="951">
        <f>SUM(S83:AG83)</f>
        <v>24178159.188871175</v>
      </c>
      <c r="AI83" s="952">
        <f>AH83</f>
        <v>24178159.188871175</v>
      </c>
      <c r="AJ83" s="948"/>
      <c r="AK83" s="948"/>
      <c r="AL83" s="948"/>
      <c r="AM83" s="948"/>
      <c r="AN83" s="953"/>
      <c r="AO83" s="954"/>
      <c r="AP83" s="47" t="s">
        <v>1735</v>
      </c>
      <c r="AQ83" s="955"/>
    </row>
    <row r="84" spans="1:43" ht="30">
      <c r="A84" s="355" t="s">
        <v>1898</v>
      </c>
      <c r="B84" s="355" t="s">
        <v>1899</v>
      </c>
      <c r="C84" s="723"/>
      <c r="D84" s="355"/>
      <c r="E84" s="355"/>
      <c r="F84" s="355"/>
      <c r="G84" s="724"/>
      <c r="H84" s="935"/>
      <c r="I84" s="936"/>
      <c r="J84" s="937"/>
      <c r="K84" s="937"/>
      <c r="L84" s="937"/>
      <c r="M84" s="938"/>
      <c r="N84" s="938"/>
      <c r="O84" s="938"/>
      <c r="P84" s="937"/>
      <c r="Q84" s="937"/>
      <c r="R84" s="937"/>
      <c r="S84" s="956">
        <f>S85</f>
        <v>2371142.5099999998</v>
      </c>
      <c r="T84" s="957">
        <f t="shared" si="74"/>
        <v>15886167.439999999</v>
      </c>
      <c r="U84" s="957">
        <f t="shared" si="74"/>
        <v>418309.12</v>
      </c>
      <c r="V84" s="957"/>
      <c r="W84" s="957"/>
      <c r="X84" s="957"/>
      <c r="Y84" s="957">
        <f t="shared" si="75"/>
        <v>232721.97767714999</v>
      </c>
      <c r="Z84" s="957">
        <f t="shared" si="75"/>
        <v>4744.4371237249998</v>
      </c>
      <c r="AA84" s="957">
        <f t="shared" si="75"/>
        <v>4415405</v>
      </c>
      <c r="AB84" s="957"/>
      <c r="AC84" s="957"/>
      <c r="AD84" s="957"/>
      <c r="AE84" s="957">
        <f t="shared" si="76"/>
        <v>326557.827387425</v>
      </c>
      <c r="AF84" s="957">
        <f t="shared" si="76"/>
        <v>281144.58337289997</v>
      </c>
      <c r="AG84" s="957">
        <f t="shared" si="76"/>
        <v>241966.29330997501</v>
      </c>
      <c r="AH84" s="729">
        <f>AH85</f>
        <v>24178159.188871175</v>
      </c>
      <c r="AI84" s="958">
        <f>AH84</f>
        <v>24178159.188871175</v>
      </c>
      <c r="AJ84" s="938"/>
      <c r="AK84" s="938"/>
      <c r="AL84" s="938"/>
      <c r="AM84" s="938"/>
      <c r="AN84" s="940"/>
      <c r="AO84" s="941"/>
      <c r="AP84" s="355" t="s">
        <v>1735</v>
      </c>
      <c r="AQ84" s="942"/>
    </row>
    <row r="85" spans="1:43" ht="30">
      <c r="A85" s="363" t="s">
        <v>1900</v>
      </c>
      <c r="B85" s="363" t="s">
        <v>1901</v>
      </c>
      <c r="C85" s="732"/>
      <c r="D85" s="363"/>
      <c r="E85" s="363"/>
      <c r="F85" s="363"/>
      <c r="G85" s="733"/>
      <c r="H85" s="924"/>
      <c r="I85" s="765"/>
      <c r="J85" s="925"/>
      <c r="K85" s="925"/>
      <c r="L85" s="925"/>
      <c r="M85" s="926"/>
      <c r="N85" s="926"/>
      <c r="O85" s="926"/>
      <c r="P85" s="925"/>
      <c r="Q85" s="925"/>
      <c r="R85" s="925"/>
      <c r="S85" s="959">
        <f>S86</f>
        <v>2371142.5099999998</v>
      </c>
      <c r="T85" s="960">
        <f t="shared" si="74"/>
        <v>15886167.439999999</v>
      </c>
      <c r="U85" s="960">
        <f t="shared" si="74"/>
        <v>418309.12</v>
      </c>
      <c r="V85" s="960"/>
      <c r="W85" s="960"/>
      <c r="X85" s="960"/>
      <c r="Y85" s="960">
        <f t="shared" si="75"/>
        <v>232721.97767714999</v>
      </c>
      <c r="Z85" s="960">
        <f t="shared" si="75"/>
        <v>4744.4371237249998</v>
      </c>
      <c r="AA85" s="960">
        <f t="shared" si="75"/>
        <v>4415405</v>
      </c>
      <c r="AB85" s="960"/>
      <c r="AC85" s="960"/>
      <c r="AD85" s="960"/>
      <c r="AE85" s="960">
        <f t="shared" si="76"/>
        <v>326557.827387425</v>
      </c>
      <c r="AF85" s="960">
        <f t="shared" si="76"/>
        <v>281144.58337289997</v>
      </c>
      <c r="AG85" s="960">
        <f t="shared" si="76"/>
        <v>241966.29330997501</v>
      </c>
      <c r="AH85" s="738">
        <f>AH86</f>
        <v>24178159.188871175</v>
      </c>
      <c r="AI85" s="961">
        <f>AH85</f>
        <v>24178159.188871175</v>
      </c>
      <c r="AJ85" s="926"/>
      <c r="AK85" s="926"/>
      <c r="AL85" s="926"/>
      <c r="AM85" s="926"/>
      <c r="AN85" s="837"/>
      <c r="AO85" s="838"/>
      <c r="AP85" s="363" t="s">
        <v>1735</v>
      </c>
      <c r="AQ85" s="927"/>
    </row>
    <row r="86" spans="1:43" ht="105">
      <c r="A86" s="371" t="s">
        <v>1902</v>
      </c>
      <c r="B86" s="371" t="s">
        <v>1903</v>
      </c>
      <c r="C86" s="741"/>
      <c r="D86" s="371" t="s">
        <v>1904</v>
      </c>
      <c r="E86" s="371" t="s">
        <v>1905</v>
      </c>
      <c r="F86" s="371" t="s">
        <v>361</v>
      </c>
      <c r="G86" s="742"/>
      <c r="H86" s="928"/>
      <c r="I86" s="771"/>
      <c r="J86" s="929"/>
      <c r="K86" s="929"/>
      <c r="L86" s="929"/>
      <c r="M86" s="930"/>
      <c r="N86" s="930"/>
      <c r="O86" s="930"/>
      <c r="P86" s="962"/>
      <c r="Q86" s="962"/>
      <c r="R86" s="962"/>
      <c r="S86" s="962">
        <f>S87+S88+S89+S90+S91+S92</f>
        <v>2371142.5099999998</v>
      </c>
      <c r="T86" s="962">
        <f>T87+T88+T89+T90+T91+T92</f>
        <v>15886167.439999999</v>
      </c>
      <c r="U86" s="962">
        <f>U87+U88+U89+U90+U91+U92</f>
        <v>418309.12</v>
      </c>
      <c r="V86" s="962"/>
      <c r="W86" s="962"/>
      <c r="X86" s="962"/>
      <c r="Y86" s="962">
        <f>Y87+Y88+Y89+Y90+Y91+Y92</f>
        <v>232721.97767714999</v>
      </c>
      <c r="Z86" s="962">
        <f t="shared" ref="Z86:AA86" si="77">Z87+Z88+Z89+Z90+Z91+Z92</f>
        <v>4744.4371237249998</v>
      </c>
      <c r="AA86" s="962">
        <f t="shared" si="77"/>
        <v>4415405</v>
      </c>
      <c r="AB86" s="962"/>
      <c r="AC86" s="962"/>
      <c r="AD86" s="962"/>
      <c r="AE86" s="962">
        <f>AE87+AE88+AE89+AE90+AE91+AE92</f>
        <v>326557.827387425</v>
      </c>
      <c r="AF86" s="962">
        <f t="shared" ref="AF86:AG86" si="78">AF87+AF88+AF89+AF90+AF91+AF92</f>
        <v>281144.58337289997</v>
      </c>
      <c r="AG86" s="962">
        <f t="shared" si="78"/>
        <v>241966.29330997501</v>
      </c>
      <c r="AH86" s="793">
        <f>SUM(J86:AG86)</f>
        <v>24178159.188871175</v>
      </c>
      <c r="AI86" s="794">
        <f>AH86</f>
        <v>24178159.188871175</v>
      </c>
      <c r="AJ86" s="930"/>
      <c r="AK86" s="930"/>
      <c r="AL86" s="930"/>
      <c r="AM86" s="963">
        <f>AM87+AM88+AM89+AM90+AM92+AM91</f>
        <v>0</v>
      </c>
      <c r="AN86" s="787"/>
      <c r="AO86" s="788"/>
      <c r="AP86" s="371" t="s">
        <v>1735</v>
      </c>
      <c r="AQ86" s="964"/>
    </row>
    <row r="87" spans="1:43" ht="105">
      <c r="A87" s="379" t="s">
        <v>1906</v>
      </c>
      <c r="B87" s="379" t="s">
        <v>1907</v>
      </c>
      <c r="C87" s="965">
        <f t="shared" ref="C87:C92" si="79">J87+K87+L87+P87+Q87+R87+V87+W87+X87+AB87+AC87+AD87</f>
        <v>400000</v>
      </c>
      <c r="D87" s="379" t="s">
        <v>1904</v>
      </c>
      <c r="E87" s="379" t="s">
        <v>1905</v>
      </c>
      <c r="F87" s="379" t="s">
        <v>361</v>
      </c>
      <c r="G87" s="751"/>
      <c r="H87" s="933"/>
      <c r="I87" s="763"/>
      <c r="J87" s="966"/>
      <c r="K87" s="966"/>
      <c r="L87" s="966"/>
      <c r="M87" s="966"/>
      <c r="N87" s="967"/>
      <c r="O87" s="967"/>
      <c r="P87" s="968">
        <v>48478</v>
      </c>
      <c r="Q87" s="968">
        <v>323250</v>
      </c>
      <c r="R87" s="968">
        <v>7781</v>
      </c>
      <c r="S87" s="968">
        <v>1334681.03</v>
      </c>
      <c r="T87" s="968">
        <v>8899617.1799999997</v>
      </c>
      <c r="U87" s="968">
        <v>214224.04</v>
      </c>
      <c r="V87" s="969">
        <v>4758</v>
      </c>
      <c r="W87" s="969">
        <v>97</v>
      </c>
      <c r="X87" s="969"/>
      <c r="Y87" s="970">
        <v>130995.75723</v>
      </c>
      <c r="Z87" s="970">
        <v>2670.573445</v>
      </c>
      <c r="AA87" s="968"/>
      <c r="AB87" s="969">
        <v>4941</v>
      </c>
      <c r="AC87" s="969">
        <v>5748</v>
      </c>
      <c r="AD87" s="969">
        <v>4947</v>
      </c>
      <c r="AE87" s="968">
        <v>136034.06</v>
      </c>
      <c r="AF87" s="968">
        <v>158252.12537999998</v>
      </c>
      <c r="AG87" s="970">
        <v>136199.24569499999</v>
      </c>
      <c r="AH87" s="971">
        <f>(S87+T87+U87+Y87+Z87+AA87+AE87+AF87+AG87)</f>
        <v>11012674.01175</v>
      </c>
      <c r="AI87" s="800">
        <f t="shared" ref="AI87:AI92" si="80">AH87</f>
        <v>11012674.01175</v>
      </c>
      <c r="AJ87" s="972"/>
      <c r="AK87" s="972"/>
      <c r="AL87" s="972"/>
      <c r="AM87" s="972"/>
      <c r="AN87" s="785"/>
      <c r="AO87" s="973" t="s">
        <v>1764</v>
      </c>
      <c r="AP87" s="379" t="s">
        <v>1908</v>
      </c>
      <c r="AQ87" s="934" t="s">
        <v>1909</v>
      </c>
    </row>
    <row r="88" spans="1:43" ht="75">
      <c r="A88" s="379" t="s">
        <v>1910</v>
      </c>
      <c r="B88" s="379" t="s">
        <v>1911</v>
      </c>
      <c r="C88" s="965">
        <f t="shared" si="79"/>
        <v>1292</v>
      </c>
      <c r="D88" s="379" t="s">
        <v>1904</v>
      </c>
      <c r="E88" s="379" t="s">
        <v>1912</v>
      </c>
      <c r="F88" s="379" t="s">
        <v>361</v>
      </c>
      <c r="G88" s="751"/>
      <c r="H88" s="933"/>
      <c r="I88" s="763"/>
      <c r="J88" s="966"/>
      <c r="K88" s="966"/>
      <c r="L88" s="966"/>
      <c r="M88" s="966"/>
      <c r="N88" s="967"/>
      <c r="O88" s="967"/>
      <c r="P88" s="967"/>
      <c r="Q88" s="974"/>
      <c r="R88" s="974"/>
      <c r="S88" s="974"/>
      <c r="T88" s="974"/>
      <c r="U88" s="974"/>
      <c r="V88" s="969"/>
      <c r="W88" s="969"/>
      <c r="X88" s="969"/>
      <c r="Y88" s="970"/>
      <c r="Z88" s="970"/>
      <c r="AA88" s="968">
        <v>3750070</v>
      </c>
      <c r="AB88" s="968">
        <v>1292</v>
      </c>
      <c r="AC88" s="968"/>
      <c r="AD88" s="968"/>
      <c r="AE88" s="968">
        <v>40052</v>
      </c>
      <c r="AF88" s="968"/>
      <c r="AG88" s="968"/>
      <c r="AH88" s="971">
        <f>(S88+T88+U88+Y88+Z88+AA88+AE88+AF88+AG88)</f>
        <v>3790122</v>
      </c>
      <c r="AI88" s="800">
        <f t="shared" si="80"/>
        <v>3790122</v>
      </c>
      <c r="AJ88" s="968"/>
      <c r="AK88" s="972"/>
      <c r="AL88" s="972"/>
      <c r="AM88" s="972"/>
      <c r="AN88" s="785"/>
      <c r="AO88" s="973" t="s">
        <v>1764</v>
      </c>
      <c r="AP88" s="379" t="s">
        <v>1908</v>
      </c>
      <c r="AQ88" s="934" t="s">
        <v>1913</v>
      </c>
    </row>
    <row r="89" spans="1:43" ht="105">
      <c r="A89" s="379" t="s">
        <v>1914</v>
      </c>
      <c r="B89" s="379" t="s">
        <v>1915</v>
      </c>
      <c r="C89" s="965">
        <f t="shared" si="79"/>
        <v>400000</v>
      </c>
      <c r="D89" s="379" t="s">
        <v>1904</v>
      </c>
      <c r="E89" s="379" t="s">
        <v>1916</v>
      </c>
      <c r="F89" s="379" t="s">
        <v>361</v>
      </c>
      <c r="G89" s="751"/>
      <c r="H89" s="933"/>
      <c r="I89" s="763"/>
      <c r="J89" s="966"/>
      <c r="K89" s="966"/>
      <c r="L89" s="966"/>
      <c r="M89" s="966"/>
      <c r="N89" s="967"/>
      <c r="O89" s="967"/>
      <c r="P89" s="967">
        <v>48478</v>
      </c>
      <c r="Q89" s="974">
        <v>323250</v>
      </c>
      <c r="R89" s="974">
        <v>7781</v>
      </c>
      <c r="S89" s="974">
        <v>1036461.48</v>
      </c>
      <c r="T89" s="974">
        <v>6911097.2599999998</v>
      </c>
      <c r="U89" s="974">
        <v>166358.07999999999</v>
      </c>
      <c r="V89" s="969">
        <v>4758</v>
      </c>
      <c r="W89" s="969">
        <v>97</v>
      </c>
      <c r="X89" s="969"/>
      <c r="Y89" s="970">
        <v>101726.22044715</v>
      </c>
      <c r="Z89" s="970">
        <v>2073.8636787249998</v>
      </c>
      <c r="AA89" s="974"/>
      <c r="AB89" s="968">
        <v>4941</v>
      </c>
      <c r="AC89" s="968">
        <v>5748</v>
      </c>
      <c r="AD89" s="968">
        <v>4947</v>
      </c>
      <c r="AE89" s="968">
        <v>105638.767387425</v>
      </c>
      <c r="AF89" s="968">
        <v>122892.4579929</v>
      </c>
      <c r="AG89" s="968">
        <v>105767.047614975</v>
      </c>
      <c r="AH89" s="800">
        <f t="shared" ref="AH89:AH92" si="81">SUM(M89+N89+O89+S89+T89+U89+Y89+Z89+AA89+AE89+AF89+AG89)</f>
        <v>8552015.1771211755</v>
      </c>
      <c r="AI89" s="800">
        <f t="shared" si="80"/>
        <v>8552015.1771211755</v>
      </c>
      <c r="AJ89" s="972"/>
      <c r="AK89" s="972"/>
      <c r="AL89" s="972"/>
      <c r="AM89" s="972"/>
      <c r="AN89" s="785"/>
      <c r="AO89" s="973" t="s">
        <v>1764</v>
      </c>
      <c r="AP89" s="379" t="s">
        <v>1908</v>
      </c>
      <c r="AQ89" s="934" t="s">
        <v>1909</v>
      </c>
    </row>
    <row r="90" spans="1:43" ht="30">
      <c r="A90" s="379" t="s">
        <v>1917</v>
      </c>
      <c r="B90" s="880" t="s">
        <v>1918</v>
      </c>
      <c r="C90" s="965">
        <f t="shared" si="79"/>
        <v>1</v>
      </c>
      <c r="D90" s="880" t="s">
        <v>1919</v>
      </c>
      <c r="E90" s="880" t="s">
        <v>1920</v>
      </c>
      <c r="F90" s="880" t="s">
        <v>1919</v>
      </c>
      <c r="G90" s="751"/>
      <c r="H90" s="933"/>
      <c r="I90" s="763"/>
      <c r="J90" s="966"/>
      <c r="K90" s="966"/>
      <c r="L90" s="966"/>
      <c r="M90" s="966"/>
      <c r="N90" s="967"/>
      <c r="O90" s="967"/>
      <c r="P90" s="967"/>
      <c r="Q90" s="974">
        <v>1</v>
      </c>
      <c r="R90" s="974"/>
      <c r="S90" s="974"/>
      <c r="T90" s="974">
        <v>75453</v>
      </c>
      <c r="U90" s="974"/>
      <c r="V90" s="974"/>
      <c r="W90" s="974"/>
      <c r="X90" s="974"/>
      <c r="Y90" s="974"/>
      <c r="Z90" s="974"/>
      <c r="AA90" s="974"/>
      <c r="AB90" s="974"/>
      <c r="AC90" s="974"/>
      <c r="AD90" s="974"/>
      <c r="AE90" s="974"/>
      <c r="AF90" s="799"/>
      <c r="AG90" s="975"/>
      <c r="AH90" s="799">
        <f t="shared" si="81"/>
        <v>75453</v>
      </c>
      <c r="AI90" s="800">
        <f t="shared" si="80"/>
        <v>75453</v>
      </c>
      <c r="AJ90" s="972"/>
      <c r="AK90" s="972"/>
      <c r="AL90" s="972"/>
      <c r="AM90" s="972"/>
      <c r="AN90" s="785"/>
      <c r="AO90" s="973" t="s">
        <v>1764</v>
      </c>
      <c r="AP90" s="379" t="s">
        <v>1908</v>
      </c>
      <c r="AQ90" s="934"/>
    </row>
    <row r="91" spans="1:43" ht="30">
      <c r="A91" s="379" t="s">
        <v>1921</v>
      </c>
      <c r="B91" s="379" t="s">
        <v>1922</v>
      </c>
      <c r="C91" s="965">
        <f t="shared" si="79"/>
        <v>2</v>
      </c>
      <c r="D91" s="379" t="s">
        <v>52</v>
      </c>
      <c r="E91" s="379" t="s">
        <v>209</v>
      </c>
      <c r="F91" s="379" t="s">
        <v>361</v>
      </c>
      <c r="G91" s="751"/>
      <c r="H91" s="933"/>
      <c r="I91" s="763"/>
      <c r="J91" s="966"/>
      <c r="K91" s="966"/>
      <c r="L91" s="966"/>
      <c r="M91" s="966"/>
      <c r="N91" s="967"/>
      <c r="O91" s="967"/>
      <c r="P91" s="967"/>
      <c r="Q91" s="974"/>
      <c r="R91" s="974">
        <v>1</v>
      </c>
      <c r="S91" s="974"/>
      <c r="T91" s="974"/>
      <c r="U91" s="974">
        <v>37727</v>
      </c>
      <c r="V91" s="974"/>
      <c r="W91" s="974"/>
      <c r="X91" s="974"/>
      <c r="Y91" s="974"/>
      <c r="Z91" s="974"/>
      <c r="AA91" s="974"/>
      <c r="AB91" s="974">
        <v>1</v>
      </c>
      <c r="AC91" s="974"/>
      <c r="AD91" s="974"/>
      <c r="AE91" s="974">
        <v>37727</v>
      </c>
      <c r="AF91" s="799"/>
      <c r="AG91" s="976"/>
      <c r="AH91" s="799">
        <f t="shared" si="81"/>
        <v>75454</v>
      </c>
      <c r="AI91" s="800">
        <f t="shared" si="80"/>
        <v>75454</v>
      </c>
      <c r="AJ91" s="972"/>
      <c r="AK91" s="972"/>
      <c r="AL91" s="972"/>
      <c r="AM91" s="972"/>
      <c r="AN91" s="785"/>
      <c r="AO91" s="973" t="s">
        <v>1764</v>
      </c>
      <c r="AP91" s="379" t="s">
        <v>1908</v>
      </c>
      <c r="AQ91" s="934"/>
    </row>
    <row r="92" spans="1:43" ht="30">
      <c r="A92" s="379" t="s">
        <v>1923</v>
      </c>
      <c r="B92" s="977" t="s">
        <v>1924</v>
      </c>
      <c r="C92" s="965">
        <f t="shared" si="79"/>
        <v>122262</v>
      </c>
      <c r="D92" s="977" t="s">
        <v>1904</v>
      </c>
      <c r="E92" s="977" t="s">
        <v>1925</v>
      </c>
      <c r="F92" s="977" t="s">
        <v>52</v>
      </c>
      <c r="G92" s="751"/>
      <c r="H92" s="933"/>
      <c r="I92" s="763"/>
      <c r="J92" s="966"/>
      <c r="K92" s="966"/>
      <c r="L92" s="966"/>
      <c r="M92" s="966"/>
      <c r="N92" s="967"/>
      <c r="O92" s="967"/>
      <c r="P92" s="967"/>
      <c r="Q92" s="974"/>
      <c r="R92" s="974"/>
      <c r="S92" s="974"/>
      <c r="T92" s="974"/>
      <c r="U92" s="974"/>
      <c r="V92" s="974"/>
      <c r="W92" s="974"/>
      <c r="X92" s="969">
        <v>120970</v>
      </c>
      <c r="Y92" s="970"/>
      <c r="Z92" s="970"/>
      <c r="AA92" s="970">
        <f>(X92*5.5)</f>
        <v>665335</v>
      </c>
      <c r="AB92" s="969">
        <v>1292</v>
      </c>
      <c r="AC92" s="969"/>
      <c r="AD92" s="969"/>
      <c r="AE92" s="970">
        <f>(AB92*5.5)</f>
        <v>7106</v>
      </c>
      <c r="AF92" s="799"/>
      <c r="AG92" s="976"/>
      <c r="AH92" s="799">
        <f t="shared" si="81"/>
        <v>672441</v>
      </c>
      <c r="AI92" s="800">
        <f t="shared" si="80"/>
        <v>672441</v>
      </c>
      <c r="AJ92" s="972"/>
      <c r="AK92" s="972"/>
      <c r="AL92" s="972"/>
      <c r="AM92" s="972"/>
      <c r="AN92" s="785"/>
      <c r="AO92" s="973" t="s">
        <v>1764</v>
      </c>
      <c r="AP92" s="379" t="s">
        <v>1908</v>
      </c>
      <c r="AQ92" s="934"/>
    </row>
    <row r="93" spans="1:43" ht="30">
      <c r="A93" s="47" t="s">
        <v>296</v>
      </c>
      <c r="B93" s="47" t="s">
        <v>297</v>
      </c>
      <c r="C93" s="714"/>
      <c r="D93" s="47"/>
      <c r="E93" s="47"/>
      <c r="F93" s="47"/>
      <c r="G93" s="715"/>
      <c r="H93" s="945"/>
      <c r="I93" s="946"/>
      <c r="J93" s="947"/>
      <c r="K93" s="947"/>
      <c r="L93" s="947"/>
      <c r="M93" s="948"/>
      <c r="N93" s="948"/>
      <c r="O93" s="948"/>
      <c r="P93" s="947"/>
      <c r="Q93" s="947"/>
      <c r="R93" s="947"/>
      <c r="S93" s="948"/>
      <c r="T93" s="948"/>
      <c r="U93" s="948"/>
      <c r="V93" s="947"/>
      <c r="W93" s="947"/>
      <c r="X93" s="947"/>
      <c r="Y93" s="948"/>
      <c r="Z93" s="948"/>
      <c r="AA93" s="948"/>
      <c r="AB93" s="947"/>
      <c r="AC93" s="947"/>
      <c r="AD93" s="947"/>
      <c r="AE93" s="948"/>
      <c r="AF93" s="948"/>
      <c r="AG93" s="948"/>
      <c r="AH93" s="978"/>
      <c r="AI93" s="979"/>
      <c r="AJ93" s="948"/>
      <c r="AK93" s="948"/>
      <c r="AL93" s="948"/>
      <c r="AM93" s="948"/>
      <c r="AN93" s="953"/>
      <c r="AO93" s="954"/>
      <c r="AP93" s="47" t="s">
        <v>1735</v>
      </c>
      <c r="AQ93" s="955"/>
    </row>
    <row r="94" spans="1:43" ht="30">
      <c r="A94" s="355" t="s">
        <v>1926</v>
      </c>
      <c r="B94" s="355" t="s">
        <v>1927</v>
      </c>
      <c r="C94" s="723"/>
      <c r="D94" s="355"/>
      <c r="E94" s="355"/>
      <c r="F94" s="355"/>
      <c r="G94" s="724"/>
      <c r="H94" s="935"/>
      <c r="I94" s="936"/>
      <c r="J94" s="937"/>
      <c r="K94" s="937"/>
      <c r="L94" s="937"/>
      <c r="M94" s="938"/>
      <c r="N94" s="938"/>
      <c r="O94" s="938"/>
      <c r="P94" s="937"/>
      <c r="Q94" s="937"/>
      <c r="R94" s="937"/>
      <c r="S94" s="938"/>
      <c r="T94" s="938"/>
      <c r="U94" s="938"/>
      <c r="V94" s="937"/>
      <c r="W94" s="937"/>
      <c r="X94" s="937"/>
      <c r="Y94" s="938"/>
      <c r="Z94" s="938"/>
      <c r="AA94" s="938"/>
      <c r="AB94" s="937"/>
      <c r="AC94" s="937"/>
      <c r="AD94" s="937"/>
      <c r="AE94" s="938"/>
      <c r="AF94" s="938"/>
      <c r="AG94" s="938"/>
      <c r="AH94" s="921"/>
      <c r="AI94" s="939"/>
      <c r="AJ94" s="938"/>
      <c r="AK94" s="938"/>
      <c r="AL94" s="938"/>
      <c r="AM94" s="938"/>
      <c r="AN94" s="940"/>
      <c r="AO94" s="941"/>
      <c r="AP94" s="355" t="s">
        <v>1735</v>
      </c>
      <c r="AQ94" s="942"/>
    </row>
    <row r="95" spans="1:43" ht="30">
      <c r="A95" s="363" t="s">
        <v>1928</v>
      </c>
      <c r="B95" s="363" t="s">
        <v>1929</v>
      </c>
      <c r="C95" s="732"/>
      <c r="D95" s="363"/>
      <c r="E95" s="363"/>
      <c r="F95" s="363"/>
      <c r="G95" s="733"/>
      <c r="H95" s="924"/>
      <c r="I95" s="765"/>
      <c r="J95" s="925"/>
      <c r="K95" s="925"/>
      <c r="L95" s="925"/>
      <c r="M95" s="926"/>
      <c r="N95" s="926"/>
      <c r="O95" s="926"/>
      <c r="P95" s="925"/>
      <c r="Q95" s="925"/>
      <c r="R95" s="925"/>
      <c r="S95" s="926"/>
      <c r="T95" s="926"/>
      <c r="U95" s="926"/>
      <c r="V95" s="925"/>
      <c r="W95" s="925"/>
      <c r="X95" s="925"/>
      <c r="Y95" s="926"/>
      <c r="Z95" s="926"/>
      <c r="AA95" s="926"/>
      <c r="AB95" s="925"/>
      <c r="AC95" s="925"/>
      <c r="AD95" s="925"/>
      <c r="AE95" s="926"/>
      <c r="AF95" s="926"/>
      <c r="AG95" s="926"/>
      <c r="AH95" s="813"/>
      <c r="AI95" s="836"/>
      <c r="AJ95" s="926"/>
      <c r="AK95" s="926"/>
      <c r="AL95" s="926"/>
      <c r="AM95" s="926"/>
      <c r="AN95" s="837"/>
      <c r="AO95" s="838"/>
      <c r="AP95" s="363" t="s">
        <v>1735</v>
      </c>
      <c r="AQ95" s="927"/>
    </row>
    <row r="96" spans="1:43" ht="45">
      <c r="A96" s="371" t="s">
        <v>1930</v>
      </c>
      <c r="B96" s="371" t="s">
        <v>1931</v>
      </c>
      <c r="C96" s="741"/>
      <c r="D96" s="371" t="s">
        <v>1932</v>
      </c>
      <c r="E96" s="371" t="s">
        <v>1933</v>
      </c>
      <c r="F96" s="980" t="s">
        <v>1934</v>
      </c>
      <c r="G96" s="742"/>
      <c r="H96" s="928"/>
      <c r="I96" s="771"/>
      <c r="J96" s="929"/>
      <c r="K96" s="929"/>
      <c r="L96" s="929"/>
      <c r="M96" s="930"/>
      <c r="N96" s="930"/>
      <c r="O96" s="930"/>
      <c r="P96" s="929"/>
      <c r="Q96" s="929"/>
      <c r="R96" s="929"/>
      <c r="S96" s="930"/>
      <c r="T96" s="930"/>
      <c r="U96" s="930"/>
      <c r="V96" s="929"/>
      <c r="W96" s="929"/>
      <c r="X96" s="929"/>
      <c r="Y96" s="930"/>
      <c r="Z96" s="930"/>
      <c r="AA96" s="930"/>
      <c r="AB96" s="929"/>
      <c r="AC96" s="929"/>
      <c r="AD96" s="929"/>
      <c r="AE96" s="930"/>
      <c r="AF96" s="930"/>
      <c r="AG96" s="930"/>
      <c r="AH96" s="747"/>
      <c r="AI96" s="931"/>
      <c r="AJ96" s="930"/>
      <c r="AK96" s="930"/>
      <c r="AL96" s="930"/>
      <c r="AM96" s="930"/>
      <c r="AN96" s="787"/>
      <c r="AO96" s="788"/>
      <c r="AP96" s="371" t="s">
        <v>1735</v>
      </c>
      <c r="AQ96" s="932"/>
    </row>
    <row r="97" spans="1:43" ht="45">
      <c r="A97" s="379" t="s">
        <v>1935</v>
      </c>
      <c r="B97" s="379" t="s">
        <v>1936</v>
      </c>
      <c r="C97" s="750"/>
      <c r="D97" s="379" t="s">
        <v>1932</v>
      </c>
      <c r="E97" s="379" t="s">
        <v>1933</v>
      </c>
      <c r="F97" s="981" t="s">
        <v>1934</v>
      </c>
      <c r="G97" s="751"/>
      <c r="H97" s="933"/>
      <c r="I97" s="763"/>
      <c r="J97" s="969"/>
      <c r="K97" s="969"/>
      <c r="L97" s="969"/>
      <c r="M97" s="970"/>
      <c r="N97" s="970"/>
      <c r="O97" s="970"/>
      <c r="P97" s="969"/>
      <c r="Q97" s="969"/>
      <c r="R97" s="969"/>
      <c r="S97" s="970"/>
      <c r="T97" s="970"/>
      <c r="U97" s="970"/>
      <c r="V97" s="969"/>
      <c r="W97" s="969"/>
      <c r="X97" s="969"/>
      <c r="Y97" s="970"/>
      <c r="Z97" s="970"/>
      <c r="AA97" s="970"/>
      <c r="AB97" s="969"/>
      <c r="AC97" s="969"/>
      <c r="AD97" s="969"/>
      <c r="AE97" s="970"/>
      <c r="AF97" s="970"/>
      <c r="AG97" s="970"/>
      <c r="AH97" s="878"/>
      <c r="AI97" s="982"/>
      <c r="AJ97" s="970"/>
      <c r="AK97" s="970"/>
      <c r="AL97" s="970"/>
      <c r="AM97" s="970"/>
      <c r="AN97" s="983"/>
      <c r="AO97" s="973"/>
      <c r="AP97" s="379" t="s">
        <v>1746</v>
      </c>
      <c r="AQ97" s="934"/>
    </row>
    <row r="98" spans="1:43" ht="30">
      <c r="A98" s="47" t="s">
        <v>1937</v>
      </c>
      <c r="B98" s="47" t="s">
        <v>1938</v>
      </c>
      <c r="C98" s="714"/>
      <c r="D98" s="47"/>
      <c r="E98" s="47"/>
      <c r="F98" s="47"/>
      <c r="G98" s="715"/>
      <c r="H98" s="945"/>
      <c r="I98" s="946"/>
      <c r="J98" s="947"/>
      <c r="K98" s="947"/>
      <c r="L98" s="947"/>
      <c r="M98" s="948"/>
      <c r="N98" s="948">
        <f>N99</f>
        <v>400</v>
      </c>
      <c r="O98" s="948"/>
      <c r="P98" s="947"/>
      <c r="Q98" s="947"/>
      <c r="R98" s="947"/>
      <c r="S98" s="948"/>
      <c r="T98" s="948">
        <f>T99</f>
        <v>400</v>
      </c>
      <c r="U98" s="948"/>
      <c r="V98" s="947"/>
      <c r="W98" s="947"/>
      <c r="X98" s="947"/>
      <c r="Y98" s="948"/>
      <c r="Z98" s="948"/>
      <c r="AA98" s="948">
        <f>AA99</f>
        <v>400</v>
      </c>
      <c r="AB98" s="947"/>
      <c r="AC98" s="947"/>
      <c r="AD98" s="947"/>
      <c r="AE98" s="948"/>
      <c r="AF98" s="948">
        <f>AF99</f>
        <v>400</v>
      </c>
      <c r="AG98" s="948"/>
      <c r="AH98" s="948">
        <f t="shared" ref="AH98:AI100" si="82">AH99</f>
        <v>1600</v>
      </c>
      <c r="AI98" s="948">
        <f t="shared" si="82"/>
        <v>1600</v>
      </c>
      <c r="AJ98" s="948"/>
      <c r="AK98" s="948"/>
      <c r="AL98" s="948"/>
      <c r="AM98" s="948"/>
      <c r="AN98" s="953"/>
      <c r="AO98" s="954"/>
      <c r="AP98" s="47" t="s">
        <v>1735</v>
      </c>
      <c r="AQ98" s="955"/>
    </row>
    <row r="99" spans="1:43" ht="30">
      <c r="A99" s="355" t="s">
        <v>1939</v>
      </c>
      <c r="B99" s="355" t="s">
        <v>1940</v>
      </c>
      <c r="C99" s="723"/>
      <c r="D99" s="355"/>
      <c r="E99" s="355"/>
      <c r="F99" s="355"/>
      <c r="G99" s="724"/>
      <c r="H99" s="935"/>
      <c r="I99" s="936"/>
      <c r="J99" s="937"/>
      <c r="K99" s="937"/>
      <c r="L99" s="937"/>
      <c r="M99" s="938"/>
      <c r="N99" s="938">
        <f>N100</f>
        <v>400</v>
      </c>
      <c r="O99" s="938"/>
      <c r="P99" s="937"/>
      <c r="Q99" s="937"/>
      <c r="R99" s="937"/>
      <c r="S99" s="938"/>
      <c r="T99" s="938">
        <f>T100</f>
        <v>400</v>
      </c>
      <c r="U99" s="938"/>
      <c r="V99" s="937"/>
      <c r="W99" s="937"/>
      <c r="X99" s="937"/>
      <c r="Y99" s="938"/>
      <c r="Z99" s="938"/>
      <c r="AA99" s="938">
        <f>AA100</f>
        <v>400</v>
      </c>
      <c r="AB99" s="937"/>
      <c r="AC99" s="937"/>
      <c r="AD99" s="937"/>
      <c r="AE99" s="938"/>
      <c r="AF99" s="938">
        <f>AF100</f>
        <v>400</v>
      </c>
      <c r="AG99" s="938"/>
      <c r="AH99" s="938">
        <f t="shared" si="82"/>
        <v>1600</v>
      </c>
      <c r="AI99" s="938">
        <f t="shared" si="82"/>
        <v>1600</v>
      </c>
      <c r="AJ99" s="938"/>
      <c r="AK99" s="938"/>
      <c r="AL99" s="938"/>
      <c r="AM99" s="938"/>
      <c r="AN99" s="940"/>
      <c r="AO99" s="941"/>
      <c r="AP99" s="355" t="s">
        <v>1735</v>
      </c>
      <c r="AQ99" s="942"/>
    </row>
    <row r="100" spans="1:43" ht="30">
      <c r="A100" s="363" t="s">
        <v>1941</v>
      </c>
      <c r="B100" s="363" t="s">
        <v>1942</v>
      </c>
      <c r="C100" s="732"/>
      <c r="D100" s="363"/>
      <c r="E100" s="363"/>
      <c r="F100" s="363"/>
      <c r="G100" s="733"/>
      <c r="H100" s="924"/>
      <c r="I100" s="765"/>
      <c r="J100" s="925"/>
      <c r="K100" s="925"/>
      <c r="L100" s="925"/>
      <c r="M100" s="926"/>
      <c r="N100" s="926">
        <f>N101</f>
        <v>400</v>
      </c>
      <c r="O100" s="926"/>
      <c r="P100" s="925"/>
      <c r="Q100" s="925"/>
      <c r="R100" s="925"/>
      <c r="S100" s="926"/>
      <c r="T100" s="926">
        <f>T101</f>
        <v>400</v>
      </c>
      <c r="U100" s="926"/>
      <c r="V100" s="925"/>
      <c r="W100" s="925"/>
      <c r="X100" s="925"/>
      <c r="Y100" s="926"/>
      <c r="Z100" s="926"/>
      <c r="AA100" s="926">
        <f>AA101</f>
        <v>400</v>
      </c>
      <c r="AB100" s="925"/>
      <c r="AC100" s="925"/>
      <c r="AD100" s="925"/>
      <c r="AE100" s="926"/>
      <c r="AF100" s="926">
        <f>AF101</f>
        <v>400</v>
      </c>
      <c r="AG100" s="926"/>
      <c r="AH100" s="926">
        <f t="shared" si="82"/>
        <v>1600</v>
      </c>
      <c r="AI100" s="926">
        <f t="shared" si="82"/>
        <v>1600</v>
      </c>
      <c r="AJ100" s="926"/>
      <c r="AK100" s="926"/>
      <c r="AL100" s="926"/>
      <c r="AM100" s="926"/>
      <c r="AN100" s="837"/>
      <c r="AO100" s="838"/>
      <c r="AP100" s="363" t="s">
        <v>1735</v>
      </c>
      <c r="AQ100" s="927"/>
    </row>
    <row r="101" spans="1:43" ht="45">
      <c r="A101" s="371" t="s">
        <v>1943</v>
      </c>
      <c r="B101" s="371" t="s">
        <v>1944</v>
      </c>
      <c r="C101" s="741"/>
      <c r="D101" s="371" t="s">
        <v>1945</v>
      </c>
      <c r="E101" s="371" t="s">
        <v>1946</v>
      </c>
      <c r="F101" s="371" t="s">
        <v>1947</v>
      </c>
      <c r="G101" s="742"/>
      <c r="H101" s="928"/>
      <c r="I101" s="771"/>
      <c r="J101" s="929"/>
      <c r="K101" s="929"/>
      <c r="L101" s="929"/>
      <c r="M101" s="930"/>
      <c r="N101" s="930">
        <f>N102+N103</f>
        <v>400</v>
      </c>
      <c r="O101" s="930"/>
      <c r="P101" s="929"/>
      <c r="Q101" s="929"/>
      <c r="R101" s="929"/>
      <c r="S101" s="930"/>
      <c r="T101" s="930">
        <f>T102+T103</f>
        <v>400</v>
      </c>
      <c r="U101" s="930"/>
      <c r="V101" s="929"/>
      <c r="W101" s="929"/>
      <c r="X101" s="929"/>
      <c r="Y101" s="930"/>
      <c r="Z101" s="930"/>
      <c r="AA101" s="930">
        <f>AA102+AA103</f>
        <v>400</v>
      </c>
      <c r="AB101" s="929"/>
      <c r="AC101" s="929"/>
      <c r="AD101" s="929"/>
      <c r="AE101" s="930"/>
      <c r="AF101" s="930">
        <f>AF102+AF103</f>
        <v>400</v>
      </c>
      <c r="AG101" s="930"/>
      <c r="AH101" s="747">
        <f>SUM(M101:AG101)</f>
        <v>1600</v>
      </c>
      <c r="AI101" s="931">
        <f t="shared" ref="AI101:AI108" si="83">AH101</f>
        <v>1600</v>
      </c>
      <c r="AJ101" s="930"/>
      <c r="AK101" s="930"/>
      <c r="AL101" s="930"/>
      <c r="AM101" s="930"/>
      <c r="AN101" s="787"/>
      <c r="AO101" s="788"/>
      <c r="AP101" s="371" t="s">
        <v>1735</v>
      </c>
      <c r="AQ101" s="932"/>
    </row>
    <row r="102" spans="1:43" ht="60">
      <c r="A102" s="379" t="s">
        <v>1948</v>
      </c>
      <c r="B102" s="379" t="s">
        <v>1949</v>
      </c>
      <c r="C102" s="750">
        <v>4</v>
      </c>
      <c r="D102" s="379" t="s">
        <v>1950</v>
      </c>
      <c r="E102" s="379" t="s">
        <v>1951</v>
      </c>
      <c r="F102" s="379" t="s">
        <v>1952</v>
      </c>
      <c r="G102" s="751"/>
      <c r="H102" s="933"/>
      <c r="I102" s="763"/>
      <c r="J102" s="984"/>
      <c r="K102" s="985">
        <v>1</v>
      </c>
      <c r="L102" s="985"/>
      <c r="M102" s="985"/>
      <c r="N102" s="985">
        <v>150</v>
      </c>
      <c r="O102" s="985"/>
      <c r="P102" s="985"/>
      <c r="Q102" s="985">
        <v>1</v>
      </c>
      <c r="R102" s="985"/>
      <c r="S102" s="985"/>
      <c r="T102" s="985">
        <v>150</v>
      </c>
      <c r="U102" s="985"/>
      <c r="V102" s="985"/>
      <c r="W102" s="985"/>
      <c r="X102" s="985">
        <v>1</v>
      </c>
      <c r="Y102" s="985"/>
      <c r="Z102" s="985"/>
      <c r="AA102" s="985">
        <v>150</v>
      </c>
      <c r="AB102" s="985"/>
      <c r="AC102" s="985">
        <v>1</v>
      </c>
      <c r="AD102" s="985"/>
      <c r="AE102" s="984"/>
      <c r="AF102" s="985">
        <v>150</v>
      </c>
      <c r="AG102" s="984"/>
      <c r="AH102" s="757">
        <f t="shared" ref="AH102:AH103" si="84">SUM(M102+N102+O102+S102+T102+U102+Y102+Z102+AA102+AE102+AF102+AG102)</f>
        <v>600</v>
      </c>
      <c r="AI102" s="757">
        <f t="shared" si="83"/>
        <v>600</v>
      </c>
      <c r="AJ102" s="777"/>
      <c r="AK102" s="778"/>
      <c r="AL102" s="778"/>
      <c r="AM102" s="778"/>
      <c r="AN102" s="986"/>
      <c r="AO102" s="987" t="s">
        <v>1745</v>
      </c>
      <c r="AP102" s="379" t="s">
        <v>1953</v>
      </c>
      <c r="AQ102" s="934"/>
    </row>
    <row r="103" spans="1:43" ht="75">
      <c r="A103" s="379" t="s">
        <v>1954</v>
      </c>
      <c r="B103" s="379" t="s">
        <v>1955</v>
      </c>
      <c r="C103" s="750">
        <v>8</v>
      </c>
      <c r="D103" s="379" t="s">
        <v>1956</v>
      </c>
      <c r="E103" s="379" t="s">
        <v>1957</v>
      </c>
      <c r="F103" s="379" t="s">
        <v>1958</v>
      </c>
      <c r="G103" s="751"/>
      <c r="H103" s="933"/>
      <c r="I103" s="763"/>
      <c r="J103" s="988"/>
      <c r="K103" s="988">
        <v>2</v>
      </c>
      <c r="L103" s="988"/>
      <c r="M103" s="989"/>
      <c r="N103" s="990">
        <v>250</v>
      </c>
      <c r="O103" s="990"/>
      <c r="P103" s="990"/>
      <c r="Q103" s="990">
        <v>2</v>
      </c>
      <c r="R103" s="990"/>
      <c r="S103" s="990"/>
      <c r="T103" s="990">
        <v>250</v>
      </c>
      <c r="U103" s="990"/>
      <c r="V103" s="990"/>
      <c r="W103" s="990"/>
      <c r="X103" s="990">
        <v>2</v>
      </c>
      <c r="Y103" s="989"/>
      <c r="Z103" s="990"/>
      <c r="AA103" s="990">
        <v>250</v>
      </c>
      <c r="AB103" s="990"/>
      <c r="AC103" s="990">
        <v>2</v>
      </c>
      <c r="AD103" s="990"/>
      <c r="AE103" s="990"/>
      <c r="AF103" s="990">
        <v>250</v>
      </c>
      <c r="AG103" s="990"/>
      <c r="AH103" s="757">
        <f t="shared" si="84"/>
        <v>1000</v>
      </c>
      <c r="AI103" s="810">
        <f t="shared" si="83"/>
        <v>1000</v>
      </c>
      <c r="AJ103" s="811"/>
      <c r="AK103" s="812"/>
      <c r="AL103" s="812"/>
      <c r="AM103" s="812"/>
      <c r="AN103" s="986"/>
      <c r="AO103" s="987" t="s">
        <v>1745</v>
      </c>
      <c r="AP103" s="379" t="s">
        <v>1953</v>
      </c>
      <c r="AQ103" s="934"/>
    </row>
    <row r="104" spans="1:43" ht="30">
      <c r="A104" s="47" t="s">
        <v>338</v>
      </c>
      <c r="B104" s="47" t="s">
        <v>1959</v>
      </c>
      <c r="C104" s="714"/>
      <c r="D104" s="47"/>
      <c r="E104" s="47"/>
      <c r="F104" s="47"/>
      <c r="G104" s="715"/>
      <c r="H104" s="945"/>
      <c r="I104" s="946"/>
      <c r="J104" s="947"/>
      <c r="K104" s="947"/>
      <c r="L104" s="947"/>
      <c r="M104" s="948"/>
      <c r="N104" s="948"/>
      <c r="O104" s="948">
        <f>O105</f>
        <v>300</v>
      </c>
      <c r="P104" s="947"/>
      <c r="Q104" s="947"/>
      <c r="R104" s="947"/>
      <c r="S104" s="948"/>
      <c r="T104" s="948">
        <f>T105</f>
        <v>300</v>
      </c>
      <c r="U104" s="948"/>
      <c r="V104" s="947"/>
      <c r="W104" s="947"/>
      <c r="X104" s="947"/>
      <c r="Y104" s="948"/>
      <c r="Z104" s="948">
        <f>Z105</f>
        <v>300</v>
      </c>
      <c r="AA104" s="948"/>
      <c r="AB104" s="947"/>
      <c r="AC104" s="947"/>
      <c r="AD104" s="947"/>
      <c r="AE104" s="948"/>
      <c r="AF104" s="948"/>
      <c r="AG104" s="948"/>
      <c r="AH104" s="948">
        <f>AH105</f>
        <v>900</v>
      </c>
      <c r="AI104" s="979">
        <f t="shared" si="83"/>
        <v>900</v>
      </c>
      <c r="AJ104" s="948"/>
      <c r="AK104" s="948"/>
      <c r="AL104" s="948"/>
      <c r="AM104" s="948"/>
      <c r="AN104" s="953"/>
      <c r="AO104" s="954"/>
      <c r="AP104" s="47" t="s">
        <v>1735</v>
      </c>
      <c r="AQ104" s="955"/>
    </row>
    <row r="105" spans="1:43" ht="30">
      <c r="A105" s="355" t="s">
        <v>1035</v>
      </c>
      <c r="B105" s="355" t="s">
        <v>1036</v>
      </c>
      <c r="C105" s="723"/>
      <c r="D105" s="355"/>
      <c r="E105" s="355"/>
      <c r="F105" s="355"/>
      <c r="G105" s="724"/>
      <c r="H105" s="935"/>
      <c r="I105" s="936"/>
      <c r="J105" s="937"/>
      <c r="K105" s="937"/>
      <c r="L105" s="937"/>
      <c r="M105" s="938"/>
      <c r="N105" s="938"/>
      <c r="O105" s="938">
        <f>O106</f>
        <v>300</v>
      </c>
      <c r="P105" s="937"/>
      <c r="Q105" s="937"/>
      <c r="R105" s="937"/>
      <c r="S105" s="938"/>
      <c r="T105" s="938">
        <f>T106</f>
        <v>300</v>
      </c>
      <c r="U105" s="938"/>
      <c r="V105" s="937"/>
      <c r="W105" s="937"/>
      <c r="X105" s="937"/>
      <c r="Y105" s="938"/>
      <c r="Z105" s="938">
        <f>Z106</f>
        <v>300</v>
      </c>
      <c r="AA105" s="938"/>
      <c r="AB105" s="937"/>
      <c r="AC105" s="937"/>
      <c r="AD105" s="937"/>
      <c r="AE105" s="938"/>
      <c r="AF105" s="938"/>
      <c r="AG105" s="938"/>
      <c r="AH105" s="938">
        <f>AH106</f>
        <v>900</v>
      </c>
      <c r="AI105" s="939">
        <f t="shared" si="83"/>
        <v>900</v>
      </c>
      <c r="AJ105" s="938"/>
      <c r="AK105" s="938"/>
      <c r="AL105" s="938"/>
      <c r="AM105" s="938"/>
      <c r="AN105" s="940"/>
      <c r="AO105" s="941"/>
      <c r="AP105" s="355" t="s">
        <v>1735</v>
      </c>
      <c r="AQ105" s="942"/>
    </row>
    <row r="106" spans="1:43" ht="45">
      <c r="A106" s="363" t="s">
        <v>1037</v>
      </c>
      <c r="B106" s="363" t="s">
        <v>1038</v>
      </c>
      <c r="C106" s="732"/>
      <c r="D106" s="363"/>
      <c r="E106" s="363"/>
      <c r="F106" s="363"/>
      <c r="G106" s="733"/>
      <c r="H106" s="924"/>
      <c r="I106" s="765"/>
      <c r="J106" s="925"/>
      <c r="K106" s="925"/>
      <c r="L106" s="925"/>
      <c r="M106" s="926"/>
      <c r="N106" s="926"/>
      <c r="O106" s="926">
        <f>O107+O109+O111</f>
        <v>300</v>
      </c>
      <c r="P106" s="925"/>
      <c r="Q106" s="925"/>
      <c r="R106" s="925"/>
      <c r="S106" s="926"/>
      <c r="T106" s="926">
        <f>T107+T109+T111</f>
        <v>300</v>
      </c>
      <c r="U106" s="926"/>
      <c r="V106" s="925"/>
      <c r="W106" s="925"/>
      <c r="X106" s="925"/>
      <c r="Y106" s="926"/>
      <c r="Z106" s="926">
        <f>Z107+Z109+Z111</f>
        <v>300</v>
      </c>
      <c r="AA106" s="926"/>
      <c r="AB106" s="925"/>
      <c r="AC106" s="925"/>
      <c r="AD106" s="925"/>
      <c r="AE106" s="926"/>
      <c r="AF106" s="926"/>
      <c r="AG106" s="926"/>
      <c r="AH106" s="926">
        <f>AH107+AH109+AH111</f>
        <v>900</v>
      </c>
      <c r="AI106" s="836">
        <f t="shared" si="83"/>
        <v>900</v>
      </c>
      <c r="AJ106" s="926"/>
      <c r="AK106" s="926"/>
      <c r="AL106" s="926"/>
      <c r="AM106" s="926"/>
      <c r="AN106" s="837"/>
      <c r="AO106" s="838"/>
      <c r="AP106" s="363" t="s">
        <v>1735</v>
      </c>
      <c r="AQ106" s="927"/>
    </row>
    <row r="107" spans="1:43" ht="60">
      <c r="A107" s="371" t="s">
        <v>1960</v>
      </c>
      <c r="B107" s="371" t="s">
        <v>1961</v>
      </c>
      <c r="C107" s="741"/>
      <c r="D107" s="371" t="s">
        <v>1962</v>
      </c>
      <c r="E107" s="371" t="s">
        <v>1963</v>
      </c>
      <c r="F107" s="371" t="s">
        <v>57</v>
      </c>
      <c r="G107" s="742"/>
      <c r="H107" s="928"/>
      <c r="I107" s="771"/>
      <c r="J107" s="929"/>
      <c r="K107" s="929"/>
      <c r="L107" s="929"/>
      <c r="M107" s="930"/>
      <c r="N107" s="930"/>
      <c r="O107" s="930">
        <f>O108</f>
        <v>300</v>
      </c>
      <c r="P107" s="929"/>
      <c r="Q107" s="929"/>
      <c r="R107" s="929"/>
      <c r="S107" s="930"/>
      <c r="T107" s="930"/>
      <c r="U107" s="930"/>
      <c r="V107" s="929"/>
      <c r="W107" s="929"/>
      <c r="X107" s="929"/>
      <c r="Y107" s="930"/>
      <c r="Z107" s="930"/>
      <c r="AA107" s="930"/>
      <c r="AB107" s="929"/>
      <c r="AC107" s="929"/>
      <c r="AD107" s="929"/>
      <c r="AE107" s="930"/>
      <c r="AF107" s="930"/>
      <c r="AG107" s="930"/>
      <c r="AH107" s="747">
        <f>SUM(J107:AG107)</f>
        <v>300</v>
      </c>
      <c r="AI107" s="931">
        <f t="shared" si="83"/>
        <v>300</v>
      </c>
      <c r="AJ107" s="930"/>
      <c r="AK107" s="930"/>
      <c r="AL107" s="930"/>
      <c r="AM107" s="930"/>
      <c r="AN107" s="787"/>
      <c r="AO107" s="788"/>
      <c r="AP107" s="371" t="s">
        <v>1735</v>
      </c>
      <c r="AQ107" s="932"/>
    </row>
    <row r="108" spans="1:43" ht="45">
      <c r="A108" s="379" t="s">
        <v>1964</v>
      </c>
      <c r="B108" s="379" t="s">
        <v>1965</v>
      </c>
      <c r="C108" s="750">
        <v>3</v>
      </c>
      <c r="D108" s="379" t="s">
        <v>944</v>
      </c>
      <c r="E108" s="379" t="s">
        <v>1966</v>
      </c>
      <c r="F108" s="379" t="s">
        <v>52</v>
      </c>
      <c r="G108" s="751"/>
      <c r="H108" s="933"/>
      <c r="I108" s="763"/>
      <c r="J108" s="991"/>
      <c r="K108" s="991"/>
      <c r="L108" s="991">
        <v>1</v>
      </c>
      <c r="M108" s="991"/>
      <c r="N108" s="784"/>
      <c r="O108" s="784">
        <v>300</v>
      </c>
      <c r="P108" s="784"/>
      <c r="Q108" s="784"/>
      <c r="R108" s="784"/>
      <c r="S108" s="784"/>
      <c r="T108" s="784"/>
      <c r="U108" s="784"/>
      <c r="V108" s="784"/>
      <c r="W108" s="784"/>
      <c r="X108" s="784"/>
      <c r="Y108" s="784"/>
      <c r="Z108" s="784"/>
      <c r="AA108" s="784"/>
      <c r="AB108" s="757"/>
      <c r="AC108" s="757"/>
      <c r="AD108" s="757"/>
      <c r="AE108" s="757"/>
      <c r="AF108" s="784"/>
      <c r="AG108" s="784"/>
      <c r="AH108" s="757">
        <f t="shared" ref="AH108" si="85">SUM(M108+N108+O108+S108+T108+U108+Y108+Z108+AA108+AE108+AF108+AG108)</f>
        <v>300</v>
      </c>
      <c r="AI108" s="784">
        <f t="shared" si="83"/>
        <v>300</v>
      </c>
      <c r="AJ108" s="992"/>
      <c r="AK108" s="986"/>
      <c r="AL108" s="986"/>
      <c r="AM108" s="986"/>
      <c r="AN108" s="785"/>
      <c r="AO108" s="786" t="s">
        <v>1764</v>
      </c>
      <c r="AP108" s="379" t="s">
        <v>1765</v>
      </c>
      <c r="AQ108" s="934"/>
    </row>
    <row r="109" spans="1:43" ht="75">
      <c r="A109" s="371" t="s">
        <v>1967</v>
      </c>
      <c r="B109" s="371" t="s">
        <v>1968</v>
      </c>
      <c r="C109" s="741"/>
      <c r="D109" s="371" t="s">
        <v>944</v>
      </c>
      <c r="E109" s="371" t="s">
        <v>1969</v>
      </c>
      <c r="F109" s="371" t="s">
        <v>52</v>
      </c>
      <c r="G109" s="742"/>
      <c r="H109" s="928"/>
      <c r="I109" s="771"/>
      <c r="J109" s="929"/>
      <c r="K109" s="929"/>
      <c r="L109" s="929"/>
      <c r="M109" s="930"/>
      <c r="N109" s="930"/>
      <c r="O109" s="930"/>
      <c r="P109" s="929"/>
      <c r="Q109" s="929"/>
      <c r="R109" s="929"/>
      <c r="S109" s="930"/>
      <c r="T109" s="930"/>
      <c r="U109" s="930"/>
      <c r="V109" s="929"/>
      <c r="W109" s="929"/>
      <c r="X109" s="929"/>
      <c r="Y109" s="930"/>
      <c r="Z109" s="930">
        <f>Z110</f>
        <v>300</v>
      </c>
      <c r="AA109" s="930"/>
      <c r="AB109" s="929"/>
      <c r="AC109" s="929"/>
      <c r="AD109" s="929"/>
      <c r="AE109" s="930"/>
      <c r="AF109" s="930"/>
      <c r="AG109" s="930"/>
      <c r="AH109" s="747">
        <f>SUM(J109:AG109)</f>
        <v>300</v>
      </c>
      <c r="AI109" s="931">
        <f>AH109</f>
        <v>300</v>
      </c>
      <c r="AJ109" s="930"/>
      <c r="AK109" s="930"/>
      <c r="AL109" s="930"/>
      <c r="AM109" s="930"/>
      <c r="AN109" s="787"/>
      <c r="AO109" s="788"/>
      <c r="AP109" s="371" t="s">
        <v>1735</v>
      </c>
      <c r="AQ109" s="932"/>
    </row>
    <row r="110" spans="1:43" ht="60">
      <c r="A110" s="379" t="s">
        <v>1970</v>
      </c>
      <c r="B110" s="379" t="s">
        <v>1971</v>
      </c>
      <c r="C110" s="750">
        <v>3</v>
      </c>
      <c r="D110" s="379" t="s">
        <v>944</v>
      </c>
      <c r="E110" s="379" t="s">
        <v>1969</v>
      </c>
      <c r="F110" s="379" t="s">
        <v>52</v>
      </c>
      <c r="G110" s="751"/>
      <c r="H110" s="933"/>
      <c r="I110" s="763"/>
      <c r="J110" s="993"/>
      <c r="K110" s="993"/>
      <c r="L110" s="993"/>
      <c r="M110" s="993"/>
      <c r="N110" s="994"/>
      <c r="O110" s="994"/>
      <c r="P110" s="994"/>
      <c r="Q110" s="994"/>
      <c r="R110" s="994"/>
      <c r="S110" s="994"/>
      <c r="T110" s="994"/>
      <c r="U110" s="994"/>
      <c r="V110" s="994"/>
      <c r="W110" s="994">
        <v>1</v>
      </c>
      <c r="X110" s="994"/>
      <c r="Y110" s="994"/>
      <c r="Z110" s="994">
        <v>300</v>
      </c>
      <c r="AA110" s="994"/>
      <c r="AB110" s="994"/>
      <c r="AC110" s="994"/>
      <c r="AD110" s="994"/>
      <c r="AE110" s="994"/>
      <c r="AF110" s="994"/>
      <c r="AG110" s="994"/>
      <c r="AH110" s="757">
        <f t="shared" ref="AH110" si="86">SUM(M110+N110+O110+S110+T110+U110+Y110+Z110+AA110+AE110+AF110+AG110)</f>
        <v>300</v>
      </c>
      <c r="AI110" s="784">
        <f t="shared" ref="AI110" si="87">AH110</f>
        <v>300</v>
      </c>
      <c r="AJ110" s="995"/>
      <c r="AK110" s="996"/>
      <c r="AL110" s="996"/>
      <c r="AM110" s="996"/>
      <c r="AN110" s="785"/>
      <c r="AO110" s="786" t="s">
        <v>1764</v>
      </c>
      <c r="AP110" s="379" t="s">
        <v>1860</v>
      </c>
      <c r="AQ110" s="934"/>
    </row>
    <row r="111" spans="1:43" ht="120">
      <c r="A111" s="371" t="s">
        <v>1972</v>
      </c>
      <c r="B111" s="371" t="s">
        <v>1973</v>
      </c>
      <c r="C111" s="741"/>
      <c r="D111" s="371" t="s">
        <v>52</v>
      </c>
      <c r="E111" s="997" t="s">
        <v>1974</v>
      </c>
      <c r="F111" s="997" t="s">
        <v>1975</v>
      </c>
      <c r="G111" s="742"/>
      <c r="H111" s="928"/>
      <c r="I111" s="771"/>
      <c r="J111" s="929"/>
      <c r="K111" s="929"/>
      <c r="L111" s="929"/>
      <c r="M111" s="930"/>
      <c r="N111" s="930"/>
      <c r="O111" s="930"/>
      <c r="P111" s="929"/>
      <c r="Q111" s="929"/>
      <c r="R111" s="929"/>
      <c r="S111" s="930"/>
      <c r="T111" s="930">
        <f>T112</f>
        <v>300</v>
      </c>
      <c r="U111" s="930"/>
      <c r="V111" s="929"/>
      <c r="W111" s="929"/>
      <c r="X111" s="929"/>
      <c r="Y111" s="930"/>
      <c r="Z111" s="930"/>
      <c r="AA111" s="930"/>
      <c r="AB111" s="929"/>
      <c r="AC111" s="929"/>
      <c r="AD111" s="929"/>
      <c r="AE111" s="930"/>
      <c r="AF111" s="930"/>
      <c r="AG111" s="930"/>
      <c r="AH111" s="747">
        <f>SUM(J111:AG111)</f>
        <v>300</v>
      </c>
      <c r="AI111" s="931">
        <f>AH111</f>
        <v>300</v>
      </c>
      <c r="AJ111" s="930"/>
      <c r="AK111" s="930"/>
      <c r="AL111" s="930"/>
      <c r="AM111" s="930"/>
      <c r="AN111" s="787"/>
      <c r="AO111" s="788"/>
      <c r="AP111" s="371" t="s">
        <v>1735</v>
      </c>
      <c r="AQ111" s="932"/>
    </row>
    <row r="112" spans="1:43" ht="45">
      <c r="A112" s="379" t="s">
        <v>1976</v>
      </c>
      <c r="B112" s="379" t="s">
        <v>1977</v>
      </c>
      <c r="C112" s="750">
        <v>3</v>
      </c>
      <c r="D112" s="379" t="s">
        <v>944</v>
      </c>
      <c r="E112" s="379" t="s">
        <v>1969</v>
      </c>
      <c r="F112" s="379" t="s">
        <v>52</v>
      </c>
      <c r="G112" s="751"/>
      <c r="H112" s="933"/>
      <c r="I112" s="763"/>
      <c r="J112" s="998"/>
      <c r="K112" s="998"/>
      <c r="L112" s="998"/>
      <c r="M112" s="998"/>
      <c r="N112" s="999"/>
      <c r="O112" s="999"/>
      <c r="P112" s="999"/>
      <c r="Q112" s="999">
        <v>1</v>
      </c>
      <c r="R112" s="999"/>
      <c r="S112" s="999"/>
      <c r="T112" s="999">
        <v>300</v>
      </c>
      <c r="U112" s="999"/>
      <c r="V112" s="999"/>
      <c r="W112" s="999"/>
      <c r="X112" s="999"/>
      <c r="Y112" s="999"/>
      <c r="Z112" s="999"/>
      <c r="AA112" s="999"/>
      <c r="AB112" s="999"/>
      <c r="AC112" s="999"/>
      <c r="AD112" s="999"/>
      <c r="AE112" s="999"/>
      <c r="AF112" s="999"/>
      <c r="AG112" s="999"/>
      <c r="AH112" s="757">
        <f t="shared" ref="AH112" si="88">SUM(M112+N112+O112+S112+T112+U112+Y112+Z112+AA112+AE112+AF112+AG112)</f>
        <v>300</v>
      </c>
      <c r="AI112" s="784">
        <f t="shared" ref="AI112" si="89">AH112</f>
        <v>300</v>
      </c>
      <c r="AJ112" s="1000"/>
      <c r="AK112" s="1001"/>
      <c r="AL112" s="1001"/>
      <c r="AM112" s="1001"/>
      <c r="AN112" s="785"/>
      <c r="AO112" s="786" t="s">
        <v>1764</v>
      </c>
      <c r="AP112" s="379" t="s">
        <v>1860</v>
      </c>
      <c r="AQ112" s="934"/>
    </row>
    <row r="113" spans="1:43" ht="30">
      <c r="A113" s="1002" t="s">
        <v>379</v>
      </c>
      <c r="B113" s="1003" t="s">
        <v>808</v>
      </c>
      <c r="C113" s="1004"/>
      <c r="D113" s="1005"/>
      <c r="E113" s="1003"/>
      <c r="F113" s="1003"/>
      <c r="G113" s="715"/>
      <c r="H113" s="1006"/>
      <c r="I113" s="1006"/>
      <c r="J113" s="1007"/>
      <c r="K113" s="1007"/>
      <c r="L113" s="1007"/>
      <c r="M113" s="1008">
        <f>M114</f>
        <v>54815</v>
      </c>
      <c r="N113" s="1008">
        <f t="shared" ref="N113:O113" si="90">N114</f>
        <v>67740</v>
      </c>
      <c r="O113" s="1008">
        <f t="shared" si="90"/>
        <v>66160</v>
      </c>
      <c r="P113" s="1007"/>
      <c r="Q113" s="1007"/>
      <c r="R113" s="1007"/>
      <c r="S113" s="1008">
        <f>S114</f>
        <v>61680</v>
      </c>
      <c r="T113" s="1008">
        <f t="shared" ref="T113:U113" si="91">T114</f>
        <v>170475</v>
      </c>
      <c r="U113" s="1008">
        <f t="shared" si="91"/>
        <v>90543</v>
      </c>
      <c r="V113" s="1007"/>
      <c r="W113" s="1007"/>
      <c r="X113" s="1007"/>
      <c r="Y113" s="1008">
        <f>Y114</f>
        <v>148064</v>
      </c>
      <c r="Z113" s="1008">
        <f t="shared" ref="Z113:AA113" si="92">Z114</f>
        <v>83019</v>
      </c>
      <c r="AA113" s="1008">
        <f t="shared" si="92"/>
        <v>190460</v>
      </c>
      <c r="AB113" s="1007"/>
      <c r="AC113" s="1007"/>
      <c r="AD113" s="1007"/>
      <c r="AE113" s="1008">
        <f>AE114</f>
        <v>79485</v>
      </c>
      <c r="AF113" s="1008">
        <f t="shared" ref="AF113:AG113" si="93">AF114</f>
        <v>78397</v>
      </c>
      <c r="AG113" s="1008">
        <f t="shared" si="93"/>
        <v>633760</v>
      </c>
      <c r="AH113" s="1008">
        <f>AH114</f>
        <v>1724598</v>
      </c>
      <c r="AI113" s="1008">
        <f>AH113</f>
        <v>1724598</v>
      </c>
      <c r="AJ113" s="1009"/>
      <c r="AK113" s="1009"/>
      <c r="AL113" s="1009"/>
      <c r="AM113" s="1009"/>
      <c r="AN113" s="1009"/>
      <c r="AO113" s="1010"/>
      <c r="AP113" s="47" t="s">
        <v>1735</v>
      </c>
      <c r="AQ113" s="1010"/>
    </row>
    <row r="114" spans="1:43" ht="30">
      <c r="A114" s="1011" t="s">
        <v>1978</v>
      </c>
      <c r="B114" s="1012" t="s">
        <v>1979</v>
      </c>
      <c r="C114" s="1013"/>
      <c r="D114" s="1014"/>
      <c r="E114" s="1012"/>
      <c r="F114" s="1012"/>
      <c r="G114" s="1015"/>
      <c r="H114" s="1015"/>
      <c r="I114" s="1015"/>
      <c r="J114" s="1016"/>
      <c r="K114" s="1016"/>
      <c r="L114" s="1016"/>
      <c r="M114" s="1017">
        <f>M115+M124+M130</f>
        <v>54815</v>
      </c>
      <c r="N114" s="1017">
        <f t="shared" ref="N114:O114" si="94">N115+N124+N130</f>
        <v>67740</v>
      </c>
      <c r="O114" s="1017">
        <f t="shared" si="94"/>
        <v>66160</v>
      </c>
      <c r="P114" s="1016"/>
      <c r="Q114" s="1016"/>
      <c r="R114" s="1016"/>
      <c r="S114" s="1017">
        <f>S115+S124+S130</f>
        <v>61680</v>
      </c>
      <c r="T114" s="1017">
        <f t="shared" ref="T114:U114" si="95">T115+T124+T130</f>
        <v>170475</v>
      </c>
      <c r="U114" s="1017">
        <f t="shared" si="95"/>
        <v>90543</v>
      </c>
      <c r="V114" s="1016"/>
      <c r="W114" s="1016"/>
      <c r="X114" s="1016"/>
      <c r="Y114" s="1017">
        <f>Y115+Y124+Y130</f>
        <v>148064</v>
      </c>
      <c r="Z114" s="1017">
        <f t="shared" ref="Z114:AA114" si="96">Z115+Z124+Z130</f>
        <v>83019</v>
      </c>
      <c r="AA114" s="1017">
        <f t="shared" si="96"/>
        <v>190460</v>
      </c>
      <c r="AB114" s="1016"/>
      <c r="AC114" s="1016"/>
      <c r="AD114" s="1016"/>
      <c r="AE114" s="1017">
        <f t="shared" ref="AE114:AF114" si="97">AE115+AE124+AE130+AE145</f>
        <v>79485</v>
      </c>
      <c r="AF114" s="1017">
        <f t="shared" si="97"/>
        <v>78397</v>
      </c>
      <c r="AG114" s="1017">
        <f>AG115+AG124+AG130+AG145</f>
        <v>633760</v>
      </c>
      <c r="AH114" s="729">
        <f>SUM(J114:AG114)</f>
        <v>1724598</v>
      </c>
      <c r="AI114" s="729">
        <f>AH114</f>
        <v>1724598</v>
      </c>
      <c r="AJ114" s="1018"/>
      <c r="AK114" s="1018"/>
      <c r="AL114" s="1018"/>
      <c r="AM114" s="1018"/>
      <c r="AN114" s="1018"/>
      <c r="AO114" s="1012"/>
      <c r="AP114" s="355" t="s">
        <v>1735</v>
      </c>
      <c r="AQ114" s="1012"/>
    </row>
    <row r="115" spans="1:43" ht="30">
      <c r="A115" s="1019" t="s">
        <v>1980</v>
      </c>
      <c r="B115" s="816" t="s">
        <v>1981</v>
      </c>
      <c r="C115" s="1020"/>
      <c r="D115" s="1021"/>
      <c r="E115" s="1021"/>
      <c r="F115" s="1021"/>
      <c r="G115" s="733"/>
      <c r="H115" s="734"/>
      <c r="I115" s="733"/>
      <c r="J115" s="814"/>
      <c r="K115" s="814"/>
      <c r="L115" s="814"/>
      <c r="M115" s="738">
        <f>M116</f>
        <v>24265</v>
      </c>
      <c r="N115" s="738">
        <f t="shared" ref="N115:O115" si="98">N116</f>
        <v>30610</v>
      </c>
      <c r="O115" s="738">
        <f t="shared" si="98"/>
        <v>31560</v>
      </c>
      <c r="P115" s="738"/>
      <c r="Q115" s="738"/>
      <c r="R115" s="738"/>
      <c r="S115" s="738">
        <f>S116</f>
        <v>32750</v>
      </c>
      <c r="T115" s="738">
        <f t="shared" ref="T115:U115" si="99">T116</f>
        <v>42925</v>
      </c>
      <c r="U115" s="738">
        <f t="shared" si="99"/>
        <v>43665</v>
      </c>
      <c r="V115" s="738"/>
      <c r="W115" s="738"/>
      <c r="X115" s="738"/>
      <c r="Y115" s="738">
        <f>Y116</f>
        <v>39540</v>
      </c>
      <c r="Z115" s="738">
        <f t="shared" ref="Z115:AA115" si="100">Z116</f>
        <v>34870</v>
      </c>
      <c r="AA115" s="738">
        <f t="shared" si="100"/>
        <v>39910</v>
      </c>
      <c r="AB115" s="738"/>
      <c r="AC115" s="738"/>
      <c r="AD115" s="738"/>
      <c r="AE115" s="738">
        <f>AE116</f>
        <v>40695</v>
      </c>
      <c r="AF115" s="738">
        <f t="shared" ref="AF115:AG115" si="101">AF116</f>
        <v>38365</v>
      </c>
      <c r="AG115" s="738">
        <f t="shared" si="101"/>
        <v>38605</v>
      </c>
      <c r="AH115" s="738">
        <f>SUM(J115:AG115)</f>
        <v>437760</v>
      </c>
      <c r="AI115" s="738">
        <f>AH115</f>
        <v>437760</v>
      </c>
      <c r="AJ115" s="813"/>
      <c r="AK115" s="813"/>
      <c r="AL115" s="813"/>
      <c r="AM115" s="813"/>
      <c r="AN115" s="813"/>
      <c r="AO115" s="816"/>
      <c r="AP115" s="363" t="s">
        <v>1735</v>
      </c>
      <c r="AQ115" s="816"/>
    </row>
    <row r="116" spans="1:43" ht="90">
      <c r="A116" s="428" t="s">
        <v>1982</v>
      </c>
      <c r="B116" s="1022" t="s">
        <v>1983</v>
      </c>
      <c r="C116" s="1023"/>
      <c r="D116" s="893"/>
      <c r="E116" s="893"/>
      <c r="F116" s="893"/>
      <c r="G116" s="1024"/>
      <c r="H116" s="742"/>
      <c r="I116" s="1024"/>
      <c r="J116" s="1025"/>
      <c r="K116" s="1025"/>
      <c r="L116" s="1025"/>
      <c r="M116" s="1026">
        <f>SUM(M117:M123)</f>
        <v>24265</v>
      </c>
      <c r="N116" s="1026">
        <f t="shared" ref="N116:O116" si="102">SUM(N117:N123)</f>
        <v>30610</v>
      </c>
      <c r="O116" s="1026">
        <f t="shared" si="102"/>
        <v>31560</v>
      </c>
      <c r="P116" s="1026"/>
      <c r="Q116" s="1026"/>
      <c r="R116" s="1026"/>
      <c r="S116" s="1026">
        <f>SUM(S117:S123)</f>
        <v>32750</v>
      </c>
      <c r="T116" s="1026">
        <f t="shared" ref="T116:U116" si="103">SUM(T117:T123)</f>
        <v>42925</v>
      </c>
      <c r="U116" s="1026">
        <f t="shared" si="103"/>
        <v>43665</v>
      </c>
      <c r="V116" s="1026"/>
      <c r="W116" s="1026"/>
      <c r="X116" s="1026"/>
      <c r="Y116" s="1026">
        <f>SUM(Y117:Y123)</f>
        <v>39540</v>
      </c>
      <c r="Z116" s="1026">
        <f t="shared" ref="Z116:AA116" si="104">SUM(Z117:Z123)</f>
        <v>34870</v>
      </c>
      <c r="AA116" s="1026">
        <f t="shared" si="104"/>
        <v>39910</v>
      </c>
      <c r="AB116" s="1026"/>
      <c r="AC116" s="1026"/>
      <c r="AD116" s="1026"/>
      <c r="AE116" s="1026">
        <f>SUM(AE117:AE123)</f>
        <v>40695</v>
      </c>
      <c r="AF116" s="1026">
        <f t="shared" ref="AF116:AG116" si="105">SUM(AF117:AF123)</f>
        <v>38365</v>
      </c>
      <c r="AG116" s="1026">
        <f t="shared" si="105"/>
        <v>38605</v>
      </c>
      <c r="AH116" s="793">
        <f>SUM(J116:AG116)</f>
        <v>437760</v>
      </c>
      <c r="AI116" s="1026">
        <f>AH116</f>
        <v>437760</v>
      </c>
      <c r="AJ116" s="892"/>
      <c r="AK116" s="892"/>
      <c r="AL116" s="892"/>
      <c r="AM116" s="892"/>
      <c r="AN116" s="892"/>
      <c r="AO116" s="893"/>
      <c r="AP116" s="371" t="s">
        <v>1735</v>
      </c>
      <c r="AQ116" s="893"/>
    </row>
    <row r="117" spans="1:43" ht="60">
      <c r="A117" s="437" t="s">
        <v>1984</v>
      </c>
      <c r="B117" s="917" t="s">
        <v>1985</v>
      </c>
      <c r="C117" s="1027">
        <f>J117+K117+L117+P117+Q117+R117+V117+W117+X117+AB117+AC117+AD117</f>
        <v>215</v>
      </c>
      <c r="D117" s="917" t="s">
        <v>52</v>
      </c>
      <c r="E117" s="917" t="s">
        <v>1986</v>
      </c>
      <c r="F117" s="917" t="s">
        <v>1987</v>
      </c>
      <c r="G117" s="751"/>
      <c r="H117" s="1028"/>
      <c r="I117" s="763"/>
      <c r="J117" s="1029">
        <v>7</v>
      </c>
      <c r="K117" s="1029">
        <v>8</v>
      </c>
      <c r="L117" s="1029">
        <v>7</v>
      </c>
      <c r="M117" s="1029">
        <v>3415</v>
      </c>
      <c r="N117" s="1029">
        <v>6580</v>
      </c>
      <c r="O117" s="1029">
        <v>8630</v>
      </c>
      <c r="P117" s="1029">
        <v>20</v>
      </c>
      <c r="Q117" s="1029">
        <v>18</v>
      </c>
      <c r="R117" s="1029">
        <v>18</v>
      </c>
      <c r="S117" s="1029">
        <v>10795</v>
      </c>
      <c r="T117" s="1029">
        <v>12810</v>
      </c>
      <c r="U117" s="1029">
        <v>11375</v>
      </c>
      <c r="V117" s="1029">
        <v>25</v>
      </c>
      <c r="W117" s="1029">
        <v>24</v>
      </c>
      <c r="X117" s="1029">
        <v>21</v>
      </c>
      <c r="Y117" s="1029">
        <v>13180</v>
      </c>
      <c r="Z117" s="1029">
        <v>14030</v>
      </c>
      <c r="AA117" s="1029">
        <v>11735</v>
      </c>
      <c r="AB117" s="1029">
        <v>22</v>
      </c>
      <c r="AC117" s="1029">
        <v>20</v>
      </c>
      <c r="AD117" s="1029">
        <v>25</v>
      </c>
      <c r="AE117" s="1029">
        <v>15245</v>
      </c>
      <c r="AF117" s="1029">
        <v>11230</v>
      </c>
      <c r="AG117" s="1029">
        <v>9300</v>
      </c>
      <c r="AH117" s="799">
        <f t="shared" ref="AH117:AH123" si="106">SUM(M117+N117+O117+S117+T117+U117+Y117+Z117+AA117+AE117+AF117+AG117)</f>
        <v>128325</v>
      </c>
      <c r="AI117" s="1029">
        <f t="shared" ref="AI117:AI121" si="107">AH117</f>
        <v>128325</v>
      </c>
      <c r="AJ117" s="987"/>
      <c r="AK117" s="987"/>
      <c r="AL117" s="987"/>
      <c r="AM117" s="1030"/>
      <c r="AN117" s="1030"/>
      <c r="AO117" s="2081" t="s">
        <v>1745</v>
      </c>
      <c r="AP117" s="2084" t="s">
        <v>1988</v>
      </c>
      <c r="AQ117" s="1031"/>
    </row>
    <row r="118" spans="1:43" ht="90">
      <c r="A118" s="437" t="s">
        <v>1989</v>
      </c>
      <c r="B118" s="917" t="s">
        <v>1990</v>
      </c>
      <c r="C118" s="1027">
        <f>J118+K118+L118+P118+Q118+R118+V118+W118+X118+AB118+AC118+AD118</f>
        <v>45</v>
      </c>
      <c r="D118" s="917" t="s">
        <v>1492</v>
      </c>
      <c r="E118" s="917" t="s">
        <v>1991</v>
      </c>
      <c r="F118" s="917" t="s">
        <v>1987</v>
      </c>
      <c r="G118" s="751"/>
      <c r="H118" s="1028"/>
      <c r="I118" s="763"/>
      <c r="J118" s="1029">
        <v>1</v>
      </c>
      <c r="K118" s="1029">
        <v>3</v>
      </c>
      <c r="L118" s="1029">
        <v>3</v>
      </c>
      <c r="M118" s="1029">
        <v>4700</v>
      </c>
      <c r="N118" s="1029">
        <v>4460</v>
      </c>
      <c r="O118" s="1029">
        <v>4540</v>
      </c>
      <c r="P118" s="1029">
        <v>3</v>
      </c>
      <c r="Q118" s="1029">
        <v>5</v>
      </c>
      <c r="R118" s="1029">
        <v>6</v>
      </c>
      <c r="S118" s="1029">
        <v>6070</v>
      </c>
      <c r="T118" s="1029">
        <v>6070</v>
      </c>
      <c r="U118" s="1029">
        <v>6065</v>
      </c>
      <c r="V118" s="1029">
        <v>5</v>
      </c>
      <c r="W118" s="1029">
        <v>4</v>
      </c>
      <c r="X118" s="1029">
        <v>3</v>
      </c>
      <c r="Y118" s="1029">
        <v>5450</v>
      </c>
      <c r="Z118" s="1029">
        <v>7525</v>
      </c>
      <c r="AA118" s="1029">
        <v>8185</v>
      </c>
      <c r="AB118" s="1029">
        <v>4</v>
      </c>
      <c r="AC118" s="1029">
        <v>4</v>
      </c>
      <c r="AD118" s="1029">
        <v>4</v>
      </c>
      <c r="AE118" s="1029">
        <v>4700</v>
      </c>
      <c r="AF118" s="1029">
        <v>6085</v>
      </c>
      <c r="AG118" s="1029">
        <f>3250+12000</f>
        <v>15250</v>
      </c>
      <c r="AH118" s="799">
        <f t="shared" si="106"/>
        <v>79100</v>
      </c>
      <c r="AI118" s="1029">
        <f t="shared" si="107"/>
        <v>79100</v>
      </c>
      <c r="AJ118" s="987"/>
      <c r="AK118" s="917"/>
      <c r="AL118" s="987"/>
      <c r="AM118" s="987"/>
      <c r="AN118" s="987"/>
      <c r="AO118" s="2082"/>
      <c r="AP118" s="2085"/>
      <c r="AQ118" s="1031"/>
    </row>
    <row r="119" spans="1:43" ht="60">
      <c r="A119" s="437" t="s">
        <v>1992</v>
      </c>
      <c r="B119" s="917" t="s">
        <v>1993</v>
      </c>
      <c r="C119" s="1027">
        <f>J119+K119+L119+P119+Q119+R119+V119+W119+X119+AB119+AC119+AD119</f>
        <v>1520</v>
      </c>
      <c r="D119" s="917" t="s">
        <v>52</v>
      </c>
      <c r="E119" s="917" t="s">
        <v>209</v>
      </c>
      <c r="F119" s="917" t="s">
        <v>1987</v>
      </c>
      <c r="G119" s="751"/>
      <c r="H119" s="1028"/>
      <c r="I119" s="763"/>
      <c r="J119" s="1032">
        <v>55</v>
      </c>
      <c r="K119" s="1032">
        <v>65</v>
      </c>
      <c r="L119" s="1032">
        <v>75</v>
      </c>
      <c r="M119" s="1032">
        <v>7725</v>
      </c>
      <c r="N119" s="1032">
        <v>6720</v>
      </c>
      <c r="O119" s="1032">
        <v>5000</v>
      </c>
      <c r="P119" s="1032">
        <v>105</v>
      </c>
      <c r="Q119" s="1032">
        <v>120</v>
      </c>
      <c r="R119" s="1032">
        <v>125</v>
      </c>
      <c r="S119" s="1032">
        <v>6500</v>
      </c>
      <c r="T119" s="1032">
        <v>7500</v>
      </c>
      <c r="U119" s="1032">
        <v>9125</v>
      </c>
      <c r="V119" s="1032">
        <v>130</v>
      </c>
      <c r="W119" s="1032">
        <v>140</v>
      </c>
      <c r="X119" s="1032">
        <v>145</v>
      </c>
      <c r="Y119" s="1032">
        <v>7350</v>
      </c>
      <c r="Z119" s="1032">
        <v>5600</v>
      </c>
      <c r="AA119" s="1032">
        <v>8200</v>
      </c>
      <c r="AB119" s="1032">
        <v>150</v>
      </c>
      <c r="AC119" s="1032">
        <v>160</v>
      </c>
      <c r="AD119" s="1032">
        <v>250</v>
      </c>
      <c r="AE119" s="1032">
        <v>7445</v>
      </c>
      <c r="AF119" s="1032">
        <v>6670</v>
      </c>
      <c r="AG119" s="1032">
        <v>5650</v>
      </c>
      <c r="AH119" s="799">
        <f t="shared" si="106"/>
        <v>83485</v>
      </c>
      <c r="AI119" s="1033">
        <f t="shared" si="107"/>
        <v>83485</v>
      </c>
      <c r="AJ119" s="987"/>
      <c r="AK119" s="987"/>
      <c r="AL119" s="987"/>
      <c r="AM119" s="987"/>
      <c r="AN119" s="987"/>
      <c r="AO119" s="2082"/>
      <c r="AP119" s="2085"/>
      <c r="AQ119" s="1031"/>
    </row>
    <row r="120" spans="1:43" ht="45">
      <c r="A120" s="437" t="s">
        <v>1994</v>
      </c>
      <c r="B120" s="917" t="s">
        <v>1995</v>
      </c>
      <c r="C120" s="1027">
        <f>J120+K120+L120+P120+Q120+R120+V120+W120+X120+AB120+AC120+AD120</f>
        <v>1110</v>
      </c>
      <c r="D120" s="917" t="s">
        <v>52</v>
      </c>
      <c r="E120" s="917" t="s">
        <v>209</v>
      </c>
      <c r="F120" s="917" t="s">
        <v>1987</v>
      </c>
      <c r="G120" s="751"/>
      <c r="H120" s="1028"/>
      <c r="I120" s="763"/>
      <c r="J120" s="1032">
        <v>68</v>
      </c>
      <c r="K120" s="1032">
        <v>70</v>
      </c>
      <c r="L120" s="1032">
        <v>78</v>
      </c>
      <c r="M120" s="1032">
        <v>6340</v>
      </c>
      <c r="N120" s="1032">
        <v>6595</v>
      </c>
      <c r="O120" s="1032">
        <v>7135</v>
      </c>
      <c r="P120" s="1032">
        <v>85</v>
      </c>
      <c r="Q120" s="1032">
        <v>87</v>
      </c>
      <c r="R120" s="1032">
        <v>94</v>
      </c>
      <c r="S120" s="1032">
        <v>6400</v>
      </c>
      <c r="T120" s="1032">
        <v>8205</v>
      </c>
      <c r="U120" s="1032">
        <v>8760</v>
      </c>
      <c r="V120" s="1032">
        <v>96</v>
      </c>
      <c r="W120" s="1032">
        <v>99</v>
      </c>
      <c r="X120" s="1032">
        <v>103</v>
      </c>
      <c r="Y120" s="1032">
        <v>7305</v>
      </c>
      <c r="Z120" s="1032">
        <v>5630</v>
      </c>
      <c r="AA120" s="1032">
        <v>5535</v>
      </c>
      <c r="AB120" s="1032">
        <v>108</v>
      </c>
      <c r="AC120" s="1032">
        <v>108</v>
      </c>
      <c r="AD120" s="1032">
        <v>114</v>
      </c>
      <c r="AE120" s="1032">
        <v>7050</v>
      </c>
      <c r="AF120" s="1032">
        <v>7225</v>
      </c>
      <c r="AG120" s="1032">
        <v>6310</v>
      </c>
      <c r="AH120" s="799">
        <f t="shared" si="106"/>
        <v>82490</v>
      </c>
      <c r="AI120" s="1033">
        <f t="shared" si="107"/>
        <v>82490</v>
      </c>
      <c r="AJ120" s="987"/>
      <c r="AK120" s="987"/>
      <c r="AL120" s="987"/>
      <c r="AM120" s="987"/>
      <c r="AN120" s="987"/>
      <c r="AO120" s="2082"/>
      <c r="AP120" s="2085"/>
      <c r="AQ120" s="1031"/>
    </row>
    <row r="121" spans="1:43" ht="45">
      <c r="A121" s="437" t="s">
        <v>1996</v>
      </c>
      <c r="B121" s="917" t="s">
        <v>1997</v>
      </c>
      <c r="C121" s="1027">
        <f>J121+K121+L121+P121+Q121+R121+V121+W121+X121+AB121+AC121+AD121</f>
        <v>15</v>
      </c>
      <c r="D121" s="917" t="s">
        <v>52</v>
      </c>
      <c r="E121" s="917" t="s">
        <v>1998</v>
      </c>
      <c r="F121" s="917" t="s">
        <v>1987</v>
      </c>
      <c r="G121" s="751"/>
      <c r="H121" s="1028"/>
      <c r="I121" s="763"/>
      <c r="J121" s="1032">
        <v>1</v>
      </c>
      <c r="K121" s="1032">
        <v>1</v>
      </c>
      <c r="L121" s="1032">
        <v>1</v>
      </c>
      <c r="M121" s="1032">
        <v>2085</v>
      </c>
      <c r="N121" s="1032">
        <v>6255</v>
      </c>
      <c r="O121" s="1032">
        <v>6255</v>
      </c>
      <c r="P121" s="1032">
        <v>1</v>
      </c>
      <c r="Q121" s="1032">
        <v>2</v>
      </c>
      <c r="R121" s="1032">
        <v>1</v>
      </c>
      <c r="S121" s="1032">
        <v>2085</v>
      </c>
      <c r="T121" s="1032">
        <v>8340</v>
      </c>
      <c r="U121" s="1032">
        <v>8340</v>
      </c>
      <c r="V121" s="1032">
        <v>1</v>
      </c>
      <c r="W121" s="1032">
        <v>2</v>
      </c>
      <c r="X121" s="1032">
        <v>1</v>
      </c>
      <c r="Y121" s="1032">
        <v>6255</v>
      </c>
      <c r="Z121" s="1032">
        <v>2085</v>
      </c>
      <c r="AA121" s="1032">
        <v>6255</v>
      </c>
      <c r="AB121" s="1032">
        <v>1</v>
      </c>
      <c r="AC121" s="1032">
        <v>2</v>
      </c>
      <c r="AD121" s="1032">
        <v>1</v>
      </c>
      <c r="AE121" s="1032">
        <v>6255</v>
      </c>
      <c r="AF121" s="1032">
        <v>6255</v>
      </c>
      <c r="AG121" s="1032">
        <v>2095</v>
      </c>
      <c r="AH121" s="799">
        <f t="shared" si="106"/>
        <v>62560</v>
      </c>
      <c r="AI121" s="1033">
        <f t="shared" si="107"/>
        <v>62560</v>
      </c>
      <c r="AJ121" s="987"/>
      <c r="AK121" s="987"/>
      <c r="AL121" s="987"/>
      <c r="AM121" s="987"/>
      <c r="AN121" s="987"/>
      <c r="AO121" s="2082"/>
      <c r="AP121" s="2085"/>
      <c r="AQ121" s="1031"/>
    </row>
    <row r="122" spans="1:43" ht="60">
      <c r="A122" s="437" t="s">
        <v>1999</v>
      </c>
      <c r="B122" s="1034" t="s">
        <v>2000</v>
      </c>
      <c r="C122" s="1027">
        <f>J122+K122+L122+P122+Q122+V122+R122+W122+X122+AB122+AC122+AD122</f>
        <v>0</v>
      </c>
      <c r="D122" s="917" t="s">
        <v>52</v>
      </c>
      <c r="E122" s="917" t="s">
        <v>2001</v>
      </c>
      <c r="F122" s="917" t="s">
        <v>1987</v>
      </c>
      <c r="G122" s="751"/>
      <c r="H122" s="1028"/>
      <c r="I122" s="763"/>
      <c r="J122" s="1033">
        <v>0</v>
      </c>
      <c r="K122" s="1033">
        <v>0</v>
      </c>
      <c r="L122" s="1033">
        <v>0</v>
      </c>
      <c r="M122" s="1033">
        <v>0</v>
      </c>
      <c r="N122" s="1033">
        <v>0</v>
      </c>
      <c r="O122" s="1033">
        <v>0</v>
      </c>
      <c r="P122" s="1033">
        <v>0</v>
      </c>
      <c r="Q122" s="1033">
        <v>0</v>
      </c>
      <c r="R122" s="1033">
        <v>0</v>
      </c>
      <c r="S122" s="1033">
        <v>0</v>
      </c>
      <c r="T122" s="1033">
        <v>0</v>
      </c>
      <c r="U122" s="1033">
        <v>0</v>
      </c>
      <c r="V122" s="1033">
        <v>0</v>
      </c>
      <c r="W122" s="1033">
        <v>0</v>
      </c>
      <c r="X122" s="1033">
        <v>0</v>
      </c>
      <c r="Y122" s="1033">
        <v>0</v>
      </c>
      <c r="Z122" s="1033">
        <v>0</v>
      </c>
      <c r="AA122" s="1033">
        <v>0</v>
      </c>
      <c r="AB122" s="1033">
        <v>0</v>
      </c>
      <c r="AC122" s="1033">
        <v>0</v>
      </c>
      <c r="AD122" s="1033">
        <v>0</v>
      </c>
      <c r="AE122" s="1033">
        <v>0</v>
      </c>
      <c r="AF122" s="1033">
        <v>0</v>
      </c>
      <c r="AG122" s="1033">
        <v>0</v>
      </c>
      <c r="AH122" s="799">
        <f t="shared" si="106"/>
        <v>0</v>
      </c>
      <c r="AI122" s="1033">
        <f>AH122</f>
        <v>0</v>
      </c>
      <c r="AJ122" s="987"/>
      <c r="AK122" s="987"/>
      <c r="AL122" s="987"/>
      <c r="AM122" s="987"/>
      <c r="AN122" s="987"/>
      <c r="AO122" s="2082"/>
      <c r="AP122" s="2085"/>
      <c r="AQ122" s="1031" t="s">
        <v>2002</v>
      </c>
    </row>
    <row r="123" spans="1:43" ht="120">
      <c r="A123" s="437" t="s">
        <v>2003</v>
      </c>
      <c r="B123" s="1034" t="s">
        <v>2004</v>
      </c>
      <c r="C123" s="1027">
        <f>J123+K123+L123+P123+Q123+V123+R123+W123+X123+AB123+AC123</f>
        <v>2</v>
      </c>
      <c r="D123" s="917" t="s">
        <v>52</v>
      </c>
      <c r="E123" s="917" t="s">
        <v>209</v>
      </c>
      <c r="F123" s="917" t="s">
        <v>1987</v>
      </c>
      <c r="G123" s="751"/>
      <c r="H123" s="1028"/>
      <c r="I123" s="763"/>
      <c r="J123" s="1033"/>
      <c r="K123" s="1033"/>
      <c r="L123" s="1033"/>
      <c r="M123" s="1033"/>
      <c r="N123" s="1033"/>
      <c r="O123" s="1033"/>
      <c r="P123" s="1033">
        <v>1</v>
      </c>
      <c r="Q123" s="1033"/>
      <c r="R123" s="1033"/>
      <c r="S123" s="1033">
        <v>900</v>
      </c>
      <c r="T123" s="1033"/>
      <c r="U123" s="1033"/>
      <c r="V123" s="1033"/>
      <c r="W123" s="1033"/>
      <c r="X123" s="1033"/>
      <c r="Y123" s="1033"/>
      <c r="Z123" s="1033"/>
      <c r="AA123" s="1033"/>
      <c r="AB123" s="1033"/>
      <c r="AC123" s="1033">
        <v>1</v>
      </c>
      <c r="AD123" s="1035"/>
      <c r="AE123" s="1033"/>
      <c r="AF123" s="1033">
        <v>900</v>
      </c>
      <c r="AG123" s="1033"/>
      <c r="AH123" s="799">
        <f t="shared" si="106"/>
        <v>1800</v>
      </c>
      <c r="AI123" s="1033">
        <f>AH123</f>
        <v>1800</v>
      </c>
      <c r="AJ123" s="987"/>
      <c r="AK123" s="987"/>
      <c r="AL123" s="987"/>
      <c r="AM123" s="987"/>
      <c r="AN123" s="987"/>
      <c r="AO123" s="2083"/>
      <c r="AP123" s="2086"/>
      <c r="AQ123" s="1031"/>
    </row>
    <row r="124" spans="1:43" ht="30">
      <c r="A124" s="1019" t="s">
        <v>2005</v>
      </c>
      <c r="B124" s="1036" t="s">
        <v>2006</v>
      </c>
      <c r="C124" s="1037"/>
      <c r="D124" s="1038"/>
      <c r="E124" s="1038"/>
      <c r="F124" s="1036"/>
      <c r="G124" s="1039"/>
      <c r="H124" s="734"/>
      <c r="I124" s="1039"/>
      <c r="J124" s="1040"/>
      <c r="K124" s="1040"/>
      <c r="L124" s="1040"/>
      <c r="M124" s="1041">
        <f>M125</f>
        <v>22400</v>
      </c>
      <c r="N124" s="1041">
        <f t="shared" ref="N124:O124" si="108">N125</f>
        <v>24400</v>
      </c>
      <c r="O124" s="1041">
        <f t="shared" si="108"/>
        <v>19400</v>
      </c>
      <c r="P124" s="1041"/>
      <c r="Q124" s="1041"/>
      <c r="R124" s="1041"/>
      <c r="S124" s="1041">
        <f>S125</f>
        <v>16200</v>
      </c>
      <c r="T124" s="1041">
        <f t="shared" ref="T124:U124" si="109">T125</f>
        <v>119400</v>
      </c>
      <c r="U124" s="1041">
        <f t="shared" si="109"/>
        <v>26400</v>
      </c>
      <c r="V124" s="1041"/>
      <c r="W124" s="1041"/>
      <c r="X124" s="1041"/>
      <c r="Y124" s="1041">
        <f>Y125</f>
        <v>78594</v>
      </c>
      <c r="Z124" s="1041">
        <f t="shared" ref="Z124:AA124" si="110">Z125</f>
        <v>34720</v>
      </c>
      <c r="AA124" s="1041">
        <f t="shared" si="110"/>
        <v>130770</v>
      </c>
      <c r="AB124" s="1041"/>
      <c r="AC124" s="1041"/>
      <c r="AD124" s="1041"/>
      <c r="AE124" s="1041">
        <f>AE125</f>
        <v>27640</v>
      </c>
      <c r="AF124" s="1041">
        <f t="shared" ref="AF124:AG124" si="111">AF125</f>
        <v>19640</v>
      </c>
      <c r="AG124" s="1041">
        <f t="shared" si="111"/>
        <v>365425</v>
      </c>
      <c r="AH124" s="1042">
        <f>AH125</f>
        <v>884989</v>
      </c>
      <c r="AI124" s="1042">
        <f>AH124</f>
        <v>884989</v>
      </c>
      <c r="AJ124" s="1043"/>
      <c r="AK124" s="1043"/>
      <c r="AL124" s="1043"/>
      <c r="AM124" s="1043"/>
      <c r="AN124" s="1043"/>
      <c r="AO124" s="1036"/>
      <c r="AP124" s="363" t="s">
        <v>1735</v>
      </c>
      <c r="AQ124" s="1036"/>
    </row>
    <row r="125" spans="1:43" ht="60">
      <c r="A125" s="428" t="s">
        <v>2007</v>
      </c>
      <c r="B125" s="1044" t="s">
        <v>2008</v>
      </c>
      <c r="C125" s="1045"/>
      <c r="D125" s="1044"/>
      <c r="E125" s="1044"/>
      <c r="F125" s="1044"/>
      <c r="G125" s="1046"/>
      <c r="H125" s="1046"/>
      <c r="I125" s="1046"/>
      <c r="J125" s="1047"/>
      <c r="K125" s="1047"/>
      <c r="L125" s="1047"/>
      <c r="M125" s="1048">
        <f>SUM(M126:M129)</f>
        <v>22400</v>
      </c>
      <c r="N125" s="1048">
        <f>SUM(N126:N129)</f>
        <v>24400</v>
      </c>
      <c r="O125" s="1048">
        <f>SUM(O126:O129)</f>
        <v>19400</v>
      </c>
      <c r="P125" s="1048"/>
      <c r="Q125" s="1048"/>
      <c r="R125" s="1048"/>
      <c r="S125" s="1048">
        <f>SUM(S126:S129)</f>
        <v>16200</v>
      </c>
      <c r="T125" s="1048">
        <f>SUM(T126:T129)</f>
        <v>119400</v>
      </c>
      <c r="U125" s="1048">
        <f>SUM(U126:U129)</f>
        <v>26400</v>
      </c>
      <c r="V125" s="1048"/>
      <c r="W125" s="1048"/>
      <c r="X125" s="1048"/>
      <c r="Y125" s="1048">
        <f>SUM(Y126:Y129)</f>
        <v>78594</v>
      </c>
      <c r="Z125" s="1048">
        <f>SUM(Z126:Z129)</f>
        <v>34720</v>
      </c>
      <c r="AA125" s="1048">
        <f>SUM(AA126:AA129)</f>
        <v>130770</v>
      </c>
      <c r="AB125" s="1048"/>
      <c r="AC125" s="1048"/>
      <c r="AD125" s="1048"/>
      <c r="AE125" s="1048">
        <f>SUM(AE126:AE129)</f>
        <v>27640</v>
      </c>
      <c r="AF125" s="1048">
        <f>SUM(AF126:AF129)</f>
        <v>19640</v>
      </c>
      <c r="AG125" s="1048">
        <f>SUM(AG126:AG129)</f>
        <v>365425</v>
      </c>
      <c r="AH125" s="793">
        <f>SUM(M125:AG125)</f>
        <v>884989</v>
      </c>
      <c r="AI125" s="1049">
        <f>AH125</f>
        <v>884989</v>
      </c>
      <c r="AJ125" s="1050"/>
      <c r="AK125" s="1050"/>
      <c r="AL125" s="1050"/>
      <c r="AM125" s="1050"/>
      <c r="AN125" s="1050"/>
      <c r="AO125" s="1044"/>
      <c r="AP125" s="371" t="s">
        <v>1735</v>
      </c>
      <c r="AQ125" s="1044"/>
    </row>
    <row r="126" spans="1:43" ht="165">
      <c r="A126" s="437" t="s">
        <v>2009</v>
      </c>
      <c r="B126" s="761" t="s">
        <v>2010</v>
      </c>
      <c r="C126" s="1027">
        <f>J126+K126+L126+P126+Q126+R126+V126+W126+X126+AB126+AC126+AD126</f>
        <v>5</v>
      </c>
      <c r="D126" s="1051" t="s">
        <v>1932</v>
      </c>
      <c r="E126" s="1051" t="s">
        <v>2011</v>
      </c>
      <c r="F126" s="1051" t="s">
        <v>2012</v>
      </c>
      <c r="G126" s="751"/>
      <c r="H126" s="1052"/>
      <c r="I126" s="763"/>
      <c r="J126" s="1053"/>
      <c r="K126" s="1053"/>
      <c r="L126" s="1053"/>
      <c r="M126" s="1053"/>
      <c r="N126" s="1053"/>
      <c r="O126" s="1053"/>
      <c r="P126" s="1053"/>
      <c r="Q126" s="1053">
        <v>1</v>
      </c>
      <c r="R126" s="1053"/>
      <c r="S126" s="1053"/>
      <c r="T126" s="1053">
        <v>100000</v>
      </c>
      <c r="U126" s="1053"/>
      <c r="V126" s="1053">
        <v>1</v>
      </c>
      <c r="W126" s="1053"/>
      <c r="X126" s="1053">
        <v>1</v>
      </c>
      <c r="Y126" s="1054">
        <f>54165+2279</f>
        <v>56444</v>
      </c>
      <c r="Z126" s="1053"/>
      <c r="AA126" s="1053">
        <v>100000</v>
      </c>
      <c r="AB126" s="1053"/>
      <c r="AC126" s="1053"/>
      <c r="AD126" s="1053">
        <v>2</v>
      </c>
      <c r="AE126" s="1053"/>
      <c r="AF126" s="1053"/>
      <c r="AG126" s="1053">
        <v>350025</v>
      </c>
      <c r="AH126" s="799">
        <f t="shared" ref="AH126:AH129" si="112">SUM(M126+N126+O126+S126+T126+U126+Y126+Z126+AA126+AE126+AF126+AG126)</f>
        <v>606469</v>
      </c>
      <c r="AI126" s="1055">
        <f>AH126</f>
        <v>606469</v>
      </c>
      <c r="AJ126" s="1056"/>
      <c r="AK126" s="1057"/>
      <c r="AL126" s="1057"/>
      <c r="AM126" s="1057"/>
      <c r="AN126" s="1056"/>
      <c r="AO126" s="1051" t="s">
        <v>1745</v>
      </c>
      <c r="AP126" s="2087" t="s">
        <v>2013</v>
      </c>
      <c r="AQ126" s="1058" t="s">
        <v>2014</v>
      </c>
    </row>
    <row r="127" spans="1:43" ht="120">
      <c r="A127" s="437" t="s">
        <v>2015</v>
      </c>
      <c r="B127" s="761" t="s">
        <v>2016</v>
      </c>
      <c r="C127" s="1027">
        <f>J127+K127+L127+P127+Q127+R127+V127+W127+X127+AB127+AC127+AD127</f>
        <v>3</v>
      </c>
      <c r="D127" s="1051" t="s">
        <v>57</v>
      </c>
      <c r="E127" s="1051" t="s">
        <v>2017</v>
      </c>
      <c r="F127" s="1051" t="s">
        <v>57</v>
      </c>
      <c r="G127" s="751"/>
      <c r="H127" s="1052"/>
      <c r="I127" s="763"/>
      <c r="J127" s="1053"/>
      <c r="K127" s="1053"/>
      <c r="L127" s="1053"/>
      <c r="M127" s="1053"/>
      <c r="N127" s="1053"/>
      <c r="O127" s="1053"/>
      <c r="P127" s="1053"/>
      <c r="Q127" s="1053"/>
      <c r="R127" s="1053">
        <v>1</v>
      </c>
      <c r="S127" s="1053"/>
      <c r="T127" s="1053"/>
      <c r="U127" s="1053">
        <v>7000</v>
      </c>
      <c r="V127" s="1053"/>
      <c r="W127" s="1053">
        <v>1</v>
      </c>
      <c r="X127" s="1053"/>
      <c r="Y127" s="1053"/>
      <c r="Z127" s="1053">
        <v>7000</v>
      </c>
      <c r="AA127" s="1053"/>
      <c r="AB127" s="1053">
        <v>1</v>
      </c>
      <c r="AC127" s="1053"/>
      <c r="AD127" s="1053"/>
      <c r="AE127" s="1053">
        <v>8000</v>
      </c>
      <c r="AF127" s="1053"/>
      <c r="AG127" s="1053"/>
      <c r="AH127" s="799">
        <f t="shared" si="112"/>
        <v>22000</v>
      </c>
      <c r="AI127" s="1055">
        <f t="shared" ref="AI127:AI130" si="113">AH127</f>
        <v>22000</v>
      </c>
      <c r="AJ127" s="1056"/>
      <c r="AK127" s="1057"/>
      <c r="AL127" s="1057"/>
      <c r="AM127" s="1057"/>
      <c r="AN127" s="1056"/>
      <c r="AO127" s="1051"/>
      <c r="AP127" s="2088"/>
      <c r="AQ127" s="1058" t="s">
        <v>2018</v>
      </c>
    </row>
    <row r="128" spans="1:43" ht="90">
      <c r="A128" s="437" t="s">
        <v>2019</v>
      </c>
      <c r="B128" s="761" t="s">
        <v>2020</v>
      </c>
      <c r="C128" s="1027">
        <f>J128+K128+L128+P128+Q128+R128+V128+W128+X128+AB128+AC128+AD128</f>
        <v>941</v>
      </c>
      <c r="D128" s="1051" t="s">
        <v>2021</v>
      </c>
      <c r="E128" s="1051" t="s">
        <v>2022</v>
      </c>
      <c r="F128" s="1051" t="s">
        <v>2023</v>
      </c>
      <c r="G128" s="751"/>
      <c r="H128" s="1052"/>
      <c r="I128" s="763"/>
      <c r="J128" s="1053">
        <v>80</v>
      </c>
      <c r="K128" s="1053">
        <v>125</v>
      </c>
      <c r="L128" s="1053">
        <v>30</v>
      </c>
      <c r="M128" s="1053">
        <v>4900</v>
      </c>
      <c r="N128" s="1053">
        <v>7700</v>
      </c>
      <c r="O128" s="1053">
        <v>1900</v>
      </c>
      <c r="P128" s="1053">
        <v>30</v>
      </c>
      <c r="Q128" s="1053">
        <v>30</v>
      </c>
      <c r="R128" s="1053">
        <v>30</v>
      </c>
      <c r="S128" s="1053">
        <v>1900</v>
      </c>
      <c r="T128" s="1053">
        <v>1900</v>
      </c>
      <c r="U128" s="1053">
        <v>1900</v>
      </c>
      <c r="V128" s="1053">
        <v>76</v>
      </c>
      <c r="W128" s="1053">
        <v>220</v>
      </c>
      <c r="X128" s="1053">
        <v>220</v>
      </c>
      <c r="Y128" s="1053">
        <v>4650</v>
      </c>
      <c r="Z128" s="1053">
        <v>13420</v>
      </c>
      <c r="AA128" s="1053">
        <f>13420-150</f>
        <v>13270</v>
      </c>
      <c r="AB128" s="1053">
        <v>35</v>
      </c>
      <c r="AC128" s="1053">
        <v>35</v>
      </c>
      <c r="AD128" s="1053">
        <v>30</v>
      </c>
      <c r="AE128" s="1053">
        <v>2140</v>
      </c>
      <c r="AF128" s="1053">
        <v>2140</v>
      </c>
      <c r="AG128" s="1053">
        <v>1900</v>
      </c>
      <c r="AH128" s="799">
        <f t="shared" si="112"/>
        <v>57720</v>
      </c>
      <c r="AI128" s="1055">
        <f t="shared" si="113"/>
        <v>57720</v>
      </c>
      <c r="AJ128" s="1056"/>
      <c r="AK128" s="1057"/>
      <c r="AL128" s="1057"/>
      <c r="AM128" s="1057"/>
      <c r="AN128" s="1056"/>
      <c r="AO128" s="1051"/>
      <c r="AP128" s="2088"/>
      <c r="AQ128" s="1058" t="s">
        <v>2024</v>
      </c>
    </row>
    <row r="129" spans="1:43" ht="75">
      <c r="A129" s="437" t="s">
        <v>2025</v>
      </c>
      <c r="B129" s="761" t="s">
        <v>2026</v>
      </c>
      <c r="C129" s="1027">
        <f>J129+K129+L129+P129+Q129+R129+V129+W129+X129+AB129+AC129+AD129</f>
        <v>760</v>
      </c>
      <c r="D129" s="1051" t="s">
        <v>52</v>
      </c>
      <c r="E129" s="1051" t="s">
        <v>2027</v>
      </c>
      <c r="F129" s="1051" t="s">
        <v>1987</v>
      </c>
      <c r="G129" s="751"/>
      <c r="H129" s="1052"/>
      <c r="I129" s="763"/>
      <c r="J129" s="1053">
        <v>67</v>
      </c>
      <c r="K129" s="1053">
        <v>64</v>
      </c>
      <c r="L129" s="1053">
        <v>67</v>
      </c>
      <c r="M129" s="1053">
        <v>17500</v>
      </c>
      <c r="N129" s="1053">
        <v>16700</v>
      </c>
      <c r="O129" s="1053">
        <v>17500</v>
      </c>
      <c r="P129" s="1053">
        <v>55</v>
      </c>
      <c r="Q129" s="1053">
        <v>67</v>
      </c>
      <c r="R129" s="1053">
        <v>67</v>
      </c>
      <c r="S129" s="1053">
        <v>14300</v>
      </c>
      <c r="T129" s="1053">
        <v>17500</v>
      </c>
      <c r="U129" s="1053">
        <v>17500</v>
      </c>
      <c r="V129" s="1053">
        <v>67</v>
      </c>
      <c r="W129" s="1053">
        <v>55</v>
      </c>
      <c r="X129" s="1053">
        <v>67</v>
      </c>
      <c r="Y129" s="1053">
        <v>17500</v>
      </c>
      <c r="Z129" s="1053">
        <v>14300</v>
      </c>
      <c r="AA129" s="1053">
        <v>17500</v>
      </c>
      <c r="AB129" s="1053">
        <v>67</v>
      </c>
      <c r="AC129" s="1053">
        <v>67</v>
      </c>
      <c r="AD129" s="1053">
        <v>50</v>
      </c>
      <c r="AE129" s="1053">
        <v>17500</v>
      </c>
      <c r="AF129" s="1053">
        <v>17500</v>
      </c>
      <c r="AG129" s="1053">
        <v>13500</v>
      </c>
      <c r="AH129" s="799">
        <f t="shared" si="112"/>
        <v>198800</v>
      </c>
      <c r="AI129" s="1055">
        <f t="shared" si="113"/>
        <v>198800</v>
      </c>
      <c r="AJ129" s="1056"/>
      <c r="AK129" s="1057"/>
      <c r="AL129" s="1057"/>
      <c r="AM129" s="1057"/>
      <c r="AN129" s="1056"/>
      <c r="AO129" s="1051"/>
      <c r="AP129" s="2089"/>
      <c r="AQ129" s="1058" t="s">
        <v>2028</v>
      </c>
    </row>
    <row r="130" spans="1:43" ht="30">
      <c r="A130" s="1019" t="s">
        <v>2029</v>
      </c>
      <c r="B130" s="1036" t="s">
        <v>2030</v>
      </c>
      <c r="C130" s="1037"/>
      <c r="D130" s="1038"/>
      <c r="E130" s="1038"/>
      <c r="F130" s="1036"/>
      <c r="G130" s="1039"/>
      <c r="H130" s="734"/>
      <c r="I130" s="1039"/>
      <c r="J130" s="1040"/>
      <c r="K130" s="1040"/>
      <c r="L130" s="1040"/>
      <c r="M130" s="1041">
        <f>M131</f>
        <v>8150</v>
      </c>
      <c r="N130" s="1041">
        <f t="shared" ref="N130:O130" si="114">N131</f>
        <v>12730</v>
      </c>
      <c r="O130" s="1041">
        <f t="shared" si="114"/>
        <v>15200</v>
      </c>
      <c r="P130" s="1041"/>
      <c r="Q130" s="1041"/>
      <c r="R130" s="1041"/>
      <c r="S130" s="1041">
        <f>S131</f>
        <v>12730</v>
      </c>
      <c r="T130" s="1041">
        <f t="shared" ref="T130:U130" si="115">T131</f>
        <v>8150</v>
      </c>
      <c r="U130" s="1041">
        <f t="shared" si="115"/>
        <v>20478</v>
      </c>
      <c r="V130" s="1041"/>
      <c r="W130" s="1041"/>
      <c r="X130" s="1041"/>
      <c r="Y130" s="1041">
        <f>Y131</f>
        <v>29930</v>
      </c>
      <c r="Z130" s="1041">
        <f t="shared" ref="Z130:AA130" si="116">Z131</f>
        <v>13429</v>
      </c>
      <c r="AA130" s="1041">
        <f t="shared" si="116"/>
        <v>19780</v>
      </c>
      <c r="AB130" s="1041"/>
      <c r="AC130" s="1041"/>
      <c r="AD130" s="1041"/>
      <c r="AE130" s="1041">
        <f>AE131</f>
        <v>11150</v>
      </c>
      <c r="AF130" s="1041">
        <f t="shared" ref="AF130:AG130" si="117">AF131</f>
        <v>20392</v>
      </c>
      <c r="AG130" s="1041">
        <f t="shared" si="117"/>
        <v>9730</v>
      </c>
      <c r="AH130" s="1042">
        <f>AH131</f>
        <v>181849</v>
      </c>
      <c r="AI130" s="1042">
        <f t="shared" si="113"/>
        <v>181849</v>
      </c>
      <c r="AJ130" s="1043"/>
      <c r="AK130" s="1043"/>
      <c r="AL130" s="1043"/>
      <c r="AM130" s="1043"/>
      <c r="AN130" s="1043"/>
      <c r="AO130" s="1036"/>
      <c r="AP130" s="363" t="s">
        <v>1735</v>
      </c>
      <c r="AQ130" s="1036"/>
    </row>
    <row r="131" spans="1:43" ht="75">
      <c r="A131" s="428" t="s">
        <v>2031</v>
      </c>
      <c r="B131" s="893" t="s">
        <v>2032</v>
      </c>
      <c r="C131" s="1023"/>
      <c r="D131" s="893"/>
      <c r="E131" s="893"/>
      <c r="F131" s="893"/>
      <c r="G131" s="1024"/>
      <c r="H131" s="1024"/>
      <c r="I131" s="1024"/>
      <c r="J131" s="1025"/>
      <c r="K131" s="1025"/>
      <c r="L131" s="1025"/>
      <c r="M131" s="1026">
        <f>SUM(M132:M144)</f>
        <v>8150</v>
      </c>
      <c r="N131" s="1026">
        <f t="shared" ref="N131:O131" si="118">SUM(N132:N144)</f>
        <v>12730</v>
      </c>
      <c r="O131" s="1026">
        <f t="shared" si="118"/>
        <v>15200</v>
      </c>
      <c r="P131" s="1026"/>
      <c r="Q131" s="1026"/>
      <c r="R131" s="1026"/>
      <c r="S131" s="1026">
        <f>SUM(S132:S144)</f>
        <v>12730</v>
      </c>
      <c r="T131" s="1026">
        <f t="shared" ref="T131:U131" si="119">SUM(T132:T144)</f>
        <v>8150</v>
      </c>
      <c r="U131" s="1026">
        <f t="shared" si="119"/>
        <v>20478</v>
      </c>
      <c r="V131" s="1026"/>
      <c r="W131" s="1026"/>
      <c r="X131" s="1026"/>
      <c r="Y131" s="1026">
        <f>SUM(Y132:Y144)</f>
        <v>29930</v>
      </c>
      <c r="Z131" s="1026">
        <f t="shared" ref="Z131:AA131" si="120">SUM(Z132:Z144)</f>
        <v>13429</v>
      </c>
      <c r="AA131" s="1026">
        <f t="shared" si="120"/>
        <v>19780</v>
      </c>
      <c r="AB131" s="1026"/>
      <c r="AC131" s="1026"/>
      <c r="AD131" s="1026"/>
      <c r="AE131" s="1026">
        <f>SUM(AE132:AE144)</f>
        <v>11150</v>
      </c>
      <c r="AF131" s="1026">
        <f t="shared" ref="AF131:AG131" si="121">SUM(AF132:AF144)</f>
        <v>20392</v>
      </c>
      <c r="AG131" s="1026">
        <f t="shared" si="121"/>
        <v>9730</v>
      </c>
      <c r="AH131" s="793">
        <f>SUM(M131:AG131)</f>
        <v>181849</v>
      </c>
      <c r="AI131" s="1026">
        <f>AH131</f>
        <v>181849</v>
      </c>
      <c r="AJ131" s="892"/>
      <c r="AK131" s="892"/>
      <c r="AL131" s="892"/>
      <c r="AM131" s="892"/>
      <c r="AN131" s="892"/>
      <c r="AO131" s="893"/>
      <c r="AP131" s="371" t="s">
        <v>1735</v>
      </c>
      <c r="AQ131" s="893"/>
    </row>
    <row r="132" spans="1:43" ht="135">
      <c r="A132" s="2090" t="s">
        <v>2033</v>
      </c>
      <c r="B132" s="2093" t="s">
        <v>2034</v>
      </c>
      <c r="C132" s="1027">
        <f t="shared" ref="C132:C143" si="122">J132+K132+L132+P132+Q132+R132+V132+W132+X132+AB132+AC132+AD132</f>
        <v>6</v>
      </c>
      <c r="D132" s="1059" t="s">
        <v>805</v>
      </c>
      <c r="E132" s="1059" t="s">
        <v>2035</v>
      </c>
      <c r="F132" s="1059" t="s">
        <v>805</v>
      </c>
      <c r="G132" s="1060">
        <f t="shared" ref="G132:G145" si="123">AH132/AH$153*100</f>
        <v>0.11559901960342359</v>
      </c>
      <c r="H132" s="751"/>
      <c r="I132" s="763"/>
      <c r="J132" s="800"/>
      <c r="K132" s="800">
        <v>1</v>
      </c>
      <c r="L132" s="800"/>
      <c r="M132" s="800"/>
      <c r="N132" s="800">
        <v>5000</v>
      </c>
      <c r="O132" s="800"/>
      <c r="P132" s="800">
        <v>1</v>
      </c>
      <c r="Q132" s="800"/>
      <c r="R132" s="800">
        <v>1</v>
      </c>
      <c r="S132" s="800">
        <v>5000</v>
      </c>
      <c r="T132" s="800"/>
      <c r="U132" s="800">
        <v>5000</v>
      </c>
      <c r="V132" s="800">
        <v>1</v>
      </c>
      <c r="W132" s="800"/>
      <c r="X132" s="800">
        <v>1</v>
      </c>
      <c r="Y132" s="800">
        <v>5000</v>
      </c>
      <c r="Z132" s="800"/>
      <c r="AA132" s="800">
        <v>5000</v>
      </c>
      <c r="AB132" s="799">
        <v>1</v>
      </c>
      <c r="AC132" s="799"/>
      <c r="AD132" s="799"/>
      <c r="AE132" s="800">
        <v>5000</v>
      </c>
      <c r="AF132" s="800"/>
      <c r="AG132" s="800"/>
      <c r="AH132" s="799">
        <f t="shared" ref="AH132:AH133" si="124">SUM(M132+N132+O132+S132+T132+U132+Y132+Z132+AA132+AE132+AF132+AG132)</f>
        <v>30000</v>
      </c>
      <c r="AI132" s="800">
        <f>AH132</f>
        <v>30000</v>
      </c>
      <c r="AJ132" s="1061"/>
      <c r="AK132" s="986"/>
      <c r="AL132" s="986"/>
      <c r="AM132" s="986"/>
      <c r="AN132" s="2096"/>
      <c r="AO132" s="917" t="s">
        <v>1745</v>
      </c>
      <c r="AP132" s="1062" t="s">
        <v>2036</v>
      </c>
      <c r="AQ132" s="917"/>
    </row>
    <row r="133" spans="1:43" ht="75">
      <c r="A133" s="2091"/>
      <c r="B133" s="2094"/>
      <c r="C133" s="1027">
        <f t="shared" si="122"/>
        <v>6</v>
      </c>
      <c r="D133" s="1059" t="s">
        <v>2037</v>
      </c>
      <c r="E133" s="1059" t="s">
        <v>2038</v>
      </c>
      <c r="F133" s="1059" t="s">
        <v>2037</v>
      </c>
      <c r="G133" s="1060">
        <f t="shared" si="123"/>
        <v>4.6239607841369434E-2</v>
      </c>
      <c r="H133" s="751"/>
      <c r="I133" s="763"/>
      <c r="J133" s="800">
        <v>1</v>
      </c>
      <c r="K133" s="800"/>
      <c r="L133" s="800">
        <v>1</v>
      </c>
      <c r="M133" s="800">
        <v>2000</v>
      </c>
      <c r="N133" s="800"/>
      <c r="O133" s="800">
        <v>2000</v>
      </c>
      <c r="P133" s="800"/>
      <c r="Q133" s="800">
        <v>1</v>
      </c>
      <c r="R133" s="800"/>
      <c r="S133" s="800"/>
      <c r="T133" s="800">
        <v>2000</v>
      </c>
      <c r="U133" s="800"/>
      <c r="V133" s="800"/>
      <c r="W133" s="800">
        <v>1</v>
      </c>
      <c r="X133" s="800"/>
      <c r="Y133" s="800"/>
      <c r="Z133" s="800">
        <v>2000</v>
      </c>
      <c r="AA133" s="800"/>
      <c r="AB133" s="799"/>
      <c r="AC133" s="799">
        <v>1</v>
      </c>
      <c r="AD133" s="799">
        <v>1</v>
      </c>
      <c r="AE133" s="799"/>
      <c r="AF133" s="800">
        <v>2000</v>
      </c>
      <c r="AG133" s="800">
        <v>2000</v>
      </c>
      <c r="AH133" s="799">
        <f t="shared" si="124"/>
        <v>12000</v>
      </c>
      <c r="AI133" s="800">
        <f t="shared" ref="AI133" si="125">AH133</f>
        <v>12000</v>
      </c>
      <c r="AJ133" s="1061"/>
      <c r="AK133" s="986"/>
      <c r="AL133" s="986"/>
      <c r="AM133" s="986"/>
      <c r="AN133" s="2096"/>
      <c r="AO133" s="917"/>
      <c r="AP133" s="1062"/>
      <c r="AQ133" s="917"/>
    </row>
    <row r="134" spans="1:43" ht="27.6">
      <c r="A134" s="2092"/>
      <c r="B134" s="2095"/>
      <c r="C134" s="1063">
        <f t="shared" si="122"/>
        <v>1</v>
      </c>
      <c r="D134" s="1064" t="s">
        <v>57</v>
      </c>
      <c r="E134" s="1064" t="s">
        <v>2039</v>
      </c>
      <c r="F134" s="1064" t="s">
        <v>57</v>
      </c>
      <c r="G134" s="1060">
        <f t="shared" si="123"/>
        <v>1.1559901960342359E-2</v>
      </c>
      <c r="H134" s="751"/>
      <c r="I134" s="763"/>
      <c r="J134" s="800"/>
      <c r="K134" s="800"/>
      <c r="L134" s="800"/>
      <c r="M134" s="800"/>
      <c r="N134" s="800"/>
      <c r="O134" s="800"/>
      <c r="P134" s="800"/>
      <c r="Q134" s="800"/>
      <c r="R134" s="800"/>
      <c r="S134" s="800"/>
      <c r="T134" s="800"/>
      <c r="U134" s="800"/>
      <c r="V134" s="800"/>
      <c r="W134" s="800">
        <v>1</v>
      </c>
      <c r="X134" s="800"/>
      <c r="Y134" s="800"/>
      <c r="Z134" s="800">
        <v>3000</v>
      </c>
      <c r="AA134" s="800"/>
      <c r="AB134" s="799"/>
      <c r="AC134" s="799"/>
      <c r="AD134" s="799"/>
      <c r="AE134" s="799"/>
      <c r="AF134" s="800"/>
      <c r="AG134" s="800"/>
      <c r="AH134" s="799">
        <f>SUM(M134+N134+O134+S134+T134+U134+Y134+Z134+AA134+AE134+AF134+AG134)</f>
        <v>3000</v>
      </c>
      <c r="AI134" s="800">
        <f>AH134</f>
        <v>3000</v>
      </c>
      <c r="AJ134" s="1061"/>
      <c r="AK134" s="986"/>
      <c r="AL134" s="986"/>
      <c r="AM134" s="986"/>
      <c r="AN134" s="986"/>
      <c r="AO134" s="917"/>
      <c r="AP134" s="1062"/>
      <c r="AQ134" s="917"/>
    </row>
    <row r="135" spans="1:43" ht="90">
      <c r="A135" s="437" t="s">
        <v>2040</v>
      </c>
      <c r="B135" s="1059" t="s">
        <v>2041</v>
      </c>
      <c r="C135" s="810">
        <f t="shared" si="122"/>
        <v>60</v>
      </c>
      <c r="D135" s="1059" t="s">
        <v>944</v>
      </c>
      <c r="E135" s="1059" t="s">
        <v>2042</v>
      </c>
      <c r="F135" s="1059" t="s">
        <v>2043</v>
      </c>
      <c r="G135" s="1060">
        <f t="shared" si="123"/>
        <v>0.29185669809341697</v>
      </c>
      <c r="H135" s="751"/>
      <c r="I135" s="763"/>
      <c r="J135" s="800">
        <v>5</v>
      </c>
      <c r="K135" s="800">
        <v>5</v>
      </c>
      <c r="L135" s="800">
        <v>5</v>
      </c>
      <c r="M135" s="800">
        <v>6000</v>
      </c>
      <c r="N135" s="800">
        <v>6000</v>
      </c>
      <c r="O135" s="800">
        <v>6000</v>
      </c>
      <c r="P135" s="800">
        <v>5</v>
      </c>
      <c r="Q135" s="800">
        <v>5</v>
      </c>
      <c r="R135" s="800">
        <v>5</v>
      </c>
      <c r="S135" s="800">
        <v>6000</v>
      </c>
      <c r="T135" s="800">
        <v>6000</v>
      </c>
      <c r="U135" s="800">
        <v>6000</v>
      </c>
      <c r="V135" s="800">
        <v>5</v>
      </c>
      <c r="W135" s="800">
        <v>5</v>
      </c>
      <c r="X135" s="800">
        <v>5</v>
      </c>
      <c r="Y135" s="800">
        <v>6000</v>
      </c>
      <c r="Z135" s="800">
        <v>6000</v>
      </c>
      <c r="AA135" s="800">
        <v>6000</v>
      </c>
      <c r="AB135" s="800">
        <v>5</v>
      </c>
      <c r="AC135" s="800">
        <v>5</v>
      </c>
      <c r="AD135" s="800">
        <v>5</v>
      </c>
      <c r="AE135" s="800">
        <v>6000</v>
      </c>
      <c r="AF135" s="800">
        <f>6000+3742</f>
        <v>9742</v>
      </c>
      <c r="AG135" s="800">
        <v>6000</v>
      </c>
      <c r="AH135" s="799">
        <f t="shared" ref="AH135:AH144" si="126">SUM(M135+N135+O135+S135+T135+U135+Y135+Z135+AA135+AE135+AF135+AG135)</f>
        <v>75742</v>
      </c>
      <c r="AI135" s="800">
        <f t="shared" ref="AI135:AI145" si="127">AH135</f>
        <v>75742</v>
      </c>
      <c r="AJ135" s="982"/>
      <c r="AK135" s="546"/>
      <c r="AL135" s="546"/>
      <c r="AM135" s="546"/>
      <c r="AN135" s="546"/>
      <c r="AO135" s="917"/>
      <c r="AP135" s="1062" t="s">
        <v>2044</v>
      </c>
      <c r="AQ135" s="917"/>
    </row>
    <row r="136" spans="1:43" ht="45">
      <c r="A136" s="437" t="s">
        <v>2045</v>
      </c>
      <c r="B136" s="1059" t="s">
        <v>2046</v>
      </c>
      <c r="C136" s="1027">
        <f t="shared" si="122"/>
        <v>12</v>
      </c>
      <c r="D136" s="1059" t="s">
        <v>52</v>
      </c>
      <c r="E136" s="1059" t="s">
        <v>2047</v>
      </c>
      <c r="F136" s="1059" t="s">
        <v>2048</v>
      </c>
      <c r="G136" s="1060">
        <f t="shared" si="123"/>
        <v>6.935941176205415E-3</v>
      </c>
      <c r="H136" s="751"/>
      <c r="I136" s="763"/>
      <c r="J136" s="800">
        <v>1</v>
      </c>
      <c r="K136" s="800">
        <v>1</v>
      </c>
      <c r="L136" s="800">
        <v>1</v>
      </c>
      <c r="M136" s="800">
        <v>150</v>
      </c>
      <c r="N136" s="800">
        <v>150</v>
      </c>
      <c r="O136" s="800">
        <v>150</v>
      </c>
      <c r="P136" s="800">
        <v>1</v>
      </c>
      <c r="Q136" s="800">
        <v>1</v>
      </c>
      <c r="R136" s="800">
        <v>1</v>
      </c>
      <c r="S136" s="800">
        <v>150</v>
      </c>
      <c r="T136" s="800">
        <v>150</v>
      </c>
      <c r="U136" s="800">
        <v>150</v>
      </c>
      <c r="V136" s="800">
        <v>1</v>
      </c>
      <c r="W136" s="800">
        <v>1</v>
      </c>
      <c r="X136" s="800">
        <v>1</v>
      </c>
      <c r="Y136" s="800">
        <v>150</v>
      </c>
      <c r="Z136" s="800">
        <v>150</v>
      </c>
      <c r="AA136" s="800">
        <v>150</v>
      </c>
      <c r="AB136" s="800">
        <v>1</v>
      </c>
      <c r="AC136" s="800">
        <v>1</v>
      </c>
      <c r="AD136" s="800">
        <v>1</v>
      </c>
      <c r="AE136" s="800">
        <v>150</v>
      </c>
      <c r="AF136" s="800">
        <v>150</v>
      </c>
      <c r="AG136" s="800">
        <v>150</v>
      </c>
      <c r="AH136" s="799">
        <f t="shared" si="126"/>
        <v>1800</v>
      </c>
      <c r="AI136" s="800">
        <f t="shared" si="127"/>
        <v>1800</v>
      </c>
      <c r="AJ136" s="982"/>
      <c r="AK136" s="546"/>
      <c r="AL136" s="546"/>
      <c r="AM136" s="546"/>
      <c r="AN136" s="546"/>
      <c r="AO136" s="917"/>
      <c r="AP136" s="1062"/>
      <c r="AQ136" s="917"/>
    </row>
    <row r="137" spans="1:43" ht="120">
      <c r="A137" s="437" t="s">
        <v>2049</v>
      </c>
      <c r="B137" s="1059" t="s">
        <v>2050</v>
      </c>
      <c r="C137" s="1065">
        <f t="shared" si="122"/>
        <v>1</v>
      </c>
      <c r="D137" s="1059" t="s">
        <v>2051</v>
      </c>
      <c r="E137" s="1059" t="s">
        <v>2052</v>
      </c>
      <c r="F137" s="1059" t="s">
        <v>2053</v>
      </c>
      <c r="G137" s="1060">
        <f t="shared" si="123"/>
        <v>6.6276771239296192E-2</v>
      </c>
      <c r="H137" s="751"/>
      <c r="I137" s="763"/>
      <c r="J137" s="800"/>
      <c r="K137" s="800"/>
      <c r="L137" s="800"/>
      <c r="M137" s="800"/>
      <c r="N137" s="800"/>
      <c r="O137" s="800"/>
      <c r="P137" s="800"/>
      <c r="Q137" s="800"/>
      <c r="R137" s="800"/>
      <c r="S137" s="800"/>
      <c r="T137" s="800"/>
      <c r="U137" s="800"/>
      <c r="V137" s="800">
        <v>1</v>
      </c>
      <c r="W137" s="800"/>
      <c r="X137" s="800"/>
      <c r="Y137" s="800">
        <v>17200</v>
      </c>
      <c r="Z137" s="800"/>
      <c r="AA137" s="800"/>
      <c r="AB137" s="799"/>
      <c r="AC137" s="799"/>
      <c r="AD137" s="799"/>
      <c r="AE137" s="799"/>
      <c r="AF137" s="800"/>
      <c r="AG137" s="800"/>
      <c r="AH137" s="799">
        <f t="shared" si="126"/>
        <v>17200</v>
      </c>
      <c r="AI137" s="800">
        <f t="shared" si="127"/>
        <v>17200</v>
      </c>
      <c r="AJ137" s="982"/>
      <c r="AK137" s="546"/>
      <c r="AL137" s="546"/>
      <c r="AM137" s="546"/>
      <c r="AN137" s="546"/>
      <c r="AO137" s="917"/>
      <c r="AP137" s="1062" t="s">
        <v>2054</v>
      </c>
      <c r="AQ137" s="917"/>
    </row>
    <row r="138" spans="1:43" ht="120">
      <c r="A138" s="2097" t="s">
        <v>2055</v>
      </c>
      <c r="B138" s="2100" t="s">
        <v>2056</v>
      </c>
      <c r="C138" s="810">
        <f t="shared" si="122"/>
        <v>6</v>
      </c>
      <c r="D138" s="1059" t="s">
        <v>1021</v>
      </c>
      <c r="E138" s="1059" t="s">
        <v>2057</v>
      </c>
      <c r="F138" s="1059" t="s">
        <v>2058</v>
      </c>
      <c r="G138" s="1060">
        <f t="shared" si="123"/>
        <v>1.8495843136547774E-2</v>
      </c>
      <c r="H138" s="751"/>
      <c r="I138" s="763"/>
      <c r="J138" s="800"/>
      <c r="K138" s="800">
        <v>1</v>
      </c>
      <c r="L138" s="800"/>
      <c r="M138" s="1033"/>
      <c r="N138" s="800">
        <v>800</v>
      </c>
      <c r="O138" s="800"/>
      <c r="P138" s="800">
        <v>1</v>
      </c>
      <c r="Q138" s="800"/>
      <c r="R138" s="800"/>
      <c r="S138" s="800">
        <v>800</v>
      </c>
      <c r="T138" s="800"/>
      <c r="U138" s="800"/>
      <c r="V138" s="800">
        <v>1</v>
      </c>
      <c r="W138" s="800"/>
      <c r="X138" s="800">
        <v>1</v>
      </c>
      <c r="Y138" s="800">
        <v>800</v>
      </c>
      <c r="Z138" s="800"/>
      <c r="AA138" s="800">
        <v>800</v>
      </c>
      <c r="AB138" s="799"/>
      <c r="AC138" s="799">
        <v>1</v>
      </c>
      <c r="AD138" s="799">
        <v>1</v>
      </c>
      <c r="AE138" s="799"/>
      <c r="AF138" s="800">
        <v>800</v>
      </c>
      <c r="AG138" s="800">
        <v>800</v>
      </c>
      <c r="AH138" s="799">
        <f t="shared" si="126"/>
        <v>4800</v>
      </c>
      <c r="AI138" s="800">
        <f t="shared" si="127"/>
        <v>4800</v>
      </c>
      <c r="AJ138" s="982"/>
      <c r="AK138" s="546"/>
      <c r="AL138" s="546"/>
      <c r="AM138" s="546"/>
      <c r="AN138" s="546"/>
      <c r="AO138" s="917"/>
      <c r="AP138" s="1062" t="s">
        <v>2059</v>
      </c>
      <c r="AQ138" s="917"/>
    </row>
    <row r="139" spans="1:43" ht="17.399999999999999">
      <c r="A139" s="2098"/>
      <c r="B139" s="2100"/>
      <c r="C139" s="810">
        <f t="shared" si="122"/>
        <v>72</v>
      </c>
      <c r="D139" s="1059" t="s">
        <v>419</v>
      </c>
      <c r="E139" s="2100" t="s">
        <v>2060</v>
      </c>
      <c r="F139" s="2100" t="s">
        <v>2061</v>
      </c>
      <c r="G139" s="1060">
        <f t="shared" si="123"/>
        <v>1.1097505881928664E-2</v>
      </c>
      <c r="H139" s="751"/>
      <c r="I139" s="763"/>
      <c r="J139" s="800"/>
      <c r="K139" s="800">
        <v>12</v>
      </c>
      <c r="L139" s="800"/>
      <c r="M139" s="800"/>
      <c r="N139" s="800">
        <v>480</v>
      </c>
      <c r="O139" s="800"/>
      <c r="P139" s="800">
        <v>12</v>
      </c>
      <c r="Q139" s="800"/>
      <c r="R139" s="800"/>
      <c r="S139" s="800">
        <v>480</v>
      </c>
      <c r="T139" s="800"/>
      <c r="U139" s="800"/>
      <c r="V139" s="800">
        <v>12</v>
      </c>
      <c r="W139" s="800"/>
      <c r="X139" s="800">
        <v>12</v>
      </c>
      <c r="Y139" s="800">
        <v>480</v>
      </c>
      <c r="Z139" s="800"/>
      <c r="AA139" s="800">
        <v>480</v>
      </c>
      <c r="AB139" s="800"/>
      <c r="AC139" s="800">
        <v>12</v>
      </c>
      <c r="AD139" s="800">
        <v>12</v>
      </c>
      <c r="AE139" s="800"/>
      <c r="AF139" s="800">
        <v>480</v>
      </c>
      <c r="AG139" s="800">
        <v>480</v>
      </c>
      <c r="AH139" s="799">
        <f t="shared" si="126"/>
        <v>2880</v>
      </c>
      <c r="AI139" s="800">
        <f t="shared" si="127"/>
        <v>2880</v>
      </c>
      <c r="AJ139" s="982"/>
      <c r="AK139" s="546"/>
      <c r="AL139" s="546"/>
      <c r="AM139" s="546"/>
      <c r="AN139" s="546"/>
      <c r="AO139" s="917"/>
      <c r="AP139" s="1062"/>
      <c r="AQ139" s="917"/>
    </row>
    <row r="140" spans="1:43" ht="17.399999999999999">
      <c r="A140" s="2099"/>
      <c r="B140" s="2100"/>
      <c r="C140" s="810">
        <f t="shared" si="122"/>
        <v>36</v>
      </c>
      <c r="D140" s="1059" t="s">
        <v>424</v>
      </c>
      <c r="E140" s="2100"/>
      <c r="F140" s="2100"/>
      <c r="G140" s="1060">
        <f t="shared" si="123"/>
        <v>6.935941176205415E-3</v>
      </c>
      <c r="H140" s="751"/>
      <c r="I140" s="763"/>
      <c r="J140" s="800"/>
      <c r="K140" s="800">
        <v>6</v>
      </c>
      <c r="L140" s="800"/>
      <c r="M140" s="800"/>
      <c r="N140" s="800">
        <v>300</v>
      </c>
      <c r="O140" s="800"/>
      <c r="P140" s="800">
        <v>6</v>
      </c>
      <c r="Q140" s="800"/>
      <c r="R140" s="800"/>
      <c r="S140" s="800">
        <v>300</v>
      </c>
      <c r="T140" s="800"/>
      <c r="U140" s="800"/>
      <c r="V140" s="800">
        <v>6</v>
      </c>
      <c r="W140" s="800"/>
      <c r="X140" s="800">
        <v>6</v>
      </c>
      <c r="Y140" s="800">
        <v>300</v>
      </c>
      <c r="Z140" s="800"/>
      <c r="AA140" s="800">
        <v>300</v>
      </c>
      <c r="AB140" s="800"/>
      <c r="AC140" s="800">
        <v>6</v>
      </c>
      <c r="AD140" s="800">
        <v>6</v>
      </c>
      <c r="AE140" s="800"/>
      <c r="AF140" s="800">
        <v>300</v>
      </c>
      <c r="AG140" s="800">
        <v>300</v>
      </c>
      <c r="AH140" s="799">
        <f t="shared" si="126"/>
        <v>1800</v>
      </c>
      <c r="AI140" s="800">
        <f t="shared" si="127"/>
        <v>1800</v>
      </c>
      <c r="AJ140" s="982"/>
      <c r="AK140" s="546"/>
      <c r="AL140" s="546"/>
      <c r="AM140" s="546"/>
      <c r="AN140" s="546"/>
      <c r="AO140" s="917"/>
      <c r="AP140" s="1062"/>
      <c r="AQ140" s="917"/>
    </row>
    <row r="141" spans="1:43" ht="150">
      <c r="A141" s="1066" t="s">
        <v>2062</v>
      </c>
      <c r="B141" s="1059" t="s">
        <v>2063</v>
      </c>
      <c r="C141" s="1065">
        <f t="shared" si="122"/>
        <v>4</v>
      </c>
      <c r="D141" s="1059" t="s">
        <v>57</v>
      </c>
      <c r="E141" s="1059" t="s">
        <v>2064</v>
      </c>
      <c r="F141" s="1059" t="s">
        <v>2065</v>
      </c>
      <c r="G141" s="1060">
        <f t="shared" si="123"/>
        <v>0.10816214934227002</v>
      </c>
      <c r="H141" s="751"/>
      <c r="I141" s="763"/>
      <c r="J141" s="800"/>
      <c r="K141" s="800"/>
      <c r="L141" s="800">
        <v>1</v>
      </c>
      <c r="M141" s="800"/>
      <c r="N141" s="800"/>
      <c r="O141" s="800">
        <f>6250+800</f>
        <v>7050</v>
      </c>
      <c r="P141" s="800"/>
      <c r="Q141" s="800"/>
      <c r="R141" s="800">
        <v>1</v>
      </c>
      <c r="S141" s="800"/>
      <c r="T141" s="800"/>
      <c r="U141" s="800">
        <f>6250+800</f>
        <v>7050</v>
      </c>
      <c r="V141" s="800"/>
      <c r="W141" s="800"/>
      <c r="X141" s="800">
        <v>1</v>
      </c>
      <c r="Y141" s="800"/>
      <c r="Z141" s="800"/>
      <c r="AA141" s="800">
        <f>6250+800</f>
        <v>7050</v>
      </c>
      <c r="AB141" s="799"/>
      <c r="AC141" s="799">
        <v>1</v>
      </c>
      <c r="AD141" s="799"/>
      <c r="AE141" s="799"/>
      <c r="AF141" s="800">
        <f>6250+638-570+3000+2-800-800-800</f>
        <v>6920</v>
      </c>
      <c r="AG141" s="800"/>
      <c r="AH141" s="799">
        <f t="shared" si="126"/>
        <v>28070</v>
      </c>
      <c r="AI141" s="800">
        <f t="shared" si="127"/>
        <v>28070</v>
      </c>
      <c r="AJ141" s="982"/>
      <c r="AK141" s="546"/>
      <c r="AL141" s="546"/>
      <c r="AM141" s="546"/>
      <c r="AN141" s="546"/>
      <c r="AO141" s="917"/>
      <c r="AP141" s="1062" t="s">
        <v>2066</v>
      </c>
      <c r="AQ141" s="917"/>
    </row>
    <row r="142" spans="1:43" ht="105">
      <c r="A142" s="627" t="s">
        <v>2067</v>
      </c>
      <c r="B142" s="1067" t="s">
        <v>2068</v>
      </c>
      <c r="C142" s="1065">
        <f t="shared" si="122"/>
        <v>0</v>
      </c>
      <c r="D142" s="1066" t="s">
        <v>52</v>
      </c>
      <c r="E142" s="1066" t="s">
        <v>2069</v>
      </c>
      <c r="F142" s="1066" t="s">
        <v>309</v>
      </c>
      <c r="G142" s="1060">
        <f t="shared" si="123"/>
        <v>0</v>
      </c>
      <c r="H142" s="751"/>
      <c r="I142" s="763"/>
      <c r="J142" s="800"/>
      <c r="K142" s="800"/>
      <c r="L142" s="800"/>
      <c r="M142" s="800"/>
      <c r="N142" s="800"/>
      <c r="O142" s="800"/>
      <c r="P142" s="800"/>
      <c r="Q142" s="800"/>
      <c r="R142" s="800"/>
      <c r="S142" s="800"/>
      <c r="T142" s="800"/>
      <c r="U142" s="800"/>
      <c r="V142" s="800"/>
      <c r="W142" s="800"/>
      <c r="X142" s="800"/>
      <c r="Y142" s="800"/>
      <c r="Z142" s="800"/>
      <c r="AA142" s="800"/>
      <c r="AB142" s="799"/>
      <c r="AC142" s="799"/>
      <c r="AD142" s="799"/>
      <c r="AE142" s="799"/>
      <c r="AF142" s="800"/>
      <c r="AG142" s="800"/>
      <c r="AH142" s="799">
        <f t="shared" si="126"/>
        <v>0</v>
      </c>
      <c r="AI142" s="800">
        <f t="shared" si="127"/>
        <v>0</v>
      </c>
      <c r="AJ142" s="982"/>
      <c r="AK142" s="546"/>
      <c r="AL142" s="546"/>
      <c r="AM142" s="546"/>
      <c r="AN142" s="546"/>
      <c r="AO142" s="917"/>
      <c r="AP142" s="1062" t="s">
        <v>2070</v>
      </c>
      <c r="AQ142" s="917"/>
    </row>
    <row r="143" spans="1:43" ht="45">
      <c r="A143" s="2101" t="s">
        <v>2062</v>
      </c>
      <c r="B143" s="2103" t="s">
        <v>2071</v>
      </c>
      <c r="C143" s="1065">
        <f t="shared" si="122"/>
        <v>1</v>
      </c>
      <c r="D143" s="1066" t="s">
        <v>57</v>
      </c>
      <c r="E143" s="1066" t="s">
        <v>2072</v>
      </c>
      <c r="F143" s="1066" t="s">
        <v>2073</v>
      </c>
      <c r="G143" s="1060">
        <f t="shared" si="123"/>
        <v>8.7778188885532966E-3</v>
      </c>
      <c r="H143" s="751"/>
      <c r="I143" s="763"/>
      <c r="J143" s="1068"/>
      <c r="K143" s="1068"/>
      <c r="L143" s="1068"/>
      <c r="M143" s="1068"/>
      <c r="N143" s="1068"/>
      <c r="O143" s="1068"/>
      <c r="P143" s="1068"/>
      <c r="Q143" s="800"/>
      <c r="R143" s="800">
        <v>1</v>
      </c>
      <c r="S143" s="800"/>
      <c r="T143" s="800"/>
      <c r="U143" s="800">
        <v>2278</v>
      </c>
      <c r="V143" s="800"/>
      <c r="W143" s="800"/>
      <c r="X143" s="800"/>
      <c r="Y143" s="800"/>
      <c r="Z143" s="800"/>
      <c r="AA143" s="800"/>
      <c r="AB143" s="799"/>
      <c r="AC143" s="799"/>
      <c r="AD143" s="1069"/>
      <c r="AE143" s="1069"/>
      <c r="AF143" s="1068"/>
      <c r="AG143" s="1068"/>
      <c r="AH143" s="799">
        <f t="shared" si="126"/>
        <v>2278</v>
      </c>
      <c r="AI143" s="800">
        <f t="shared" si="127"/>
        <v>2278</v>
      </c>
      <c r="AJ143" s="982"/>
      <c r="AK143" s="546"/>
      <c r="AL143" s="546"/>
      <c r="AM143" s="546"/>
      <c r="AN143" s="546"/>
      <c r="AO143" s="917"/>
      <c r="AP143" s="1062" t="s">
        <v>2074</v>
      </c>
      <c r="AQ143" s="917"/>
    </row>
    <row r="144" spans="1:43" ht="60">
      <c r="A144" s="2102"/>
      <c r="B144" s="2104"/>
      <c r="C144" s="1065">
        <f>J144+K144+L144+P144+Q144+R144+V144+W144+X144+AB144+AC144+AD144</f>
        <v>1</v>
      </c>
      <c r="D144" s="1066" t="s">
        <v>57</v>
      </c>
      <c r="E144" s="1066" t="s">
        <v>2075</v>
      </c>
      <c r="F144" s="1066" t="s">
        <v>2073</v>
      </c>
      <c r="G144" s="1060">
        <f t="shared" si="123"/>
        <v>8.7816721892067448E-3</v>
      </c>
      <c r="H144" s="751"/>
      <c r="I144" s="763"/>
      <c r="J144" s="1068"/>
      <c r="K144" s="1068"/>
      <c r="L144" s="1068"/>
      <c r="M144" s="1068"/>
      <c r="N144" s="1068"/>
      <c r="O144" s="1068"/>
      <c r="P144" s="1068"/>
      <c r="Q144" s="800"/>
      <c r="R144" s="800"/>
      <c r="S144" s="800"/>
      <c r="T144" s="800"/>
      <c r="U144" s="800"/>
      <c r="V144" s="800"/>
      <c r="W144" s="800">
        <v>1</v>
      </c>
      <c r="X144" s="800"/>
      <c r="Y144" s="800"/>
      <c r="Z144" s="800">
        <v>2279</v>
      </c>
      <c r="AA144" s="800"/>
      <c r="AB144" s="799"/>
      <c r="AC144" s="799"/>
      <c r="AD144" s="1069"/>
      <c r="AE144" s="1069"/>
      <c r="AF144" s="1068"/>
      <c r="AG144" s="1068"/>
      <c r="AH144" s="799">
        <f t="shared" si="126"/>
        <v>2279</v>
      </c>
      <c r="AI144" s="800">
        <f t="shared" si="127"/>
        <v>2279</v>
      </c>
      <c r="AJ144" s="982"/>
      <c r="AK144" s="546"/>
      <c r="AL144" s="546"/>
      <c r="AM144" s="1070"/>
      <c r="AN144" s="546"/>
      <c r="AO144" s="917"/>
      <c r="AP144" s="1062" t="s">
        <v>2076</v>
      </c>
      <c r="AQ144" s="917"/>
    </row>
    <row r="145" spans="1:43" ht="30">
      <c r="A145" s="1019" t="s">
        <v>2077</v>
      </c>
      <c r="B145" s="1036" t="s">
        <v>2078</v>
      </c>
      <c r="C145" s="1037"/>
      <c r="D145" s="1038"/>
      <c r="E145" s="1038"/>
      <c r="F145" s="1036"/>
      <c r="G145" s="1039">
        <f t="shared" si="123"/>
        <v>0.84772614375843958</v>
      </c>
      <c r="H145" s="734"/>
      <c r="I145" s="1039"/>
      <c r="J145" s="1040"/>
      <c r="K145" s="1040"/>
      <c r="L145" s="1040"/>
      <c r="M145" s="1041"/>
      <c r="N145" s="1041"/>
      <c r="O145" s="1041"/>
      <c r="P145" s="1041"/>
      <c r="Q145" s="1041"/>
      <c r="R145" s="1041"/>
      <c r="S145" s="1041"/>
      <c r="T145" s="1041"/>
      <c r="U145" s="1041"/>
      <c r="V145" s="1041"/>
      <c r="W145" s="1041"/>
      <c r="X145" s="1041"/>
      <c r="Y145" s="1041"/>
      <c r="Z145" s="1041"/>
      <c r="AA145" s="1041"/>
      <c r="AB145" s="1041"/>
      <c r="AC145" s="1041"/>
      <c r="AD145" s="1041"/>
      <c r="AE145" s="1041"/>
      <c r="AF145" s="1041"/>
      <c r="AG145" s="1041">
        <f>AG146</f>
        <v>220000</v>
      </c>
      <c r="AH145" s="1042">
        <f>AG145</f>
        <v>220000</v>
      </c>
      <c r="AI145" s="1042">
        <f t="shared" si="127"/>
        <v>220000</v>
      </c>
      <c r="AJ145" s="1043"/>
      <c r="AK145" s="1043"/>
      <c r="AL145" s="1043"/>
      <c r="AM145" s="1043"/>
      <c r="AN145" s="1043"/>
      <c r="AO145" s="1036"/>
      <c r="AP145" s="363" t="s">
        <v>1735</v>
      </c>
      <c r="AQ145" s="1036"/>
    </row>
    <row r="146" spans="1:43" ht="120">
      <c r="A146" s="428" t="s">
        <v>2079</v>
      </c>
      <c r="B146" s="1071" t="s">
        <v>2080</v>
      </c>
      <c r="C146" s="1072"/>
      <c r="D146" s="1073"/>
      <c r="E146" s="1073"/>
      <c r="F146" s="1073"/>
      <c r="G146" s="1074"/>
      <c r="H146" s="742"/>
      <c r="I146" s="771"/>
      <c r="J146" s="1075"/>
      <c r="K146" s="1075"/>
      <c r="L146" s="1075"/>
      <c r="M146" s="1075"/>
      <c r="N146" s="1075"/>
      <c r="O146" s="1075"/>
      <c r="P146" s="1075"/>
      <c r="Q146" s="849"/>
      <c r="R146" s="849"/>
      <c r="S146" s="849"/>
      <c r="T146" s="849"/>
      <c r="U146" s="849"/>
      <c r="V146" s="849"/>
      <c r="W146" s="849"/>
      <c r="X146" s="849"/>
      <c r="Y146" s="849"/>
      <c r="Z146" s="849"/>
      <c r="AA146" s="849"/>
      <c r="AB146" s="792"/>
      <c r="AC146" s="792"/>
      <c r="AD146" s="1076"/>
      <c r="AE146" s="1076"/>
      <c r="AF146" s="1075"/>
      <c r="AG146" s="792">
        <f>SUM(AG147:AG152)</f>
        <v>220000</v>
      </c>
      <c r="AH146" s="792">
        <f>SUM(J146:AG146)</f>
        <v>220000</v>
      </c>
      <c r="AI146" s="849">
        <f>AH146</f>
        <v>220000</v>
      </c>
      <c r="AJ146" s="931"/>
      <c r="AK146" s="892"/>
      <c r="AL146" s="892"/>
      <c r="AM146" s="1077"/>
      <c r="AN146" s="892"/>
      <c r="AO146" s="893"/>
      <c r="AP146" s="1078"/>
      <c r="AQ146" s="893"/>
    </row>
    <row r="147" spans="1:43" ht="105">
      <c r="A147" s="437" t="s">
        <v>2081</v>
      </c>
      <c r="B147" s="1079" t="s">
        <v>2082</v>
      </c>
      <c r="C147" s="1080">
        <f t="shared" ref="C147:C152" si="128">J147+K147+L147+P147+Q147+R147+V147+W147+X147+AB147+AC147+AD147</f>
        <v>82500</v>
      </c>
      <c r="D147" s="1066" t="s">
        <v>2083</v>
      </c>
      <c r="E147" s="1079" t="s">
        <v>2084</v>
      </c>
      <c r="F147" s="1066" t="s">
        <v>2085</v>
      </c>
      <c r="G147" s="1060">
        <v>0.17</v>
      </c>
      <c r="H147" s="751"/>
      <c r="I147" s="763"/>
      <c r="J147" s="1068"/>
      <c r="K147" s="1068"/>
      <c r="L147" s="1068"/>
      <c r="M147" s="1068"/>
      <c r="N147" s="1068"/>
      <c r="O147" s="1068"/>
      <c r="P147" s="1068"/>
      <c r="Q147" s="800"/>
      <c r="R147" s="800"/>
      <c r="S147" s="800"/>
      <c r="T147" s="800"/>
      <c r="U147" s="800"/>
      <c r="V147" s="800"/>
      <c r="W147" s="800"/>
      <c r="X147" s="800"/>
      <c r="Y147" s="800"/>
      <c r="Z147" s="800"/>
      <c r="AA147" s="800"/>
      <c r="AB147" s="799"/>
      <c r="AC147" s="799"/>
      <c r="AD147" s="1081">
        <v>82500</v>
      </c>
      <c r="AE147" s="1069"/>
      <c r="AF147" s="1068"/>
      <c r="AG147" s="1082">
        <f>G147*AD147</f>
        <v>14025.000000000002</v>
      </c>
      <c r="AH147" s="799">
        <f t="shared" ref="AH147:AH152" si="129">SUM(M147+N147+O147+S147+T147+U147+Y147+Z147+AA147+AE147+AF147+AG147)</f>
        <v>14025.000000000002</v>
      </c>
      <c r="AI147" s="800">
        <f>AH147</f>
        <v>14025.000000000002</v>
      </c>
      <c r="AJ147" s="982"/>
      <c r="AK147" s="546"/>
      <c r="AL147" s="546"/>
      <c r="AM147" s="1070"/>
      <c r="AN147" s="546"/>
      <c r="AO147" s="917"/>
      <c r="AP147" s="379" t="s">
        <v>1908</v>
      </c>
      <c r="AQ147" s="917"/>
    </row>
    <row r="148" spans="1:43" ht="105">
      <c r="A148" s="437" t="s">
        <v>2086</v>
      </c>
      <c r="B148" s="1079" t="s">
        <v>2087</v>
      </c>
      <c r="C148" s="1080">
        <f t="shared" si="128"/>
        <v>660000</v>
      </c>
      <c r="D148" s="1066" t="s">
        <v>2083</v>
      </c>
      <c r="E148" s="1079" t="s">
        <v>2088</v>
      </c>
      <c r="F148" s="1066" t="s">
        <v>2085</v>
      </c>
      <c r="G148" s="1060">
        <v>0.1</v>
      </c>
      <c r="H148" s="751"/>
      <c r="I148" s="763"/>
      <c r="J148" s="1068"/>
      <c r="K148" s="1068"/>
      <c r="L148" s="1068"/>
      <c r="M148" s="1068"/>
      <c r="N148" s="1068"/>
      <c r="O148" s="1068"/>
      <c r="P148" s="1068"/>
      <c r="Q148" s="800"/>
      <c r="R148" s="800"/>
      <c r="S148" s="800"/>
      <c r="T148" s="800"/>
      <c r="U148" s="800"/>
      <c r="V148" s="800"/>
      <c r="W148" s="800"/>
      <c r="X148" s="800"/>
      <c r="Y148" s="800"/>
      <c r="Z148" s="800"/>
      <c r="AA148" s="800"/>
      <c r="AB148" s="799"/>
      <c r="AC148" s="799"/>
      <c r="AD148" s="1081">
        <v>660000</v>
      </c>
      <c r="AE148" s="1069"/>
      <c r="AF148" s="1068"/>
      <c r="AG148" s="1082">
        <f t="shared" ref="AG148:AG152" si="130">G148*AD148</f>
        <v>66000</v>
      </c>
      <c r="AH148" s="799">
        <f t="shared" si="129"/>
        <v>66000</v>
      </c>
      <c r="AI148" s="800">
        <f t="shared" ref="AI148:AI152" si="131">AH148</f>
        <v>66000</v>
      </c>
      <c r="AJ148" s="982"/>
      <c r="AK148" s="546"/>
      <c r="AL148" s="546"/>
      <c r="AM148" s="1070"/>
      <c r="AN148" s="546"/>
      <c r="AO148" s="917"/>
      <c r="AP148" s="379" t="s">
        <v>1908</v>
      </c>
      <c r="AQ148" s="917"/>
    </row>
    <row r="149" spans="1:43" ht="120">
      <c r="A149" s="437" t="s">
        <v>2089</v>
      </c>
      <c r="B149" s="1067" t="s">
        <v>2090</v>
      </c>
      <c r="C149" s="1080">
        <f t="shared" si="128"/>
        <v>2590</v>
      </c>
      <c r="D149" s="1066" t="s">
        <v>2091</v>
      </c>
      <c r="E149" s="1079" t="s">
        <v>2092</v>
      </c>
      <c r="F149" s="1066" t="s">
        <v>2085</v>
      </c>
      <c r="G149" s="1060">
        <v>30</v>
      </c>
      <c r="H149" s="751"/>
      <c r="I149" s="763"/>
      <c r="J149" s="1068"/>
      <c r="K149" s="1068"/>
      <c r="L149" s="1068"/>
      <c r="M149" s="1068"/>
      <c r="N149" s="1068"/>
      <c r="O149" s="1068"/>
      <c r="P149" s="1068"/>
      <c r="Q149" s="800"/>
      <c r="R149" s="800"/>
      <c r="S149" s="800"/>
      <c r="T149" s="800"/>
      <c r="U149" s="800"/>
      <c r="V149" s="800"/>
      <c r="W149" s="800"/>
      <c r="X149" s="800"/>
      <c r="Y149" s="800"/>
      <c r="Z149" s="800"/>
      <c r="AA149" s="800"/>
      <c r="AB149" s="799"/>
      <c r="AC149" s="799"/>
      <c r="AD149" s="1081">
        <v>2590</v>
      </c>
      <c r="AE149" s="1069"/>
      <c r="AF149" s="1068"/>
      <c r="AG149" s="1082">
        <f t="shared" si="130"/>
        <v>77700</v>
      </c>
      <c r="AH149" s="799">
        <f t="shared" si="129"/>
        <v>77700</v>
      </c>
      <c r="AI149" s="800">
        <f t="shared" si="131"/>
        <v>77700</v>
      </c>
      <c r="AJ149" s="982"/>
      <c r="AK149" s="546"/>
      <c r="AL149" s="546"/>
      <c r="AM149" s="1070"/>
      <c r="AN149" s="546"/>
      <c r="AO149" s="917"/>
      <c r="AP149" s="379" t="s">
        <v>1908</v>
      </c>
      <c r="AQ149" s="917"/>
    </row>
    <row r="150" spans="1:43" ht="60">
      <c r="A150" s="437" t="s">
        <v>2093</v>
      </c>
      <c r="B150" s="1067" t="s">
        <v>2094</v>
      </c>
      <c r="C150" s="1080">
        <f t="shared" si="128"/>
        <v>16188</v>
      </c>
      <c r="D150" s="1066" t="s">
        <v>1661</v>
      </c>
      <c r="E150" s="1079" t="s">
        <v>2095</v>
      </c>
      <c r="F150" s="1066" t="s">
        <v>2085</v>
      </c>
      <c r="G150" s="1060">
        <v>2</v>
      </c>
      <c r="H150" s="751"/>
      <c r="I150" s="763"/>
      <c r="J150" s="1068"/>
      <c r="K150" s="1068"/>
      <c r="L150" s="1068"/>
      <c r="M150" s="1068"/>
      <c r="N150" s="1068"/>
      <c r="O150" s="1068"/>
      <c r="P150" s="1068"/>
      <c r="Q150" s="800"/>
      <c r="R150" s="800"/>
      <c r="S150" s="800"/>
      <c r="T150" s="800"/>
      <c r="U150" s="800"/>
      <c r="V150" s="800"/>
      <c r="W150" s="800"/>
      <c r="X150" s="800"/>
      <c r="Y150" s="800"/>
      <c r="Z150" s="800"/>
      <c r="AA150" s="800"/>
      <c r="AB150" s="799"/>
      <c r="AC150" s="799"/>
      <c r="AD150" s="1081">
        <v>16188</v>
      </c>
      <c r="AE150" s="1069"/>
      <c r="AF150" s="1068"/>
      <c r="AG150" s="1082">
        <f t="shared" si="130"/>
        <v>32376</v>
      </c>
      <c r="AH150" s="799">
        <f t="shared" si="129"/>
        <v>32376</v>
      </c>
      <c r="AI150" s="800">
        <f t="shared" si="131"/>
        <v>32376</v>
      </c>
      <c r="AJ150" s="982"/>
      <c r="AK150" s="546"/>
      <c r="AL150" s="546"/>
      <c r="AM150" s="1070"/>
      <c r="AN150" s="546"/>
      <c r="AO150" s="917"/>
      <c r="AP150" s="379" t="s">
        <v>1908</v>
      </c>
      <c r="AQ150" s="917"/>
    </row>
    <row r="151" spans="1:43" ht="75">
      <c r="A151" s="437" t="s">
        <v>2096</v>
      </c>
      <c r="B151" s="1067" t="s">
        <v>2097</v>
      </c>
      <c r="C151" s="1080">
        <f t="shared" si="128"/>
        <v>540</v>
      </c>
      <c r="D151" s="1066" t="s">
        <v>2098</v>
      </c>
      <c r="E151" s="1079" t="s">
        <v>2099</v>
      </c>
      <c r="F151" s="1066" t="s">
        <v>2085</v>
      </c>
      <c r="G151" s="1060">
        <v>52</v>
      </c>
      <c r="H151" s="751"/>
      <c r="I151" s="763"/>
      <c r="J151" s="1068"/>
      <c r="K151" s="1068"/>
      <c r="L151" s="1068"/>
      <c r="M151" s="1068"/>
      <c r="N151" s="1068"/>
      <c r="O151" s="1068"/>
      <c r="P151" s="1068"/>
      <c r="Q151" s="800"/>
      <c r="R151" s="800"/>
      <c r="S151" s="800"/>
      <c r="T151" s="800"/>
      <c r="U151" s="800"/>
      <c r="V151" s="800"/>
      <c r="W151" s="800"/>
      <c r="X151" s="800"/>
      <c r="Y151" s="800"/>
      <c r="Z151" s="800"/>
      <c r="AA151" s="800"/>
      <c r="AB151" s="799"/>
      <c r="AC151" s="799"/>
      <c r="AD151" s="1081">
        <v>540</v>
      </c>
      <c r="AE151" s="1069"/>
      <c r="AF151" s="1068"/>
      <c r="AG151" s="1082">
        <f t="shared" si="130"/>
        <v>28080</v>
      </c>
      <c r="AH151" s="799">
        <f t="shared" si="129"/>
        <v>28080</v>
      </c>
      <c r="AI151" s="800">
        <f t="shared" si="131"/>
        <v>28080</v>
      </c>
      <c r="AJ151" s="982"/>
      <c r="AK151" s="546"/>
      <c r="AL151" s="546"/>
      <c r="AM151" s="1070"/>
      <c r="AN151" s="546"/>
      <c r="AO151" s="917"/>
      <c r="AP151" s="379" t="s">
        <v>1908</v>
      </c>
      <c r="AQ151" s="917"/>
    </row>
    <row r="152" spans="1:43" ht="30">
      <c r="A152" s="437" t="s">
        <v>2100</v>
      </c>
      <c r="B152" s="1083" t="s">
        <v>2101</v>
      </c>
      <c r="C152" s="1080">
        <f t="shared" si="128"/>
        <v>100</v>
      </c>
      <c r="D152" s="1066" t="s">
        <v>1661</v>
      </c>
      <c r="E152" s="1079" t="s">
        <v>2102</v>
      </c>
      <c r="F152" s="1066" t="s">
        <v>2085</v>
      </c>
      <c r="G152" s="1060">
        <v>18.190000000000001</v>
      </c>
      <c r="H152" s="751"/>
      <c r="I152" s="763"/>
      <c r="J152" s="1068"/>
      <c r="K152" s="1068"/>
      <c r="L152" s="1068"/>
      <c r="M152" s="1068"/>
      <c r="N152" s="1068"/>
      <c r="O152" s="1068"/>
      <c r="P152" s="1068"/>
      <c r="Q152" s="800"/>
      <c r="R152" s="800"/>
      <c r="S152" s="800"/>
      <c r="T152" s="800"/>
      <c r="U152" s="800"/>
      <c r="V152" s="800"/>
      <c r="W152" s="800"/>
      <c r="X152" s="800"/>
      <c r="Y152" s="800"/>
      <c r="Z152" s="800"/>
      <c r="AA152" s="800"/>
      <c r="AB152" s="799"/>
      <c r="AC152" s="799"/>
      <c r="AD152" s="1081">
        <v>100</v>
      </c>
      <c r="AE152" s="1069"/>
      <c r="AF152" s="1068"/>
      <c r="AG152" s="1082">
        <f t="shared" si="130"/>
        <v>1819.0000000000002</v>
      </c>
      <c r="AH152" s="799">
        <f t="shared" si="129"/>
        <v>1819.0000000000002</v>
      </c>
      <c r="AI152" s="800">
        <f t="shared" si="131"/>
        <v>1819.0000000000002</v>
      </c>
      <c r="AJ152" s="982"/>
      <c r="AK152" s="546"/>
      <c r="AL152" s="546"/>
      <c r="AM152" s="1070"/>
      <c r="AN152" s="546"/>
      <c r="AO152" s="917"/>
      <c r="AP152" s="379" t="s">
        <v>1908</v>
      </c>
      <c r="AQ152" s="917"/>
    </row>
    <row r="153" spans="1:43" ht="17.399999999999999">
      <c r="A153" s="1084"/>
      <c r="B153" s="1084" t="s">
        <v>1728</v>
      </c>
      <c r="C153" s="1085"/>
      <c r="D153" s="1084"/>
      <c r="E153" s="1084"/>
      <c r="F153" s="1084"/>
      <c r="G153" s="1086"/>
      <c r="H153" s="1086"/>
      <c r="I153" s="1086"/>
      <c r="J153" s="1087"/>
      <c r="K153" s="1087"/>
      <c r="L153" s="1087"/>
      <c r="M153" s="1088">
        <f>M10+M83+M93+M98+M104+M113</f>
        <v>54815</v>
      </c>
      <c r="N153" s="1088">
        <f>N10+N83+N93+N98+N104+N113</f>
        <v>69730</v>
      </c>
      <c r="O153" s="1088">
        <f>O10+O83+O93+O98+O104+O113</f>
        <v>72675</v>
      </c>
      <c r="P153" s="1088"/>
      <c r="Q153" s="1088"/>
      <c r="R153" s="1088"/>
      <c r="S153" s="1088">
        <f>S10+S83+S93+S98+S104+S113</f>
        <v>2435272.5099999998</v>
      </c>
      <c r="T153" s="1088">
        <f>T10+T83+T93+T98+T104+T113</f>
        <v>16068817.439999999</v>
      </c>
      <c r="U153" s="1088">
        <f>U10+U83+U93+U98+U104+U113</f>
        <v>514027.12</v>
      </c>
      <c r="V153" s="1088"/>
      <c r="W153" s="1088"/>
      <c r="X153" s="1088"/>
      <c r="Y153" s="1088">
        <f>Y10+Y83+Y93+Y98+Y104+Y113</f>
        <v>391050.97767714999</v>
      </c>
      <c r="Z153" s="1088">
        <f>Z10+Z83+Z93+Z98+Z104+Z113</f>
        <v>92263.437123725002</v>
      </c>
      <c r="AA153" s="1088">
        <f>AA10+AA83+AA93+AA98+AA104+AA113</f>
        <v>4606915</v>
      </c>
      <c r="AB153" s="1088"/>
      <c r="AC153" s="1088"/>
      <c r="AD153" s="1088"/>
      <c r="AE153" s="1088">
        <f>AE10+AE83+AE93+AE98+AE104+AE113</f>
        <v>410392.827387425</v>
      </c>
      <c r="AF153" s="1088">
        <f>AF10+AF83+AF93+AF98+AF104+AF113</f>
        <v>360091.58337289997</v>
      </c>
      <c r="AG153" s="1088">
        <f>AG10+AG83+AG93+AG98+AG104+AG113</f>
        <v>875726.29330997495</v>
      </c>
      <c r="AH153" s="1088">
        <f>SUM(M153:AG153)</f>
        <v>25951777.188871175</v>
      </c>
      <c r="AI153" s="1088">
        <f>AH153</f>
        <v>25951777.188871175</v>
      </c>
      <c r="AJ153" s="1088"/>
      <c r="AK153" s="1088"/>
      <c r="AL153" s="1088"/>
      <c r="AM153" s="1088"/>
      <c r="AN153" s="1089"/>
      <c r="AO153" s="1084"/>
      <c r="AP153" s="1084"/>
      <c r="AQ153" s="1090"/>
    </row>
  </sheetData>
  <sheetProtection algorithmName="SHA-512" hashValue="gy33+1A8HsmnTexUUKFP6nKt6Q7d0d4cGBZtSmSFm7FIBpiQJuUG6MdabX/Baw4fyaacTXg8Ob/gFHEhL8JUmg==" saltValue="oHeCHtZcfOUCaXZZf3/sWA==" spinCount="100000" sheet="1" objects="1" scenarios="1"/>
  <mergeCells count="59">
    <mergeCell ref="A138:A140"/>
    <mergeCell ref="B138:B140"/>
    <mergeCell ref="E139:E140"/>
    <mergeCell ref="F139:F140"/>
    <mergeCell ref="A143:A144"/>
    <mergeCell ref="B143:B144"/>
    <mergeCell ref="AP117:AP123"/>
    <mergeCell ref="AP126:AP129"/>
    <mergeCell ref="A132:A134"/>
    <mergeCell ref="B132:B134"/>
    <mergeCell ref="AN132:AN133"/>
    <mergeCell ref="AN46:AN47"/>
    <mergeCell ref="AO46:AO47"/>
    <mergeCell ref="AN52:AN53"/>
    <mergeCell ref="AO52:AO53"/>
    <mergeCell ref="AO117:AO123"/>
    <mergeCell ref="AN18:AN19"/>
    <mergeCell ref="AO18:AO19"/>
    <mergeCell ref="AN33:AN34"/>
    <mergeCell ref="AO33:AO34"/>
    <mergeCell ref="AN40:AN41"/>
    <mergeCell ref="AO40:AO41"/>
    <mergeCell ref="AK7:AK9"/>
    <mergeCell ref="AL7:AL9"/>
    <mergeCell ref="AM7:AM9"/>
    <mergeCell ref="AN14:AN15"/>
    <mergeCell ref="AO14:AO15"/>
    <mergeCell ref="J6:AH6"/>
    <mergeCell ref="AI6:AN6"/>
    <mergeCell ref="AO6:AO9"/>
    <mergeCell ref="AP6:AP9"/>
    <mergeCell ref="AN7:AN9"/>
    <mergeCell ref="J8:L8"/>
    <mergeCell ref="M8:O8"/>
    <mergeCell ref="P8:R8"/>
    <mergeCell ref="S8:U8"/>
    <mergeCell ref="V8:X8"/>
    <mergeCell ref="Y8:AA8"/>
    <mergeCell ref="AB8:AD8"/>
    <mergeCell ref="AE8:AG8"/>
    <mergeCell ref="AH7:AH9"/>
    <mergeCell ref="AI7:AI9"/>
    <mergeCell ref="AJ7:AJ9"/>
    <mergeCell ref="A1:AQ1"/>
    <mergeCell ref="A2:AQ2"/>
    <mergeCell ref="A6:A9"/>
    <mergeCell ref="B6:B9"/>
    <mergeCell ref="C6:C9"/>
    <mergeCell ref="D6:D9"/>
    <mergeCell ref="E6:E9"/>
    <mergeCell ref="F6:F9"/>
    <mergeCell ref="G6:G9"/>
    <mergeCell ref="H6:H9"/>
    <mergeCell ref="AQ6:AQ9"/>
    <mergeCell ref="J7:O7"/>
    <mergeCell ref="P7:U7"/>
    <mergeCell ref="V7:AA7"/>
    <mergeCell ref="AB7:AG7"/>
    <mergeCell ref="I6:I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03"/>
  <sheetViews>
    <sheetView workbookViewId="0">
      <selection activeCell="F14" sqref="F14"/>
    </sheetView>
  </sheetViews>
  <sheetFormatPr baseColWidth="10" defaultRowHeight="14.4"/>
  <cols>
    <col min="1" max="1" width="20.5546875" customWidth="1"/>
    <col min="2" max="2" width="32.6640625" customWidth="1"/>
    <col min="3" max="3" width="8.44140625" bestFit="1" customWidth="1"/>
    <col min="4" max="4" width="16.5546875" bestFit="1" customWidth="1"/>
    <col min="5" max="6" width="32.6640625" customWidth="1"/>
    <col min="7" max="7" width="8" customWidth="1"/>
    <col min="8" max="8" width="15.109375" customWidth="1"/>
    <col min="9" max="9" width="9.6640625" customWidth="1"/>
    <col min="10" max="10" width="5.33203125" bestFit="1" customWidth="1"/>
    <col min="11" max="11" width="7.33203125" customWidth="1"/>
    <col min="12" max="12" width="5" bestFit="1" customWidth="1"/>
    <col min="13" max="13" width="15.109375" bestFit="1" customWidth="1"/>
    <col min="14" max="14" width="14.88671875" customWidth="1"/>
    <col min="15" max="15" width="15.109375" customWidth="1"/>
    <col min="16" max="16" width="8.109375" customWidth="1"/>
    <col min="17" max="17" width="6.44140625" bestFit="1" customWidth="1"/>
    <col min="18" max="18" width="9.109375" customWidth="1"/>
    <col min="19" max="19" width="15.109375" customWidth="1"/>
    <col min="20" max="20" width="14.109375" bestFit="1" customWidth="1"/>
    <col min="21" max="21" width="16.33203125" customWidth="1"/>
    <col min="22" max="22" width="7.33203125" bestFit="1" customWidth="1"/>
    <col min="23" max="23" width="8.6640625" customWidth="1"/>
    <col min="24" max="24" width="7.33203125" customWidth="1"/>
    <col min="25" max="25" width="14.5546875" bestFit="1" customWidth="1"/>
    <col min="26" max="26" width="18.44140625" customWidth="1"/>
    <col min="27" max="27" width="15.33203125" bestFit="1" customWidth="1"/>
    <col min="28" max="28" width="5.5546875" bestFit="1" customWidth="1"/>
    <col min="29" max="29" width="7.33203125" customWidth="1"/>
    <col min="30" max="30" width="6.109375" bestFit="1" customWidth="1"/>
    <col min="31" max="31" width="20" customWidth="1"/>
    <col min="32" max="32" width="16.33203125" customWidth="1"/>
    <col min="33" max="33" width="18.6640625" customWidth="1"/>
    <col min="34" max="35" width="16.109375" bestFit="1" customWidth="1"/>
    <col min="36" max="36" width="9.88671875" customWidth="1"/>
    <col min="37" max="37" width="18.5546875" bestFit="1" customWidth="1"/>
    <col min="38" max="38" width="14.109375" customWidth="1"/>
    <col min="39" max="39" width="12.33203125" customWidth="1"/>
    <col min="40" max="40" width="8.88671875" customWidth="1"/>
    <col min="41" max="41" width="17" customWidth="1"/>
    <col min="42" max="42" width="21.33203125" customWidth="1"/>
    <col min="43" max="43" width="25" customWidth="1"/>
  </cols>
  <sheetData>
    <row r="1" spans="1:43" ht="17.399999999999999">
      <c r="A1" s="2105" t="s">
        <v>0</v>
      </c>
      <c r="B1" s="2105"/>
      <c r="C1" s="2105"/>
      <c r="D1" s="2105"/>
      <c r="E1" s="2105"/>
      <c r="F1" s="2105"/>
      <c r="G1" s="2105"/>
      <c r="H1" s="2105"/>
      <c r="I1" s="2105"/>
      <c r="J1" s="2105"/>
      <c r="K1" s="2105"/>
      <c r="L1" s="2105"/>
      <c r="M1" s="2105"/>
      <c r="N1" s="2105"/>
      <c r="O1" s="2105"/>
      <c r="P1" s="2105"/>
      <c r="Q1" s="2105"/>
      <c r="R1" s="2105"/>
      <c r="S1" s="2105"/>
      <c r="T1" s="2105"/>
      <c r="U1" s="2105"/>
      <c r="V1" s="2105"/>
      <c r="W1" s="2105"/>
      <c r="X1" s="2105"/>
      <c r="Y1" s="2105"/>
      <c r="Z1" s="2105"/>
      <c r="AA1" s="2105"/>
      <c r="AB1" s="2105"/>
      <c r="AC1" s="2105"/>
      <c r="AD1" s="2105"/>
      <c r="AE1" s="2105"/>
      <c r="AF1" s="2105"/>
      <c r="AG1" s="2105"/>
      <c r="AH1" s="2105"/>
      <c r="AI1" s="2105"/>
      <c r="AJ1" s="2105"/>
      <c r="AK1" s="2105"/>
      <c r="AL1" s="2105"/>
      <c r="AM1" s="2105"/>
      <c r="AN1" s="2105"/>
      <c r="AO1" s="2105"/>
      <c r="AP1" s="2105"/>
      <c r="AQ1" s="2105"/>
    </row>
    <row r="2" spans="1:43" ht="17.399999999999999">
      <c r="A2" s="2105" t="s">
        <v>2103</v>
      </c>
      <c r="B2" s="2105"/>
      <c r="C2" s="2105"/>
      <c r="D2" s="2105"/>
      <c r="E2" s="2105"/>
      <c r="F2" s="2105"/>
      <c r="G2" s="2105"/>
      <c r="H2" s="2105"/>
      <c r="I2" s="2105"/>
      <c r="J2" s="2105"/>
      <c r="K2" s="2105"/>
      <c r="L2" s="2105"/>
      <c r="M2" s="2105"/>
      <c r="N2" s="2105"/>
      <c r="O2" s="2105"/>
      <c r="P2" s="2105"/>
      <c r="Q2" s="2105"/>
      <c r="R2" s="2105"/>
      <c r="S2" s="2105"/>
      <c r="T2" s="2105"/>
      <c r="U2" s="2105"/>
      <c r="V2" s="2105"/>
      <c r="W2" s="2105"/>
      <c r="X2" s="2105"/>
      <c r="Y2" s="2105"/>
      <c r="Z2" s="2105"/>
      <c r="AA2" s="2105"/>
      <c r="AB2" s="2105"/>
      <c r="AC2" s="2105"/>
      <c r="AD2" s="2105"/>
      <c r="AE2" s="2105"/>
      <c r="AF2" s="2105"/>
      <c r="AG2" s="2105"/>
      <c r="AH2" s="2105"/>
      <c r="AI2" s="2105"/>
      <c r="AJ2" s="2105"/>
      <c r="AK2" s="2105"/>
      <c r="AL2" s="2105"/>
      <c r="AM2" s="2105"/>
      <c r="AN2" s="2105"/>
      <c r="AO2" s="2105"/>
      <c r="AP2" s="2105"/>
      <c r="AQ2" s="2105"/>
    </row>
    <row r="3" spans="1:43" ht="17.399999999999999">
      <c r="A3" s="1091"/>
      <c r="B3" s="1092" t="s">
        <v>2</v>
      </c>
      <c r="C3" s="1093"/>
      <c r="D3" s="1093"/>
      <c r="E3" s="1094"/>
      <c r="F3" s="1095"/>
      <c r="G3" s="1095"/>
      <c r="H3" s="1095"/>
      <c r="I3" s="1096"/>
      <c r="J3" s="1093"/>
      <c r="K3" s="1093"/>
      <c r="L3" s="1093"/>
      <c r="M3" s="1094"/>
      <c r="N3" s="1094"/>
      <c r="O3" s="1094"/>
      <c r="P3" s="1093"/>
      <c r="Q3" s="1093"/>
      <c r="R3" s="1093"/>
      <c r="S3" s="1094"/>
      <c r="T3" s="1094"/>
      <c r="U3" s="1094"/>
      <c r="V3" s="1093"/>
      <c r="W3" s="1093"/>
      <c r="X3" s="1093"/>
      <c r="Y3" s="1097"/>
      <c r="Z3" s="1097"/>
      <c r="AA3" s="1097"/>
      <c r="AB3" s="1093"/>
      <c r="AC3" s="1093"/>
      <c r="AD3" s="1093"/>
      <c r="AE3" s="1094"/>
      <c r="AF3" s="1094"/>
      <c r="AG3" s="1094"/>
      <c r="AH3" s="1098"/>
      <c r="AI3" s="1098"/>
      <c r="AJ3" s="1094"/>
      <c r="AK3" s="1099">
        <f>+AK10-AH10</f>
        <v>-1143830</v>
      </c>
      <c r="AL3" s="1094"/>
      <c r="AM3" s="1094"/>
      <c r="AN3" s="1094"/>
      <c r="AO3" s="1093"/>
      <c r="AP3" s="1094"/>
      <c r="AQ3" s="1094"/>
    </row>
    <row r="4" spans="1:43" ht="17.399999999999999">
      <c r="A4" s="1091"/>
      <c r="B4" s="1100" t="s">
        <v>2104</v>
      </c>
      <c r="C4" s="1093"/>
      <c r="D4" s="1093"/>
      <c r="E4" s="1094"/>
      <c r="F4" s="1095"/>
      <c r="G4" s="1095"/>
      <c r="H4" s="1095"/>
      <c r="I4" s="1096"/>
      <c r="J4" s="1093"/>
      <c r="K4" s="1093"/>
      <c r="L4" s="1093"/>
      <c r="M4" s="1094"/>
      <c r="N4" s="1094"/>
      <c r="O4" s="1094"/>
      <c r="P4" s="1093"/>
      <c r="Q4" s="1093"/>
      <c r="R4" s="1093"/>
      <c r="S4" s="1094"/>
      <c r="T4" s="1094"/>
      <c r="U4" s="1094"/>
      <c r="V4" s="1093"/>
      <c r="W4" s="1093"/>
      <c r="X4" s="1093"/>
      <c r="Y4" s="1097"/>
      <c r="Z4" s="1097"/>
      <c r="AA4" s="1097"/>
      <c r="AB4" s="1093"/>
      <c r="AC4" s="1093"/>
      <c r="AD4" s="1093"/>
      <c r="AE4" s="1094"/>
      <c r="AF4" s="1094"/>
      <c r="AG4" s="1094"/>
      <c r="AH4" s="1098"/>
      <c r="AI4" s="1098"/>
      <c r="AJ4" s="1094"/>
      <c r="AK4" s="1094"/>
      <c r="AL4" s="1094"/>
      <c r="AM4" s="1094"/>
      <c r="AN4" s="1094"/>
      <c r="AO4" s="1093"/>
      <c r="AP4" s="1094"/>
      <c r="AQ4" s="1094"/>
    </row>
    <row r="5" spans="1:43" ht="17.399999999999999">
      <c r="A5" s="1091"/>
      <c r="B5" s="1094" t="s">
        <v>4</v>
      </c>
      <c r="C5" s="1093"/>
      <c r="D5" s="1093"/>
      <c r="E5" s="1091"/>
      <c r="F5" s="1091"/>
      <c r="G5" s="1091"/>
      <c r="H5" s="1091"/>
      <c r="I5" s="1101"/>
      <c r="J5" s="1102"/>
      <c r="K5" s="1102"/>
      <c r="L5" s="1102"/>
      <c r="M5" s="1103"/>
      <c r="N5" s="1103"/>
      <c r="O5" s="1103"/>
      <c r="P5" s="1102"/>
      <c r="Q5" s="1102"/>
      <c r="R5" s="1102"/>
      <c r="S5" s="1103"/>
      <c r="T5" s="1103"/>
      <c r="U5" s="1103"/>
      <c r="V5" s="1102"/>
      <c r="W5" s="1102"/>
      <c r="X5" s="1102"/>
      <c r="Y5" s="1104"/>
      <c r="Z5" s="1104"/>
      <c r="AA5" s="1104"/>
      <c r="AB5" s="1102"/>
      <c r="AC5" s="1102"/>
      <c r="AD5" s="1102"/>
      <c r="AE5" s="1103"/>
      <c r="AF5" s="1103"/>
      <c r="AG5" s="1103"/>
      <c r="AH5" s="1105"/>
      <c r="AI5" s="1105"/>
      <c r="AJ5" s="1103"/>
      <c r="AK5" s="1103"/>
      <c r="AL5" s="1103"/>
      <c r="AM5" s="1103"/>
      <c r="AN5" s="1103"/>
      <c r="AO5" s="1106"/>
      <c r="AP5" s="1103"/>
      <c r="AQ5" s="1103"/>
    </row>
    <row r="6" spans="1:43" ht="15.6">
      <c r="A6" s="2106" t="s">
        <v>5</v>
      </c>
      <c r="B6" s="2109" t="s">
        <v>6</v>
      </c>
      <c r="C6" s="2109" t="s">
        <v>7</v>
      </c>
      <c r="D6" s="2109" t="s">
        <v>1394</v>
      </c>
      <c r="E6" s="2110" t="s">
        <v>9</v>
      </c>
      <c r="F6" s="2111" t="s">
        <v>10</v>
      </c>
      <c r="G6" s="2114" t="s">
        <v>11</v>
      </c>
      <c r="H6" s="2115" t="s">
        <v>12</v>
      </c>
      <c r="I6" s="2115" t="s">
        <v>13</v>
      </c>
      <c r="J6" s="2120" t="s">
        <v>14</v>
      </c>
      <c r="K6" s="2121"/>
      <c r="L6" s="2121"/>
      <c r="M6" s="2121"/>
      <c r="N6" s="2121"/>
      <c r="O6" s="2121"/>
      <c r="P6" s="2121"/>
      <c r="Q6" s="2121"/>
      <c r="R6" s="2121"/>
      <c r="S6" s="2121"/>
      <c r="T6" s="2121"/>
      <c r="U6" s="2121"/>
      <c r="V6" s="2121"/>
      <c r="W6" s="2121"/>
      <c r="X6" s="2121"/>
      <c r="Y6" s="2121"/>
      <c r="Z6" s="2121"/>
      <c r="AA6" s="2121"/>
      <c r="AB6" s="2121"/>
      <c r="AC6" s="2121"/>
      <c r="AD6" s="2121"/>
      <c r="AE6" s="2121"/>
      <c r="AF6" s="2121"/>
      <c r="AG6" s="2121"/>
      <c r="AH6" s="2122"/>
      <c r="AI6" s="2119" t="s">
        <v>15</v>
      </c>
      <c r="AJ6" s="2119"/>
      <c r="AK6" s="2119"/>
      <c r="AL6" s="2119"/>
      <c r="AM6" s="2119"/>
      <c r="AN6" s="2119"/>
      <c r="AO6" s="2118" t="s">
        <v>16</v>
      </c>
      <c r="AP6" s="2118" t="s">
        <v>17</v>
      </c>
      <c r="AQ6" s="2119" t="s">
        <v>18</v>
      </c>
    </row>
    <row r="7" spans="1:43" ht="15.6">
      <c r="A7" s="2107"/>
      <c r="B7" s="2109"/>
      <c r="C7" s="2109"/>
      <c r="D7" s="2109"/>
      <c r="E7" s="2110"/>
      <c r="F7" s="2112"/>
      <c r="G7" s="2114"/>
      <c r="H7" s="2116"/>
      <c r="I7" s="2116"/>
      <c r="J7" s="2109" t="s">
        <v>19</v>
      </c>
      <c r="K7" s="2109"/>
      <c r="L7" s="2109"/>
      <c r="M7" s="2109"/>
      <c r="N7" s="2109"/>
      <c r="O7" s="2109"/>
      <c r="P7" s="2109" t="s">
        <v>20</v>
      </c>
      <c r="Q7" s="2109"/>
      <c r="R7" s="2109"/>
      <c r="S7" s="2109"/>
      <c r="T7" s="2109"/>
      <c r="U7" s="2109"/>
      <c r="V7" s="2109" t="s">
        <v>21</v>
      </c>
      <c r="W7" s="2109"/>
      <c r="X7" s="2109"/>
      <c r="Y7" s="2109"/>
      <c r="Z7" s="2109"/>
      <c r="AA7" s="2109"/>
      <c r="AB7" s="2109" t="s">
        <v>22</v>
      </c>
      <c r="AC7" s="2109"/>
      <c r="AD7" s="2109"/>
      <c r="AE7" s="2109"/>
      <c r="AF7" s="2109"/>
      <c r="AG7" s="2109"/>
      <c r="AH7" s="2109" t="s">
        <v>403</v>
      </c>
      <c r="AI7" s="1957" t="s">
        <v>24</v>
      </c>
      <c r="AJ7" s="1954" t="s">
        <v>25</v>
      </c>
      <c r="AK7" s="1954" t="s">
        <v>916</v>
      </c>
      <c r="AL7" s="2044" t="s">
        <v>27</v>
      </c>
      <c r="AM7" s="1954" t="s">
        <v>28</v>
      </c>
      <c r="AN7" s="1954" t="s">
        <v>29</v>
      </c>
      <c r="AO7" s="2118"/>
      <c r="AP7" s="2118"/>
      <c r="AQ7" s="2119"/>
    </row>
    <row r="8" spans="1:43" ht="15.6">
      <c r="A8" s="2107"/>
      <c r="B8" s="2109"/>
      <c r="C8" s="2109"/>
      <c r="D8" s="2109"/>
      <c r="E8" s="2110"/>
      <c r="F8" s="2112"/>
      <c r="G8" s="2114"/>
      <c r="H8" s="2116"/>
      <c r="I8" s="2116"/>
      <c r="J8" s="2109" t="s">
        <v>30</v>
      </c>
      <c r="K8" s="2109"/>
      <c r="L8" s="2109"/>
      <c r="M8" s="2109" t="s">
        <v>31</v>
      </c>
      <c r="N8" s="2109"/>
      <c r="O8" s="2109"/>
      <c r="P8" s="2109" t="s">
        <v>30</v>
      </c>
      <c r="Q8" s="2109"/>
      <c r="R8" s="2109"/>
      <c r="S8" s="2109" t="s">
        <v>31</v>
      </c>
      <c r="T8" s="2109"/>
      <c r="U8" s="2109"/>
      <c r="V8" s="2109" t="s">
        <v>30</v>
      </c>
      <c r="W8" s="2109"/>
      <c r="X8" s="2109"/>
      <c r="Y8" s="2109" t="s">
        <v>31</v>
      </c>
      <c r="Z8" s="2109"/>
      <c r="AA8" s="2109"/>
      <c r="AB8" s="2109" t="s">
        <v>30</v>
      </c>
      <c r="AC8" s="2109"/>
      <c r="AD8" s="2109"/>
      <c r="AE8" s="2109" t="s">
        <v>31</v>
      </c>
      <c r="AF8" s="2109"/>
      <c r="AG8" s="2109"/>
      <c r="AH8" s="2109"/>
      <c r="AI8" s="1957"/>
      <c r="AJ8" s="1955"/>
      <c r="AK8" s="1955"/>
      <c r="AL8" s="2044"/>
      <c r="AM8" s="1955"/>
      <c r="AN8" s="1955"/>
      <c r="AO8" s="2118"/>
      <c r="AP8" s="2118"/>
      <c r="AQ8" s="2119"/>
    </row>
    <row r="9" spans="1:43" ht="15.6">
      <c r="A9" s="2108"/>
      <c r="B9" s="2109"/>
      <c r="C9" s="2109"/>
      <c r="D9" s="2109"/>
      <c r="E9" s="2110"/>
      <c r="F9" s="2113"/>
      <c r="G9" s="2114"/>
      <c r="H9" s="2117"/>
      <c r="I9" s="2117"/>
      <c r="J9" s="1107" t="s">
        <v>32</v>
      </c>
      <c r="K9" s="1107" t="s">
        <v>33</v>
      </c>
      <c r="L9" s="1107" t="s">
        <v>34</v>
      </c>
      <c r="M9" s="1107" t="s">
        <v>32</v>
      </c>
      <c r="N9" s="1107" t="s">
        <v>33</v>
      </c>
      <c r="O9" s="1107" t="s">
        <v>34</v>
      </c>
      <c r="P9" s="1107" t="s">
        <v>35</v>
      </c>
      <c r="Q9" s="1108" t="s">
        <v>34</v>
      </c>
      <c r="R9" s="1107" t="s">
        <v>36</v>
      </c>
      <c r="S9" s="1107" t="s">
        <v>35</v>
      </c>
      <c r="T9" s="1107" t="s">
        <v>34</v>
      </c>
      <c r="U9" s="1107" t="s">
        <v>36</v>
      </c>
      <c r="V9" s="1107" t="s">
        <v>36</v>
      </c>
      <c r="W9" s="1107" t="s">
        <v>35</v>
      </c>
      <c r="X9" s="1107" t="s">
        <v>37</v>
      </c>
      <c r="Y9" s="1107" t="s">
        <v>36</v>
      </c>
      <c r="Z9" s="1107" t="s">
        <v>35</v>
      </c>
      <c r="AA9" s="1107" t="s">
        <v>37</v>
      </c>
      <c r="AB9" s="1107" t="s">
        <v>38</v>
      </c>
      <c r="AC9" s="1107" t="s">
        <v>39</v>
      </c>
      <c r="AD9" s="1107" t="s">
        <v>40</v>
      </c>
      <c r="AE9" s="1107" t="s">
        <v>38</v>
      </c>
      <c r="AF9" s="1107" t="s">
        <v>39</v>
      </c>
      <c r="AG9" s="1107" t="s">
        <v>40</v>
      </c>
      <c r="AH9" s="2109"/>
      <c r="AI9" s="1957"/>
      <c r="AJ9" s="1956"/>
      <c r="AK9" s="1956"/>
      <c r="AL9" s="2044"/>
      <c r="AM9" s="1956"/>
      <c r="AN9" s="1956"/>
      <c r="AO9" s="2118"/>
      <c r="AP9" s="2118"/>
      <c r="AQ9" s="2119"/>
    </row>
    <row r="10" spans="1:43" ht="45">
      <c r="A10" s="1109" t="s">
        <v>41</v>
      </c>
      <c r="B10" s="1110" t="s">
        <v>42</v>
      </c>
      <c r="C10" s="1111"/>
      <c r="D10" s="1112"/>
      <c r="E10" s="1112"/>
      <c r="F10" s="1112"/>
      <c r="G10" s="1113">
        <f>AH10/AH$103*100</f>
        <v>52.685809565922327</v>
      </c>
      <c r="H10" s="1113"/>
      <c r="I10" s="1113"/>
      <c r="J10" s="1114"/>
      <c r="K10" s="1114"/>
      <c r="L10" s="1114"/>
      <c r="M10" s="1115">
        <f>SUM(M11)</f>
        <v>0</v>
      </c>
      <c r="N10" s="1115">
        <f t="shared" ref="N10:O10" si="0">SUM(N11)</f>
        <v>18352.272727272728</v>
      </c>
      <c r="O10" s="1115">
        <f t="shared" si="0"/>
        <v>80656.818181818177</v>
      </c>
      <c r="P10" s="1114"/>
      <c r="Q10" s="1114"/>
      <c r="R10" s="1114"/>
      <c r="S10" s="1115">
        <f t="shared" ref="S10:U10" si="1">SUM(S11)</f>
        <v>166246.36363636365</v>
      </c>
      <c r="T10" s="1115">
        <f t="shared" si="1"/>
        <v>123556.81818181818</v>
      </c>
      <c r="U10" s="1115">
        <f t="shared" si="1"/>
        <v>127227.27272727274</v>
      </c>
      <c r="V10" s="1114"/>
      <c r="W10" s="1114"/>
      <c r="X10" s="1114"/>
      <c r="Y10" s="1115">
        <f t="shared" ref="Y10:AA10" si="2">SUM(Y11)</f>
        <v>33125</v>
      </c>
      <c r="Z10" s="1115">
        <f t="shared" si="2"/>
        <v>46386.36363636364</v>
      </c>
      <c r="AA10" s="1115">
        <f t="shared" si="2"/>
        <v>178409.09090909091</v>
      </c>
      <c r="AB10" s="1114"/>
      <c r="AC10" s="1114"/>
      <c r="AD10" s="1114"/>
      <c r="AE10" s="1115">
        <f t="shared" ref="AE10:AI10" si="3">SUM(AE11)</f>
        <v>120120</v>
      </c>
      <c r="AF10" s="1115">
        <f t="shared" si="3"/>
        <v>159125</v>
      </c>
      <c r="AG10" s="1115">
        <f t="shared" si="3"/>
        <v>90625</v>
      </c>
      <c r="AH10" s="1115">
        <f t="shared" si="3"/>
        <v>1143830</v>
      </c>
      <c r="AI10" s="1115">
        <f t="shared" si="3"/>
        <v>1140430</v>
      </c>
      <c r="AJ10" s="1115">
        <f>SUM(AJ11)</f>
        <v>0</v>
      </c>
      <c r="AK10" s="1115">
        <f t="shared" ref="AK10:AN10" si="4">SUM(AK11)</f>
        <v>0</v>
      </c>
      <c r="AL10" s="1115">
        <f t="shared" si="4"/>
        <v>3400</v>
      </c>
      <c r="AM10" s="1115">
        <f t="shared" si="4"/>
        <v>0</v>
      </c>
      <c r="AN10" s="1115">
        <f t="shared" si="4"/>
        <v>0</v>
      </c>
      <c r="AO10" s="1112"/>
      <c r="AP10" s="1112"/>
      <c r="AQ10" s="1116"/>
    </row>
    <row r="11" spans="1:43" ht="30">
      <c r="A11" s="10" t="s">
        <v>1888</v>
      </c>
      <c r="B11" s="355" t="s">
        <v>1889</v>
      </c>
      <c r="C11" s="1117"/>
      <c r="D11" s="1118"/>
      <c r="E11" s="1118"/>
      <c r="F11" s="1118"/>
      <c r="G11" s="1119">
        <f t="shared" ref="G11:G74" si="5">AH11/AH$103*100</f>
        <v>52.685809565922327</v>
      </c>
      <c r="H11" s="1119"/>
      <c r="I11" s="1119"/>
      <c r="J11" s="1120"/>
      <c r="K11" s="1120"/>
      <c r="L11" s="1120"/>
      <c r="M11" s="1121">
        <f>SUM(M12,M22,M33,M38)</f>
        <v>0</v>
      </c>
      <c r="N11" s="1121">
        <f>SUM(N12,N22,N33,N38)</f>
        <v>18352.272727272728</v>
      </c>
      <c r="O11" s="1121">
        <f>SUM(O12,O22,O33,O38)</f>
        <v>80656.818181818177</v>
      </c>
      <c r="P11" s="1120"/>
      <c r="Q11" s="1120"/>
      <c r="R11" s="1120"/>
      <c r="S11" s="1121">
        <f>SUM(S12,S22,S33,S38)</f>
        <v>166246.36363636365</v>
      </c>
      <c r="T11" s="1121">
        <f>SUM(T12,T22,T33,T38)</f>
        <v>123556.81818181818</v>
      </c>
      <c r="U11" s="1121">
        <f>SUM(U12,U22,U33,U38)</f>
        <v>127227.27272727274</v>
      </c>
      <c r="V11" s="1120"/>
      <c r="W11" s="1120"/>
      <c r="X11" s="1120"/>
      <c r="Y11" s="1121">
        <f>SUM(Y12,Y22,Y33,Y38)</f>
        <v>33125</v>
      </c>
      <c r="Z11" s="1121">
        <f>SUM(Z12,Z22,Z33,Z38)</f>
        <v>46386.36363636364</v>
      </c>
      <c r="AA11" s="1121">
        <f>SUM(AA12,AA22,AA33,AA38)</f>
        <v>178409.09090909091</v>
      </c>
      <c r="AB11" s="1120"/>
      <c r="AC11" s="1120"/>
      <c r="AD11" s="1120"/>
      <c r="AE11" s="1121">
        <f t="shared" ref="AE11:AN11" si="6">SUM(AE12,AE22,AE33,AE38)</f>
        <v>120120</v>
      </c>
      <c r="AF11" s="1121">
        <f t="shared" si="6"/>
        <v>159125</v>
      </c>
      <c r="AG11" s="1121">
        <f t="shared" si="6"/>
        <v>90625</v>
      </c>
      <c r="AH11" s="1121">
        <f t="shared" si="6"/>
        <v>1143830</v>
      </c>
      <c r="AI11" s="1121">
        <f t="shared" si="6"/>
        <v>1140430</v>
      </c>
      <c r="AJ11" s="1121">
        <f t="shared" si="6"/>
        <v>0</v>
      </c>
      <c r="AK11" s="1121">
        <f t="shared" si="6"/>
        <v>0</v>
      </c>
      <c r="AL11" s="1121">
        <f t="shared" si="6"/>
        <v>3400</v>
      </c>
      <c r="AM11" s="1121">
        <f t="shared" si="6"/>
        <v>0</v>
      </c>
      <c r="AN11" s="1121">
        <f t="shared" si="6"/>
        <v>0</v>
      </c>
      <c r="AO11" s="1118"/>
      <c r="AP11" s="1118"/>
      <c r="AQ11" s="1118"/>
    </row>
    <row r="12" spans="1:43" ht="15">
      <c r="A12" s="14" t="s">
        <v>2105</v>
      </c>
      <c r="B12" s="363" t="s">
        <v>2106</v>
      </c>
      <c r="C12" s="1122"/>
      <c r="D12" s="1123"/>
      <c r="E12" s="1123"/>
      <c r="F12" s="1123"/>
      <c r="G12" s="1124">
        <f t="shared" si="5"/>
        <v>16.244979364728426</v>
      </c>
      <c r="H12" s="1124">
        <f>G12</f>
        <v>16.244979364728426</v>
      </c>
      <c r="I12" s="1124"/>
      <c r="J12" s="1125"/>
      <c r="K12" s="1125"/>
      <c r="L12" s="1125"/>
      <c r="M12" s="1126">
        <f>+M13+M16+M19</f>
        <v>0</v>
      </c>
      <c r="N12" s="1126">
        <f>+N13+N16+N19</f>
        <v>15625</v>
      </c>
      <c r="O12" s="1126">
        <f>+O13+O16+O19</f>
        <v>25875</v>
      </c>
      <c r="P12" s="1125"/>
      <c r="Q12" s="1125"/>
      <c r="R12" s="1125"/>
      <c r="S12" s="1126">
        <f>SUM(S13,S16,S19)</f>
        <v>86310</v>
      </c>
      <c r="T12" s="1126">
        <f>+T13+T16+T19</f>
        <v>3125</v>
      </c>
      <c r="U12" s="1126">
        <f>SUM(U13,U16,U19)</f>
        <v>21250</v>
      </c>
      <c r="V12" s="1125"/>
      <c r="W12" s="1125"/>
      <c r="X12" s="1125"/>
      <c r="Y12" s="1126">
        <f>SUM(Y13,Y16,Y19)</f>
        <v>3125</v>
      </c>
      <c r="Z12" s="1126">
        <f>+Z13+Z16+Z19</f>
        <v>0</v>
      </c>
      <c r="AA12" s="1126">
        <f>SUM(AA13,AA16,AA19)</f>
        <v>72500</v>
      </c>
      <c r="AB12" s="1125"/>
      <c r="AC12" s="1125"/>
      <c r="AD12" s="1125"/>
      <c r="AE12" s="1126">
        <f>SUM(AE13,AE16,AE19)</f>
        <v>20125</v>
      </c>
      <c r="AF12" s="1126">
        <f>SUM(AF13,AF16,AF19)</f>
        <v>101625</v>
      </c>
      <c r="AG12" s="1126">
        <f>SUM(AG13,AG16,AG19)</f>
        <v>3125</v>
      </c>
      <c r="AH12" s="1126">
        <f>SUM(AH13,AH16,AH19)</f>
        <v>352685</v>
      </c>
      <c r="AI12" s="1126">
        <f>SUM(AI13,AI16,AI19)</f>
        <v>352685</v>
      </c>
      <c r="AJ12" s="1126"/>
      <c r="AK12" s="1126"/>
      <c r="AL12" s="1126"/>
      <c r="AM12" s="1126"/>
      <c r="AN12" s="1126"/>
      <c r="AO12" s="1123"/>
      <c r="AP12" s="1123"/>
      <c r="AQ12" s="1123"/>
    </row>
    <row r="13" spans="1:43" ht="75">
      <c r="A13" s="18" t="s">
        <v>2107</v>
      </c>
      <c r="B13" s="18" t="s">
        <v>2108</v>
      </c>
      <c r="C13" s="1127"/>
      <c r="D13" s="1128" t="s">
        <v>2109</v>
      </c>
      <c r="E13" s="1128" t="s">
        <v>2110</v>
      </c>
      <c r="F13" s="1128" t="s">
        <v>2111</v>
      </c>
      <c r="G13" s="1129">
        <f t="shared" si="5"/>
        <v>4.6060874051145992</v>
      </c>
      <c r="H13" s="1129"/>
      <c r="I13" s="1129"/>
      <c r="J13" s="1130"/>
      <c r="K13" s="1130"/>
      <c r="L13" s="1130"/>
      <c r="M13" s="1131">
        <f>+M14+M15</f>
        <v>0</v>
      </c>
      <c r="N13" s="1131">
        <f>+N14+N15</f>
        <v>15625</v>
      </c>
      <c r="O13" s="1131">
        <f>+O14+O15</f>
        <v>25875</v>
      </c>
      <c r="P13" s="1130"/>
      <c r="Q13" s="1130"/>
      <c r="R13" s="1130"/>
      <c r="S13" s="1131">
        <f>+S14+S15</f>
        <v>19625</v>
      </c>
      <c r="T13" s="1131">
        <f>+T14+T15</f>
        <v>3125</v>
      </c>
      <c r="U13" s="1131">
        <f>+U14+U15</f>
        <v>6250</v>
      </c>
      <c r="V13" s="1130"/>
      <c r="W13" s="1130"/>
      <c r="X13" s="1130"/>
      <c r="Y13" s="1131">
        <f t="shared" ref="Y13" si="7">SUM(Y14,Y15)</f>
        <v>3125</v>
      </c>
      <c r="Z13" s="1131">
        <f>+Z14+Z15</f>
        <v>0</v>
      </c>
      <c r="AA13" s="1131">
        <f>+AA14+AA15</f>
        <v>0</v>
      </c>
      <c r="AB13" s="1130"/>
      <c r="AC13" s="1130"/>
      <c r="AD13" s="1130"/>
      <c r="AE13" s="1131">
        <f t="shared" ref="AE13:AI13" si="8">SUM(AE14,AE15)</f>
        <v>20125</v>
      </c>
      <c r="AF13" s="1131">
        <f>+AF14+AF15</f>
        <v>3125</v>
      </c>
      <c r="AG13" s="1131">
        <f t="shared" si="8"/>
        <v>3125</v>
      </c>
      <c r="AH13" s="1131">
        <f t="shared" si="8"/>
        <v>100000</v>
      </c>
      <c r="AI13" s="1131">
        <f t="shared" si="8"/>
        <v>100000</v>
      </c>
      <c r="AJ13" s="1131"/>
      <c r="AK13" s="1131"/>
      <c r="AL13" s="1131"/>
      <c r="AM13" s="1131"/>
      <c r="AN13" s="1131"/>
      <c r="AO13" s="1132"/>
      <c r="AP13" s="1132"/>
      <c r="AQ13" s="1132"/>
    </row>
    <row r="14" spans="1:43" ht="60">
      <c r="A14" s="22" t="s">
        <v>2112</v>
      </c>
      <c r="B14" s="1133" t="s">
        <v>2113</v>
      </c>
      <c r="C14" s="1134">
        <f t="shared" ref="C14:C21" si="9">SUM(J14,K14,L14,P14,Q14,R14,V14,W14,X14,AB14,AC14,AD14)</f>
        <v>16</v>
      </c>
      <c r="D14" s="1133" t="s">
        <v>52</v>
      </c>
      <c r="E14" s="1133" t="s">
        <v>2114</v>
      </c>
      <c r="F14" s="1135" t="s">
        <v>2115</v>
      </c>
      <c r="G14" s="1136">
        <f t="shared" si="5"/>
        <v>2.3030437025572996</v>
      </c>
      <c r="H14" s="1136"/>
      <c r="I14" s="1136">
        <f>AH14/AH$13*100</f>
        <v>50</v>
      </c>
      <c r="J14" s="1137"/>
      <c r="K14" s="1137">
        <v>5</v>
      </c>
      <c r="L14" s="1137">
        <v>3</v>
      </c>
      <c r="M14" s="1138"/>
      <c r="N14" s="1138">
        <f>3125*5</f>
        <v>15625</v>
      </c>
      <c r="O14" s="1138">
        <f>3125*3</f>
        <v>9375</v>
      </c>
      <c r="P14" s="1137">
        <v>1</v>
      </c>
      <c r="Q14" s="1137">
        <v>1</v>
      </c>
      <c r="R14" s="1137">
        <v>2</v>
      </c>
      <c r="S14" s="1138">
        <v>3125</v>
      </c>
      <c r="T14" s="1138">
        <v>3125</v>
      </c>
      <c r="U14" s="1138">
        <v>6250</v>
      </c>
      <c r="V14" s="1137">
        <v>1</v>
      </c>
      <c r="W14" s="1137"/>
      <c r="X14" s="1137"/>
      <c r="Y14" s="1138">
        <v>3125</v>
      </c>
      <c r="Z14" s="1138"/>
      <c r="AA14" s="1138"/>
      <c r="AB14" s="1137">
        <v>1</v>
      </c>
      <c r="AC14" s="1137">
        <v>1</v>
      </c>
      <c r="AD14" s="1137">
        <v>1</v>
      </c>
      <c r="AE14" s="1138">
        <v>3125</v>
      </c>
      <c r="AF14" s="1138">
        <v>3125</v>
      </c>
      <c r="AG14" s="1138">
        <v>3125</v>
      </c>
      <c r="AH14" s="1138">
        <f>SUM(AI14,AJ14,AK14,AL14,AM14,AN14)</f>
        <v>50000</v>
      </c>
      <c r="AI14" s="78">
        <f>MROUND('[1]POA 2021 DGFCR (2)'!AI14,5)</f>
        <v>50000</v>
      </c>
      <c r="AJ14" s="1138"/>
      <c r="AK14" s="1138"/>
      <c r="AL14" s="1138"/>
      <c r="AM14" s="1138"/>
      <c r="AN14" s="1138"/>
      <c r="AO14" s="1133" t="s">
        <v>465</v>
      </c>
      <c r="AP14" s="1133" t="s">
        <v>2116</v>
      </c>
      <c r="AQ14" s="1133"/>
    </row>
    <row r="15" spans="1:43" ht="75">
      <c r="A15" s="1139" t="s">
        <v>2117</v>
      </c>
      <c r="B15" s="1133" t="s">
        <v>2118</v>
      </c>
      <c r="C15" s="1134">
        <f t="shared" si="9"/>
        <v>8</v>
      </c>
      <c r="D15" s="1133" t="s">
        <v>2109</v>
      </c>
      <c r="E15" s="1133" t="s">
        <v>2119</v>
      </c>
      <c r="F15" s="1135" t="s">
        <v>2111</v>
      </c>
      <c r="G15" s="1136">
        <f t="shared" si="5"/>
        <v>2.3030437025572996</v>
      </c>
      <c r="H15" s="1136"/>
      <c r="I15" s="1136">
        <f t="shared" ref="I15" si="10">AH15/AH$13*100</f>
        <v>50</v>
      </c>
      <c r="J15" s="1137"/>
      <c r="K15" s="1137"/>
      <c r="L15" s="1137">
        <v>1</v>
      </c>
      <c r="M15" s="1138"/>
      <c r="N15" s="1138"/>
      <c r="O15" s="1138">
        <v>16500</v>
      </c>
      <c r="P15" s="1137">
        <v>1</v>
      </c>
      <c r="Q15" s="1137"/>
      <c r="R15" s="1137"/>
      <c r="S15" s="1138">
        <v>16500</v>
      </c>
      <c r="T15" s="1138"/>
      <c r="U15" s="1138"/>
      <c r="V15" s="1137"/>
      <c r="W15" s="1137"/>
      <c r="X15" s="1137">
        <v>5</v>
      </c>
      <c r="Y15" s="1138"/>
      <c r="Z15" s="1138"/>
      <c r="AA15" s="1138"/>
      <c r="AB15" s="1137">
        <v>1</v>
      </c>
      <c r="AC15" s="1137"/>
      <c r="AD15" s="1137"/>
      <c r="AE15" s="1138">
        <v>17000</v>
      </c>
      <c r="AF15" s="1138"/>
      <c r="AG15" s="1138"/>
      <c r="AH15" s="1138">
        <f>SUM(AI15,AJ15,AK15,AL15,AM15,AN15)</f>
        <v>50000</v>
      </c>
      <c r="AI15" s="78">
        <f>MROUND('[1]POA 2021 DGFCR (2)'!AI15,5)</f>
        <v>50000</v>
      </c>
      <c r="AJ15" s="1138"/>
      <c r="AK15" s="1138"/>
      <c r="AL15" s="1138"/>
      <c r="AM15" s="1138"/>
      <c r="AN15" s="1138"/>
      <c r="AO15" s="1133" t="s">
        <v>465</v>
      </c>
      <c r="AP15" s="1133" t="s">
        <v>2116</v>
      </c>
      <c r="AQ15" s="1133"/>
    </row>
    <row r="16" spans="1:43" ht="60">
      <c r="A16" s="18" t="s">
        <v>2120</v>
      </c>
      <c r="B16" s="1132" t="s">
        <v>2121</v>
      </c>
      <c r="C16" s="1127"/>
      <c r="D16" s="1128" t="s">
        <v>1189</v>
      </c>
      <c r="E16" s="1128" t="s">
        <v>2122</v>
      </c>
      <c r="F16" s="1128" t="s">
        <v>2123</v>
      </c>
      <c r="G16" s="1129">
        <f t="shared" si="5"/>
        <v>4.6836999778907806</v>
      </c>
      <c r="H16" s="1129"/>
      <c r="I16" s="1129"/>
      <c r="J16" s="1130"/>
      <c r="K16" s="1130"/>
      <c r="L16" s="1130"/>
      <c r="M16" s="1131">
        <f>SUM(M17,M18)</f>
        <v>0</v>
      </c>
      <c r="N16" s="1131">
        <f t="shared" ref="N16:O16" si="11">SUM(N17,N18)</f>
        <v>0</v>
      </c>
      <c r="O16" s="1131">
        <f t="shared" si="11"/>
        <v>0</v>
      </c>
      <c r="P16" s="1130"/>
      <c r="Q16" s="1130"/>
      <c r="R16" s="1130"/>
      <c r="S16" s="1131">
        <f t="shared" ref="S16:U16" si="12">SUM(S17,S18)</f>
        <v>66685</v>
      </c>
      <c r="T16" s="1131">
        <f t="shared" si="12"/>
        <v>0</v>
      </c>
      <c r="U16" s="1131">
        <f t="shared" si="12"/>
        <v>0</v>
      </c>
      <c r="V16" s="1130"/>
      <c r="W16" s="1130"/>
      <c r="X16" s="1130"/>
      <c r="Y16" s="1131">
        <f t="shared" ref="Y16:AA16" si="13">SUM(Y17,Y18)</f>
        <v>0</v>
      </c>
      <c r="Z16" s="1131">
        <f t="shared" si="13"/>
        <v>0</v>
      </c>
      <c r="AA16" s="1131">
        <f t="shared" si="13"/>
        <v>35000</v>
      </c>
      <c r="AB16" s="1130"/>
      <c r="AC16" s="1130"/>
      <c r="AD16" s="1130"/>
      <c r="AE16" s="1131">
        <f t="shared" ref="AE16:AI16" si="14">SUM(AE17,AE18)</f>
        <v>0</v>
      </c>
      <c r="AF16" s="1131">
        <f t="shared" si="14"/>
        <v>0</v>
      </c>
      <c r="AG16" s="1131">
        <f t="shared" si="14"/>
        <v>0</v>
      </c>
      <c r="AH16" s="1131">
        <f t="shared" si="14"/>
        <v>101685</v>
      </c>
      <c r="AI16" s="1131">
        <f t="shared" si="14"/>
        <v>101685</v>
      </c>
      <c r="AJ16" s="1131"/>
      <c r="AK16" s="1131"/>
      <c r="AL16" s="1131"/>
      <c r="AM16" s="1131"/>
      <c r="AN16" s="1131"/>
      <c r="AO16" s="1132"/>
      <c r="AP16" s="1132"/>
      <c r="AQ16" s="1132"/>
    </row>
    <row r="17" spans="1:43" ht="45">
      <c r="A17" s="22" t="s">
        <v>2124</v>
      </c>
      <c r="B17" s="1133" t="s">
        <v>2125</v>
      </c>
      <c r="C17" s="1134">
        <f t="shared" si="9"/>
        <v>1</v>
      </c>
      <c r="D17" s="1133" t="s">
        <v>57</v>
      </c>
      <c r="E17" s="1140" t="s">
        <v>2126</v>
      </c>
      <c r="F17" s="1135" t="s">
        <v>2127</v>
      </c>
      <c r="G17" s="1136">
        <f t="shared" si="5"/>
        <v>1.6121305917901099</v>
      </c>
      <c r="H17" s="1136"/>
      <c r="I17" s="1136">
        <f>AH17/AH$16*100</f>
        <v>34.420022618872011</v>
      </c>
      <c r="J17" s="1137"/>
      <c r="K17" s="1137"/>
      <c r="L17" s="1137"/>
      <c r="M17" s="1138"/>
      <c r="N17" s="1138"/>
      <c r="O17" s="1138"/>
      <c r="P17" s="1137"/>
      <c r="Q17" s="1137"/>
      <c r="R17" s="1137"/>
      <c r="S17" s="1138"/>
      <c r="T17" s="1138"/>
      <c r="U17" s="1138"/>
      <c r="V17" s="1137"/>
      <c r="W17" s="1137"/>
      <c r="X17" s="1137">
        <v>1</v>
      </c>
      <c r="Y17" s="1138"/>
      <c r="Z17" s="1138"/>
      <c r="AA17" s="1138">
        <v>35000</v>
      </c>
      <c r="AB17" s="1137"/>
      <c r="AC17" s="1137"/>
      <c r="AD17" s="1137"/>
      <c r="AE17" s="1138"/>
      <c r="AF17" s="1138"/>
      <c r="AG17" s="1138"/>
      <c r="AH17" s="1138">
        <f>+AA17</f>
        <v>35000</v>
      </c>
      <c r="AI17" s="78">
        <f>+AA17</f>
        <v>35000</v>
      </c>
      <c r="AJ17" s="1138"/>
      <c r="AK17" s="1138"/>
      <c r="AL17" s="1138"/>
      <c r="AM17" s="1138"/>
      <c r="AN17" s="1138"/>
      <c r="AO17" s="1133" t="s">
        <v>465</v>
      </c>
      <c r="AP17" s="1133" t="s">
        <v>2116</v>
      </c>
      <c r="AQ17" s="1133"/>
    </row>
    <row r="18" spans="1:43" ht="75">
      <c r="A18" s="22" t="s">
        <v>2128</v>
      </c>
      <c r="B18" s="1133" t="s">
        <v>2129</v>
      </c>
      <c r="C18" s="1134">
        <f t="shared" si="9"/>
        <v>2</v>
      </c>
      <c r="D18" s="1133" t="s">
        <v>52</v>
      </c>
      <c r="E18" s="1140" t="s">
        <v>2130</v>
      </c>
      <c r="F18" s="1135" t="s">
        <v>2131</v>
      </c>
      <c r="G18" s="1136">
        <f t="shared" si="5"/>
        <v>3.0715693861006708</v>
      </c>
      <c r="H18" s="1136"/>
      <c r="I18" s="1136">
        <f t="shared" ref="I18" si="15">AH18/AH$16*100</f>
        <v>65.579977381128003</v>
      </c>
      <c r="J18" s="1137"/>
      <c r="K18" s="1137"/>
      <c r="L18" s="1137"/>
      <c r="M18" s="1138"/>
      <c r="N18" s="1138"/>
      <c r="O18" s="1138"/>
      <c r="P18" s="1137">
        <v>2</v>
      </c>
      <c r="Q18" s="1137"/>
      <c r="R18" s="1137"/>
      <c r="S18" s="1138">
        <v>66685</v>
      </c>
      <c r="T18" s="1138"/>
      <c r="U18" s="1138"/>
      <c r="V18" s="1137"/>
      <c r="W18" s="1137"/>
      <c r="X18" s="1137"/>
      <c r="Y18" s="1138"/>
      <c r="Z18" s="1138"/>
      <c r="AA18" s="1138"/>
      <c r="AB18" s="1137"/>
      <c r="AC18" s="1137"/>
      <c r="AD18" s="1137"/>
      <c r="AE18" s="1138"/>
      <c r="AF18" s="1138"/>
      <c r="AG18" s="1138"/>
      <c r="AH18" s="1138">
        <f>SUM(M18,N18,O18,S18,T18,U18,Y18,Z18,AA18,AE18,AF18,AG18)</f>
        <v>66685</v>
      </c>
      <c r="AI18" s="78">
        <f>AH18</f>
        <v>66685</v>
      </c>
      <c r="AJ18" s="1138"/>
      <c r="AK18" s="1138"/>
      <c r="AL18" s="1138"/>
      <c r="AM18" s="1138"/>
      <c r="AN18" s="1138"/>
      <c r="AO18" s="1133" t="s">
        <v>465</v>
      </c>
      <c r="AP18" s="1133" t="s">
        <v>2116</v>
      </c>
      <c r="AQ18" s="1133"/>
    </row>
    <row r="19" spans="1:43" ht="90">
      <c r="A19" s="18" t="s">
        <v>2132</v>
      </c>
      <c r="B19" s="1132" t="s">
        <v>2133</v>
      </c>
      <c r="C19" s="1127"/>
      <c r="D19" s="1141" t="s">
        <v>1950</v>
      </c>
      <c r="E19" s="1141" t="s">
        <v>2134</v>
      </c>
      <c r="F19" s="1141" t="s">
        <v>2135</v>
      </c>
      <c r="G19" s="1129">
        <f t="shared" si="5"/>
        <v>6.9551919817230452</v>
      </c>
      <c r="H19" s="1129"/>
      <c r="I19" s="1129"/>
      <c r="J19" s="1130"/>
      <c r="K19" s="1130"/>
      <c r="L19" s="1130"/>
      <c r="M19" s="1131">
        <f>SUM(M20,M21)</f>
        <v>0</v>
      </c>
      <c r="N19" s="1131">
        <f t="shared" ref="N19:O19" si="16">SUM(N20,N21)</f>
        <v>0</v>
      </c>
      <c r="O19" s="1131">
        <f t="shared" si="16"/>
        <v>0</v>
      </c>
      <c r="P19" s="1130"/>
      <c r="Q19" s="1130"/>
      <c r="R19" s="1130"/>
      <c r="S19" s="1131">
        <f t="shared" ref="S19:U19" si="17">SUM(S20,S21)</f>
        <v>0</v>
      </c>
      <c r="T19" s="1131">
        <f t="shared" si="17"/>
        <v>0</v>
      </c>
      <c r="U19" s="1131">
        <f t="shared" si="17"/>
        <v>15000</v>
      </c>
      <c r="V19" s="1130"/>
      <c r="W19" s="1130"/>
      <c r="X19" s="1130"/>
      <c r="Y19" s="1131">
        <f t="shared" ref="Y19:AA19" si="18">SUM(Y20,Y21)</f>
        <v>0</v>
      </c>
      <c r="Z19" s="1131">
        <f t="shared" si="18"/>
        <v>0</v>
      </c>
      <c r="AA19" s="1131">
        <f t="shared" si="18"/>
        <v>37500</v>
      </c>
      <c r="AB19" s="1130"/>
      <c r="AC19" s="1130"/>
      <c r="AD19" s="1130"/>
      <c r="AE19" s="1131">
        <f t="shared" ref="AE19:AI19" si="19">SUM(AE20,AE21)</f>
        <v>0</v>
      </c>
      <c r="AF19" s="1131">
        <f t="shared" si="19"/>
        <v>98500</v>
      </c>
      <c r="AG19" s="1131">
        <f t="shared" si="19"/>
        <v>0</v>
      </c>
      <c r="AH19" s="1131">
        <f t="shared" si="19"/>
        <v>151000</v>
      </c>
      <c r="AI19" s="1131">
        <f t="shared" si="19"/>
        <v>151000</v>
      </c>
      <c r="AJ19" s="1131"/>
      <c r="AK19" s="1131"/>
      <c r="AL19" s="1131"/>
      <c r="AM19" s="1131"/>
      <c r="AN19" s="1131"/>
      <c r="AO19" s="1132"/>
      <c r="AP19" s="1132"/>
      <c r="AQ19" s="1132"/>
    </row>
    <row r="20" spans="1:43" ht="75">
      <c r="A20" s="22" t="s">
        <v>2136</v>
      </c>
      <c r="B20" s="1133" t="s">
        <v>2137</v>
      </c>
      <c r="C20" s="1134">
        <f t="shared" si="9"/>
        <v>2</v>
      </c>
      <c r="D20" s="1133" t="s">
        <v>2138</v>
      </c>
      <c r="E20" s="1133" t="s">
        <v>2139</v>
      </c>
      <c r="F20" s="1135" t="s">
        <v>2140</v>
      </c>
      <c r="G20" s="1136">
        <f t="shared" si="5"/>
        <v>4.1915395386542853</v>
      </c>
      <c r="H20" s="1136"/>
      <c r="I20" s="1136">
        <f>AH20/AH$19*100</f>
        <v>60.264900662251655</v>
      </c>
      <c r="J20" s="1137"/>
      <c r="K20" s="1137"/>
      <c r="L20" s="1137"/>
      <c r="M20" s="1138"/>
      <c r="N20" s="1138"/>
      <c r="O20" s="1138">
        <v>0</v>
      </c>
      <c r="P20" s="1137"/>
      <c r="Q20" s="1137"/>
      <c r="R20" s="1137"/>
      <c r="S20" s="1138"/>
      <c r="T20" s="1138"/>
      <c r="U20" s="1138"/>
      <c r="V20" s="1137"/>
      <c r="W20" s="1137"/>
      <c r="X20" s="1137"/>
      <c r="Y20" s="1138"/>
      <c r="Z20" s="1138"/>
      <c r="AA20" s="1138"/>
      <c r="AB20" s="1137"/>
      <c r="AC20" s="1137">
        <v>2</v>
      </c>
      <c r="AD20" s="1137"/>
      <c r="AE20" s="1138"/>
      <c r="AF20" s="1138">
        <v>91000</v>
      </c>
      <c r="AG20" s="1138"/>
      <c r="AH20" s="1138">
        <v>91000</v>
      </c>
      <c r="AI20" s="78">
        <v>91000</v>
      </c>
      <c r="AJ20" s="1138"/>
      <c r="AK20" s="1138"/>
      <c r="AL20" s="1138"/>
      <c r="AM20" s="1138"/>
      <c r="AN20" s="1138"/>
      <c r="AO20" s="1133" t="s">
        <v>465</v>
      </c>
      <c r="AP20" s="1133" t="s">
        <v>2116</v>
      </c>
      <c r="AQ20" s="1133"/>
    </row>
    <row r="21" spans="1:43" ht="120">
      <c r="A21" s="22" t="s">
        <v>2141</v>
      </c>
      <c r="B21" s="1133" t="s">
        <v>2142</v>
      </c>
      <c r="C21" s="1134">
        <f t="shared" si="9"/>
        <v>8</v>
      </c>
      <c r="D21" s="1133" t="s">
        <v>2109</v>
      </c>
      <c r="E21" s="1133" t="s">
        <v>2143</v>
      </c>
      <c r="F21" s="1135" t="s">
        <v>2144</v>
      </c>
      <c r="G21" s="1136">
        <f t="shared" si="5"/>
        <v>2.7636524430687595</v>
      </c>
      <c r="H21" s="1136"/>
      <c r="I21" s="1136">
        <f t="shared" ref="I21" si="20">AH21/AH$19*100</f>
        <v>39.735099337748345</v>
      </c>
      <c r="J21" s="1137"/>
      <c r="K21" s="1137"/>
      <c r="L21" s="1137"/>
      <c r="M21" s="1138"/>
      <c r="N21" s="1138"/>
      <c r="O21" s="1138">
        <f t="shared" ref="O21" si="21">$AH21/$C21*L21</f>
        <v>0</v>
      </c>
      <c r="P21" s="1137"/>
      <c r="Q21" s="1137"/>
      <c r="R21" s="1137">
        <v>2</v>
      </c>
      <c r="S21" s="1138"/>
      <c r="T21" s="1138"/>
      <c r="U21" s="1138">
        <f>$AH21/$C21*R21</f>
        <v>15000</v>
      </c>
      <c r="V21" s="1137"/>
      <c r="W21" s="1137"/>
      <c r="X21" s="1137">
        <v>5</v>
      </c>
      <c r="Y21" s="1138"/>
      <c r="Z21" s="1138"/>
      <c r="AA21" s="1138">
        <f>$AH21/$C21*X21</f>
        <v>37500</v>
      </c>
      <c r="AB21" s="1137"/>
      <c r="AC21" s="1137">
        <v>1</v>
      </c>
      <c r="AD21" s="1137"/>
      <c r="AE21" s="1138"/>
      <c r="AF21" s="1138">
        <f>$AH21/$C21*AC21</f>
        <v>7500</v>
      </c>
      <c r="AG21" s="1138"/>
      <c r="AH21" s="1138">
        <f t="shared" ref="AH21" si="22">SUM(AI21,AJ21,AK21,AL21,AM21,AN21)</f>
        <v>60000</v>
      </c>
      <c r="AI21" s="78">
        <f>MROUND('[1]POA 2021 DGFCR (2)'!AI23,5)</f>
        <v>60000</v>
      </c>
      <c r="AJ21" s="1138"/>
      <c r="AK21" s="1138"/>
      <c r="AL21" s="1138"/>
      <c r="AM21" s="1138"/>
      <c r="AN21" s="1138"/>
      <c r="AO21" s="1133" t="s">
        <v>465</v>
      </c>
      <c r="AP21" s="1133" t="s">
        <v>2116</v>
      </c>
      <c r="AQ21" s="1133"/>
    </row>
    <row r="22" spans="1:43" ht="45">
      <c r="A22" s="14" t="s">
        <v>2145</v>
      </c>
      <c r="B22" s="1123" t="s">
        <v>2146</v>
      </c>
      <c r="C22" s="1122"/>
      <c r="D22" s="1123"/>
      <c r="E22" s="1123"/>
      <c r="F22" s="1123"/>
      <c r="G22" s="1124">
        <f t="shared" si="5"/>
        <v>13.744564816861965</v>
      </c>
      <c r="H22" s="1124">
        <f>G22</f>
        <v>13.744564816861965</v>
      </c>
      <c r="I22" s="1124"/>
      <c r="J22" s="1125"/>
      <c r="K22" s="1125"/>
      <c r="L22" s="1125"/>
      <c r="M22" s="1126">
        <f>SUM(M23,M25,M28,M31)</f>
        <v>0</v>
      </c>
      <c r="N22" s="1126">
        <f>SUM(N23,N25,N28,N31)</f>
        <v>2727.2727272727275</v>
      </c>
      <c r="O22" s="1126">
        <f>SUM(O23,O25,O28,O31)</f>
        <v>33781.818181818184</v>
      </c>
      <c r="P22" s="1125"/>
      <c r="Q22" s="1125"/>
      <c r="R22" s="1125"/>
      <c r="S22" s="1126">
        <f>SUM(S23,S25,S28,S31)</f>
        <v>36436.36363636364</v>
      </c>
      <c r="T22" s="1126">
        <f>SUM(T23,T25,T28,T31)</f>
        <v>38181.818181818184</v>
      </c>
      <c r="U22" s="1126">
        <f>SUM(U23,U25,U28,U31)</f>
        <v>42727.272727272728</v>
      </c>
      <c r="V22" s="1125"/>
      <c r="W22" s="1125"/>
      <c r="X22" s="1125"/>
      <c r="Y22" s="1126">
        <f>SUM(Y23,Y25,Y28,Y31)</f>
        <v>30000</v>
      </c>
      <c r="Z22" s="1126">
        <f>SUM(Z23,Z25,Z28,Z31)</f>
        <v>18636.36363636364</v>
      </c>
      <c r="AA22" s="1126">
        <f>SUM(AA23,AA25,AA28,AA31)</f>
        <v>10909.09090909091</v>
      </c>
      <c r="AB22" s="1125"/>
      <c r="AC22" s="1125"/>
      <c r="AD22" s="1125"/>
      <c r="AE22" s="1126">
        <f>SUM(AE23,AE25,AE28,AE31)</f>
        <v>45000</v>
      </c>
      <c r="AF22" s="1126">
        <f>SUM(AF23,AF25,AF28,AF31)</f>
        <v>40000</v>
      </c>
      <c r="AG22" s="1126">
        <f>SUM(AG23,AG25,AG28,AG31)</f>
        <v>0</v>
      </c>
      <c r="AH22" s="1126">
        <f>SUM(AH23,AH25,AH28,AH31)</f>
        <v>298400</v>
      </c>
      <c r="AI22" s="1126">
        <f>SUM(AI23,AI25,AI28,AI31)</f>
        <v>295000</v>
      </c>
      <c r="AJ22" s="1126"/>
      <c r="AK22" s="1142"/>
      <c r="AL22" s="1126">
        <f>SUM(AL23,AL25,AL28,AL31)</f>
        <v>3400</v>
      </c>
      <c r="AM22" s="1126"/>
      <c r="AN22" s="1126"/>
      <c r="AO22" s="1123"/>
      <c r="AP22" s="1123"/>
      <c r="AQ22" s="1123"/>
    </row>
    <row r="23" spans="1:43" ht="75">
      <c r="A23" s="18" t="s">
        <v>2147</v>
      </c>
      <c r="B23" s="1132" t="s">
        <v>621</v>
      </c>
      <c r="C23" s="1127"/>
      <c r="D23" s="1128" t="s">
        <v>57</v>
      </c>
      <c r="E23" s="1128" t="s">
        <v>2148</v>
      </c>
      <c r="F23" s="1128" t="s">
        <v>630</v>
      </c>
      <c r="G23" s="1129">
        <f t="shared" si="5"/>
        <v>3.4545655538359497</v>
      </c>
      <c r="H23" s="1129"/>
      <c r="I23" s="1129"/>
      <c r="J23" s="1130"/>
      <c r="K23" s="1130"/>
      <c r="L23" s="1130"/>
      <c r="M23" s="1131">
        <f>SUM(M24)</f>
        <v>0</v>
      </c>
      <c r="N23" s="1131">
        <f t="shared" ref="N23:O23" si="23">SUM(N24)</f>
        <v>0</v>
      </c>
      <c r="O23" s="1131">
        <f t="shared" si="23"/>
        <v>0</v>
      </c>
      <c r="P23" s="1130"/>
      <c r="Q23" s="1130"/>
      <c r="R23" s="1130"/>
      <c r="S23" s="1131">
        <f t="shared" ref="S23:U23" si="24">SUM(S24)</f>
        <v>0</v>
      </c>
      <c r="T23" s="1131">
        <f t="shared" si="24"/>
        <v>0</v>
      </c>
      <c r="U23" s="1131">
        <f t="shared" si="24"/>
        <v>40000</v>
      </c>
      <c r="V23" s="1130"/>
      <c r="W23" s="1130"/>
      <c r="X23" s="1130"/>
      <c r="Y23" s="1131">
        <f t="shared" ref="Y23:AA23" si="25">SUM(Y24)</f>
        <v>0</v>
      </c>
      <c r="Z23" s="1131">
        <f t="shared" si="25"/>
        <v>0</v>
      </c>
      <c r="AA23" s="1131">
        <f t="shared" si="25"/>
        <v>0</v>
      </c>
      <c r="AB23" s="1130"/>
      <c r="AC23" s="1130"/>
      <c r="AD23" s="1130"/>
      <c r="AE23" s="1131">
        <f t="shared" ref="AE23:AI23" si="26">SUM(AE24)</f>
        <v>0</v>
      </c>
      <c r="AF23" s="1131">
        <f t="shared" si="26"/>
        <v>35000</v>
      </c>
      <c r="AG23" s="1131">
        <f t="shared" si="26"/>
        <v>0</v>
      </c>
      <c r="AH23" s="1131">
        <f t="shared" si="26"/>
        <v>75000</v>
      </c>
      <c r="AI23" s="1131">
        <f t="shared" si="26"/>
        <v>75000</v>
      </c>
      <c r="AJ23" s="1131"/>
      <c r="AK23" s="1143"/>
      <c r="AL23" s="1131"/>
      <c r="AM23" s="1131"/>
      <c r="AN23" s="1131"/>
      <c r="AO23" s="1132"/>
      <c r="AP23" s="1132"/>
      <c r="AQ23" s="1132"/>
    </row>
    <row r="24" spans="1:43" ht="90">
      <c r="A24" s="22" t="s">
        <v>2149</v>
      </c>
      <c r="B24" s="1133" t="s">
        <v>2150</v>
      </c>
      <c r="C24" s="1134">
        <f t="shared" ref="C24" si="27">SUM(J24,K24,L24,P24,Q24,R24,V24,W24,X24,AB24,AC24,AD24)</f>
        <v>1</v>
      </c>
      <c r="D24" s="1133" t="s">
        <v>2021</v>
      </c>
      <c r="E24" s="1133" t="s">
        <v>2151</v>
      </c>
      <c r="F24" s="1135" t="s">
        <v>2152</v>
      </c>
      <c r="G24" s="1136">
        <f t="shared" si="5"/>
        <v>3.4545655538359497</v>
      </c>
      <c r="H24" s="1136"/>
      <c r="I24" s="1136">
        <f>AH24/AH23*100</f>
        <v>100</v>
      </c>
      <c r="J24" s="1137"/>
      <c r="K24" s="1137"/>
      <c r="L24" s="1137"/>
      <c r="M24" s="1138"/>
      <c r="N24" s="1138"/>
      <c r="O24" s="1138"/>
      <c r="P24" s="1137"/>
      <c r="Q24" s="1137"/>
      <c r="R24" s="1144">
        <v>0.6</v>
      </c>
      <c r="S24" s="1138"/>
      <c r="T24" s="1138"/>
      <c r="U24" s="1138">
        <v>40000</v>
      </c>
      <c r="V24" s="1137"/>
      <c r="W24" s="1137"/>
      <c r="X24" s="1137"/>
      <c r="Y24" s="1138"/>
      <c r="Z24" s="1138"/>
      <c r="AA24" s="1138"/>
      <c r="AB24" s="1137"/>
      <c r="AC24" s="1144">
        <v>0.4</v>
      </c>
      <c r="AD24" s="1137"/>
      <c r="AE24" s="1138"/>
      <c r="AF24" s="1138">
        <v>35000</v>
      </c>
      <c r="AG24" s="1138"/>
      <c r="AH24" s="1138">
        <f>+AG24+AF24+AE24+AA24+Z24+Y24+U24+T24+S24+O24+N24+M24</f>
        <v>75000</v>
      </c>
      <c r="AI24" s="78">
        <v>75000</v>
      </c>
      <c r="AJ24" s="1138"/>
      <c r="AK24" s="1135"/>
      <c r="AL24" s="1138"/>
      <c r="AM24" s="1138"/>
      <c r="AN24" s="1138"/>
      <c r="AO24" s="1133" t="s">
        <v>465</v>
      </c>
      <c r="AP24" s="1133" t="s">
        <v>2116</v>
      </c>
      <c r="AQ24" s="1133"/>
    </row>
    <row r="25" spans="1:43" ht="135">
      <c r="A25" s="18" t="s">
        <v>2153</v>
      </c>
      <c r="B25" s="1132" t="s">
        <v>2154</v>
      </c>
      <c r="C25" s="1127"/>
      <c r="D25" s="1128" t="s">
        <v>2155</v>
      </c>
      <c r="E25" s="1128" t="s">
        <v>2156</v>
      </c>
      <c r="F25" s="1128" t="s">
        <v>2157</v>
      </c>
      <c r="G25" s="1129">
        <f t="shared" si="5"/>
        <v>3.8414768958655761</v>
      </c>
      <c r="H25" s="1129"/>
      <c r="I25" s="1129"/>
      <c r="J25" s="1130"/>
      <c r="K25" s="1130"/>
      <c r="L25" s="1130"/>
      <c r="M25" s="1131">
        <f t="shared" ref="M25:O25" si="28">SUM(M26,M27)</f>
        <v>0</v>
      </c>
      <c r="N25" s="1131">
        <f t="shared" si="28"/>
        <v>0</v>
      </c>
      <c r="O25" s="1131">
        <f t="shared" si="28"/>
        <v>25600</v>
      </c>
      <c r="P25" s="1130"/>
      <c r="Q25" s="1130"/>
      <c r="R25" s="1130"/>
      <c r="S25" s="1131">
        <f t="shared" ref="S25:U25" si="29">SUM(S26,S27)</f>
        <v>22800</v>
      </c>
      <c r="T25" s="1131">
        <f t="shared" si="29"/>
        <v>0</v>
      </c>
      <c r="U25" s="1131">
        <f t="shared" si="29"/>
        <v>0</v>
      </c>
      <c r="V25" s="1130"/>
      <c r="W25" s="1130"/>
      <c r="X25" s="1130"/>
      <c r="Y25" s="1131">
        <f t="shared" ref="Y25:AA25" si="30">SUM(Y26,Y27)</f>
        <v>5000</v>
      </c>
      <c r="Z25" s="1131">
        <f t="shared" si="30"/>
        <v>5000</v>
      </c>
      <c r="AA25" s="1131">
        <f t="shared" si="30"/>
        <v>0</v>
      </c>
      <c r="AB25" s="1130"/>
      <c r="AC25" s="1130"/>
      <c r="AD25" s="1130"/>
      <c r="AE25" s="1131">
        <f t="shared" ref="AE25:AI25" si="31">SUM(AE26,AE27)</f>
        <v>20000</v>
      </c>
      <c r="AF25" s="1131">
        <f t="shared" si="31"/>
        <v>5000</v>
      </c>
      <c r="AG25" s="1131">
        <f t="shared" si="31"/>
        <v>0</v>
      </c>
      <c r="AH25" s="1131">
        <f t="shared" si="31"/>
        <v>83400</v>
      </c>
      <c r="AI25" s="1131">
        <f t="shared" si="31"/>
        <v>80000</v>
      </c>
      <c r="AJ25" s="1131"/>
      <c r="AK25" s="1131"/>
      <c r="AL25" s="1131">
        <f>SUM(AL26,AL27)</f>
        <v>3400</v>
      </c>
      <c r="AM25" s="1131"/>
      <c r="AN25" s="1131"/>
      <c r="AO25" s="1132"/>
      <c r="AP25" s="1132"/>
      <c r="AQ25" s="1132"/>
    </row>
    <row r="26" spans="1:43" ht="90">
      <c r="A26" s="22" t="s">
        <v>2158</v>
      </c>
      <c r="B26" s="1133" t="s">
        <v>2159</v>
      </c>
      <c r="C26" s="1134">
        <f t="shared" ref="C26:C27" si="32">SUM(J26,K26,L26,P26,Q26,R26,V26,W26,X26,AB26,AC26,AD26)</f>
        <v>2</v>
      </c>
      <c r="D26" s="1133" t="s">
        <v>1057</v>
      </c>
      <c r="E26" s="1133" t="s">
        <v>2160</v>
      </c>
      <c r="F26" s="1135" t="s">
        <v>2161</v>
      </c>
      <c r="G26" s="1136">
        <f t="shared" si="5"/>
        <v>1.3818262215343797</v>
      </c>
      <c r="H26" s="1136"/>
      <c r="I26" s="1136">
        <f>AH26/AH$25*100</f>
        <v>35.97122302158273</v>
      </c>
      <c r="J26" s="1137"/>
      <c r="K26" s="1137"/>
      <c r="L26" s="1137"/>
      <c r="M26" s="1138"/>
      <c r="N26" s="1138"/>
      <c r="O26" s="1138"/>
      <c r="P26" s="1137">
        <v>1</v>
      </c>
      <c r="Q26" s="1137"/>
      <c r="R26" s="1137"/>
      <c r="S26" s="1138">
        <f>$AH26/$C26*P26</f>
        <v>15000</v>
      </c>
      <c r="T26" s="1138"/>
      <c r="U26" s="1138"/>
      <c r="V26" s="1137"/>
      <c r="W26" s="1137"/>
      <c r="X26" s="1137"/>
      <c r="Y26" s="1138"/>
      <c r="Z26" s="1138"/>
      <c r="AA26" s="1138"/>
      <c r="AB26" s="1137">
        <v>1</v>
      </c>
      <c r="AC26" s="1137"/>
      <c r="AD26" s="1137"/>
      <c r="AE26" s="1138">
        <f>$AH26/$C26*AB26</f>
        <v>15000</v>
      </c>
      <c r="AF26" s="1138"/>
      <c r="AG26" s="1138"/>
      <c r="AH26" s="1138">
        <f t="shared" ref="AH26" si="33">SUM(AI26,AJ26,AK26,AL26,AM26,AN26)</f>
        <v>30000</v>
      </c>
      <c r="AI26" s="78">
        <f>MROUND('[1]POA 2021 DGFCR (2)'!AI30,5)</f>
        <v>30000</v>
      </c>
      <c r="AJ26" s="1138"/>
      <c r="AK26" s="1138"/>
      <c r="AL26" s="1138"/>
      <c r="AM26" s="1138"/>
      <c r="AN26" s="1138"/>
      <c r="AO26" s="1133" t="s">
        <v>2162</v>
      </c>
      <c r="AP26" s="1133" t="s">
        <v>2116</v>
      </c>
      <c r="AQ26" s="1133"/>
    </row>
    <row r="27" spans="1:43" ht="45">
      <c r="A27" s="22" t="s">
        <v>2163</v>
      </c>
      <c r="B27" s="1133" t="s">
        <v>2164</v>
      </c>
      <c r="C27" s="1134">
        <f t="shared" si="32"/>
        <v>100</v>
      </c>
      <c r="D27" s="1133" t="s">
        <v>2155</v>
      </c>
      <c r="E27" s="1133" t="s">
        <v>2165</v>
      </c>
      <c r="F27" s="1135" t="s">
        <v>2157</v>
      </c>
      <c r="G27" s="1136">
        <f t="shared" si="5"/>
        <v>2.4596506743311961</v>
      </c>
      <c r="H27" s="1136"/>
      <c r="I27" s="1136">
        <f t="shared" ref="I27" si="34">AH27/AH$25*100</f>
        <v>64.02877697841727</v>
      </c>
      <c r="J27" s="1137"/>
      <c r="K27" s="1137"/>
      <c r="L27" s="1137">
        <v>54</v>
      </c>
      <c r="M27" s="1138"/>
      <c r="N27" s="1138"/>
      <c r="O27" s="1138">
        <v>25600</v>
      </c>
      <c r="P27" s="1137">
        <v>6</v>
      </c>
      <c r="Q27" s="1137"/>
      <c r="R27" s="1137"/>
      <c r="S27" s="1138">
        <v>7800</v>
      </c>
      <c r="T27" s="1138"/>
      <c r="U27" s="1138"/>
      <c r="V27" s="1137"/>
      <c r="W27" s="1137">
        <v>10</v>
      </c>
      <c r="X27" s="1137">
        <v>10</v>
      </c>
      <c r="Y27" s="1138">
        <v>5000</v>
      </c>
      <c r="Z27" s="1138">
        <v>5000</v>
      </c>
      <c r="AA27" s="1138"/>
      <c r="AB27" s="1137">
        <v>10</v>
      </c>
      <c r="AC27" s="1137">
        <v>10</v>
      </c>
      <c r="AD27" s="1137"/>
      <c r="AE27" s="1138">
        <v>5000</v>
      </c>
      <c r="AF27" s="1138">
        <v>5000</v>
      </c>
      <c r="AG27" s="1138"/>
      <c r="AH27" s="1138">
        <v>53400</v>
      </c>
      <c r="AI27" s="78">
        <f>MROUND('[1]POA 2021 DGFCR (2)'!AI31,5)</f>
        <v>50000</v>
      </c>
      <c r="AJ27" s="1138"/>
      <c r="AK27" s="1138"/>
      <c r="AL27" s="78">
        <f>MROUND('[1]POA 2021 DGFCR (2)'!AL31,5)</f>
        <v>3400</v>
      </c>
      <c r="AM27" s="1138"/>
      <c r="AN27" s="1138"/>
      <c r="AO27" s="1133" t="s">
        <v>465</v>
      </c>
      <c r="AP27" s="1133" t="s">
        <v>2116</v>
      </c>
      <c r="AQ27" s="1133"/>
    </row>
    <row r="28" spans="1:43" ht="45">
      <c r="A28" s="18" t="s">
        <v>2166</v>
      </c>
      <c r="B28" s="1132" t="s">
        <v>2167</v>
      </c>
      <c r="C28" s="1127"/>
      <c r="D28" s="1128" t="s">
        <v>944</v>
      </c>
      <c r="E28" s="1128" t="s">
        <v>2168</v>
      </c>
      <c r="F28" s="1128" t="s">
        <v>2169</v>
      </c>
      <c r="G28" s="1129">
        <f t="shared" si="5"/>
        <v>4.1454786646031394</v>
      </c>
      <c r="H28" s="1129"/>
      <c r="I28" s="1129"/>
      <c r="J28" s="1130"/>
      <c r="K28" s="1130"/>
      <c r="L28" s="1130"/>
      <c r="M28" s="1131">
        <f>SUM(M29,M30)</f>
        <v>0</v>
      </c>
      <c r="N28" s="1131">
        <f t="shared" ref="N28:O28" si="35">SUM(N29,N30)</f>
        <v>2727.2727272727275</v>
      </c>
      <c r="O28" s="1131">
        <f t="shared" si="35"/>
        <v>8181.818181818182</v>
      </c>
      <c r="P28" s="1130"/>
      <c r="Q28" s="1130"/>
      <c r="R28" s="1130"/>
      <c r="S28" s="1131">
        <f t="shared" ref="S28:U28" si="36">SUM(S29,S30)</f>
        <v>13636.363636363638</v>
      </c>
      <c r="T28" s="1131">
        <f t="shared" si="36"/>
        <v>38181.818181818184</v>
      </c>
      <c r="U28" s="1131">
        <f t="shared" si="36"/>
        <v>2727.2727272727275</v>
      </c>
      <c r="V28" s="1130"/>
      <c r="W28" s="1130"/>
      <c r="X28" s="1130"/>
      <c r="Y28" s="1131">
        <f t="shared" ref="Y28:AA28" si="37">SUM(Y29,Y30)</f>
        <v>0</v>
      </c>
      <c r="Z28" s="1131">
        <f t="shared" si="37"/>
        <v>13636.363636363638</v>
      </c>
      <c r="AA28" s="1131">
        <f t="shared" si="37"/>
        <v>10909.09090909091</v>
      </c>
      <c r="AB28" s="1130"/>
      <c r="AC28" s="1130"/>
      <c r="AD28" s="1130"/>
      <c r="AE28" s="1131">
        <f t="shared" ref="AE28:AI28" si="38">SUM(AE29,AE30)</f>
        <v>0</v>
      </c>
      <c r="AF28" s="1131">
        <f t="shared" si="38"/>
        <v>0</v>
      </c>
      <c r="AG28" s="1131">
        <f t="shared" si="38"/>
        <v>0</v>
      </c>
      <c r="AH28" s="1131">
        <f t="shared" si="38"/>
        <v>90000</v>
      </c>
      <c r="AI28" s="1131">
        <f t="shared" si="38"/>
        <v>90000</v>
      </c>
      <c r="AJ28" s="1131"/>
      <c r="AK28" s="1131"/>
      <c r="AL28" s="1131"/>
      <c r="AM28" s="1131"/>
      <c r="AN28" s="1131"/>
      <c r="AO28" s="1132"/>
      <c r="AP28" s="1132"/>
      <c r="AQ28" s="1132"/>
    </row>
    <row r="29" spans="1:43" ht="120">
      <c r="A29" s="22" t="s">
        <v>2170</v>
      </c>
      <c r="B29" s="1133" t="s">
        <v>2171</v>
      </c>
      <c r="C29" s="1134">
        <f t="shared" ref="C29:C32" si="39">SUM(J29,K29,L29,P29,Q29,R29,V29,W29,X29,AB29,AC29,AD29)</f>
        <v>6</v>
      </c>
      <c r="D29" s="1133" t="s">
        <v>1661</v>
      </c>
      <c r="E29" s="1133" t="s">
        <v>2172</v>
      </c>
      <c r="F29" s="1135" t="s">
        <v>2173</v>
      </c>
      <c r="G29" s="1136">
        <f t="shared" si="5"/>
        <v>1.3818262215343797</v>
      </c>
      <c r="H29" s="1136"/>
      <c r="I29" s="1136">
        <f>AH29/AH$28*100</f>
        <v>33.333333333333329</v>
      </c>
      <c r="J29" s="1137"/>
      <c r="K29" s="1137"/>
      <c r="L29" s="1137"/>
      <c r="M29" s="1138"/>
      <c r="N29" s="1138"/>
      <c r="O29" s="1138"/>
      <c r="P29" s="1137"/>
      <c r="Q29" s="1137">
        <v>6</v>
      </c>
      <c r="R29" s="1137"/>
      <c r="S29" s="1138"/>
      <c r="T29" s="1138">
        <f>$AH29/$C29*Q29</f>
        <v>30000</v>
      </c>
      <c r="U29" s="1138"/>
      <c r="V29" s="1137"/>
      <c r="W29" s="1137"/>
      <c r="X29" s="1137"/>
      <c r="Y29" s="1138"/>
      <c r="Z29" s="1138"/>
      <c r="AA29" s="1138"/>
      <c r="AB29" s="1137"/>
      <c r="AC29" s="1137"/>
      <c r="AD29" s="1137"/>
      <c r="AE29" s="1138"/>
      <c r="AF29" s="1138"/>
      <c r="AG29" s="1138"/>
      <c r="AH29" s="1138">
        <f t="shared" ref="AH29" si="40">SUM(AI29,AJ29,AK29,AL29,AM29,AN29)</f>
        <v>30000</v>
      </c>
      <c r="AI29" s="78">
        <f>MROUND('[1]POA 2021 DGFCR (2)'!AI33,5)</f>
        <v>30000</v>
      </c>
      <c r="AJ29" s="1138"/>
      <c r="AK29" s="1138"/>
      <c r="AL29" s="1138"/>
      <c r="AM29" s="1138"/>
      <c r="AN29" s="1138"/>
      <c r="AO29" s="1133" t="s">
        <v>2174</v>
      </c>
      <c r="AP29" s="1133" t="s">
        <v>2116</v>
      </c>
      <c r="AQ29" s="1133"/>
    </row>
    <row r="30" spans="1:43" ht="75">
      <c r="A30" s="22" t="s">
        <v>2175</v>
      </c>
      <c r="B30" s="1133" t="s">
        <v>2176</v>
      </c>
      <c r="C30" s="1134">
        <f t="shared" si="39"/>
        <v>22</v>
      </c>
      <c r="D30" s="1133" t="s">
        <v>944</v>
      </c>
      <c r="E30" s="1133" t="s">
        <v>2177</v>
      </c>
      <c r="F30" s="1135" t="s">
        <v>2178</v>
      </c>
      <c r="G30" s="1136">
        <f t="shared" si="5"/>
        <v>2.7636524430687595</v>
      </c>
      <c r="H30" s="1136"/>
      <c r="I30" s="1136">
        <f t="shared" ref="I30" si="41">AH30/AH$28*100</f>
        <v>66.666666666666657</v>
      </c>
      <c r="J30" s="1137"/>
      <c r="K30" s="1137">
        <v>1</v>
      </c>
      <c r="L30" s="1137">
        <v>3</v>
      </c>
      <c r="M30" s="1138"/>
      <c r="N30" s="1138">
        <f>$AH30/$C30*K30</f>
        <v>2727.2727272727275</v>
      </c>
      <c r="O30" s="1138">
        <f>$AH30/$C30*L30</f>
        <v>8181.818181818182</v>
      </c>
      <c r="P30" s="1137">
        <v>5</v>
      </c>
      <c r="Q30" s="1137">
        <v>3</v>
      </c>
      <c r="R30" s="1137">
        <v>1</v>
      </c>
      <c r="S30" s="1138">
        <f t="shared" ref="S30:U30" si="42">$AH30/$C30*P30</f>
        <v>13636.363636363638</v>
      </c>
      <c r="T30" s="1138">
        <f t="shared" si="42"/>
        <v>8181.818181818182</v>
      </c>
      <c r="U30" s="1138">
        <f t="shared" si="42"/>
        <v>2727.2727272727275</v>
      </c>
      <c r="V30" s="1137"/>
      <c r="W30" s="1137">
        <v>5</v>
      </c>
      <c r="X30" s="1137">
        <v>4</v>
      </c>
      <c r="Y30" s="1138"/>
      <c r="Z30" s="1138">
        <f t="shared" ref="Z30:AA30" si="43">$AH30/$C30*W30</f>
        <v>13636.363636363638</v>
      </c>
      <c r="AA30" s="1138">
        <f t="shared" si="43"/>
        <v>10909.09090909091</v>
      </c>
      <c r="AB30" s="1137"/>
      <c r="AC30" s="1137"/>
      <c r="AD30" s="1137"/>
      <c r="AE30" s="1138"/>
      <c r="AF30" s="1138"/>
      <c r="AG30" s="1138"/>
      <c r="AH30" s="1138">
        <f>SUM(AI30,AJ30,AK30,AL30,AM30,AN30)</f>
        <v>60000</v>
      </c>
      <c r="AI30" s="78">
        <f>MROUND('[1]POA 2021 DGFCR (2)'!AI34,5)</f>
        <v>60000</v>
      </c>
      <c r="AJ30" s="1138"/>
      <c r="AK30" s="1138"/>
      <c r="AL30" s="1138"/>
      <c r="AM30" s="1138"/>
      <c r="AN30" s="1138"/>
      <c r="AO30" s="1133" t="s">
        <v>465</v>
      </c>
      <c r="AP30" s="1133" t="s">
        <v>2116</v>
      </c>
      <c r="AQ30" s="1133"/>
    </row>
    <row r="31" spans="1:43" ht="105">
      <c r="A31" s="18" t="s">
        <v>2179</v>
      </c>
      <c r="B31" s="1132" t="s">
        <v>2180</v>
      </c>
      <c r="C31" s="1127"/>
      <c r="D31" s="1128" t="s">
        <v>995</v>
      </c>
      <c r="E31" s="1128" t="s">
        <v>2181</v>
      </c>
      <c r="F31" s="1128" t="s">
        <v>2182</v>
      </c>
      <c r="G31" s="1129">
        <f t="shared" si="5"/>
        <v>2.3030437025572996</v>
      </c>
      <c r="H31" s="1129"/>
      <c r="I31" s="1129"/>
      <c r="J31" s="1130"/>
      <c r="K31" s="1130"/>
      <c r="L31" s="1130"/>
      <c r="M31" s="1131">
        <f>+M32</f>
        <v>0</v>
      </c>
      <c r="N31" s="1131">
        <f>+N32</f>
        <v>0</v>
      </c>
      <c r="O31" s="1131">
        <f>+O32</f>
        <v>0</v>
      </c>
      <c r="P31" s="1130"/>
      <c r="Q31" s="1130"/>
      <c r="R31" s="1130"/>
      <c r="S31" s="1131">
        <f>+S32</f>
        <v>0</v>
      </c>
      <c r="T31" s="1131">
        <f>+T32</f>
        <v>0</v>
      </c>
      <c r="U31" s="1131">
        <f>+U32</f>
        <v>0</v>
      </c>
      <c r="V31" s="1130"/>
      <c r="W31" s="1130"/>
      <c r="X31" s="1130"/>
      <c r="Y31" s="1131">
        <f>+Y32</f>
        <v>25000</v>
      </c>
      <c r="Z31" s="1131">
        <f>+Z32</f>
        <v>0</v>
      </c>
      <c r="AA31" s="1131">
        <f>+AA32</f>
        <v>0</v>
      </c>
      <c r="AB31" s="1130"/>
      <c r="AC31" s="1130"/>
      <c r="AD31" s="1130"/>
      <c r="AE31" s="1131">
        <f>+AE32</f>
        <v>25000</v>
      </c>
      <c r="AF31" s="1131">
        <f>+AF32</f>
        <v>0</v>
      </c>
      <c r="AG31" s="1131">
        <f>+AG32</f>
        <v>0</v>
      </c>
      <c r="AH31" s="1131">
        <f>+AH32</f>
        <v>50000</v>
      </c>
      <c r="AI31" s="1131">
        <f>+AI32</f>
        <v>50000</v>
      </c>
      <c r="AJ31" s="1131"/>
      <c r="AK31" s="1131"/>
      <c r="AL31" s="1131"/>
      <c r="AM31" s="1131"/>
      <c r="AN31" s="1131"/>
      <c r="AO31" s="1132"/>
      <c r="AP31" s="1132"/>
      <c r="AQ31" s="1132"/>
    </row>
    <row r="32" spans="1:43" ht="90">
      <c r="A32" s="22" t="s">
        <v>2183</v>
      </c>
      <c r="B32" s="1133" t="s">
        <v>2184</v>
      </c>
      <c r="C32" s="1134">
        <f t="shared" si="39"/>
        <v>1</v>
      </c>
      <c r="D32" s="1133" t="s">
        <v>995</v>
      </c>
      <c r="E32" s="1133" t="s">
        <v>2181</v>
      </c>
      <c r="F32" s="1135" t="s">
        <v>2182</v>
      </c>
      <c r="G32" s="1136">
        <f t="shared" si="5"/>
        <v>2.3030437025572996</v>
      </c>
      <c r="H32" s="1136"/>
      <c r="I32" s="1136">
        <f>AH32/AH31*100</f>
        <v>100</v>
      </c>
      <c r="J32" s="1137"/>
      <c r="K32" s="1137"/>
      <c r="L32" s="1137"/>
      <c r="M32" s="1138"/>
      <c r="N32" s="1138"/>
      <c r="O32" s="1138"/>
      <c r="P32" s="1137"/>
      <c r="Q32" s="1137"/>
      <c r="R32" s="1137"/>
      <c r="S32" s="1138"/>
      <c r="T32" s="1138"/>
      <c r="U32" s="1138"/>
      <c r="V32" s="1137"/>
      <c r="W32" s="1144">
        <v>0.5</v>
      </c>
      <c r="X32" s="1137"/>
      <c r="Y32" s="1138">
        <v>25000</v>
      </c>
      <c r="Z32" s="1138"/>
      <c r="AA32" s="1138"/>
      <c r="AB32" s="1144">
        <v>0.5</v>
      </c>
      <c r="AC32" s="1137"/>
      <c r="AD32" s="1137"/>
      <c r="AE32" s="1138">
        <v>25000</v>
      </c>
      <c r="AF32" s="1138"/>
      <c r="AG32" s="1138"/>
      <c r="AH32" s="1138">
        <f>SUM(AI32,AJ32,AK32,AL32,AM32,AN32)</f>
        <v>50000</v>
      </c>
      <c r="AI32" s="78">
        <f>MROUND('[1]POA 2021 DGFCR (2)'!AI36,5)</f>
        <v>50000</v>
      </c>
      <c r="AJ32" s="1138"/>
      <c r="AK32" s="1138"/>
      <c r="AL32" s="1138"/>
      <c r="AM32" s="1138"/>
      <c r="AN32" s="1138"/>
      <c r="AO32" s="1133" t="s">
        <v>2174</v>
      </c>
      <c r="AP32" s="1133" t="s">
        <v>2116</v>
      </c>
      <c r="AQ32" s="1133"/>
    </row>
    <row r="33" spans="1:43" ht="45">
      <c r="A33" s="14" t="s">
        <v>1890</v>
      </c>
      <c r="B33" s="1142" t="s">
        <v>1891</v>
      </c>
      <c r="C33" s="1122"/>
      <c r="D33" s="1123"/>
      <c r="E33" s="1123"/>
      <c r="F33" s="1123"/>
      <c r="G33" s="1124">
        <f t="shared" si="5"/>
        <v>9.3388422138698512</v>
      </c>
      <c r="H33" s="1124">
        <f>G33</f>
        <v>9.3388422138698512</v>
      </c>
      <c r="I33" s="1124"/>
      <c r="J33" s="1125"/>
      <c r="K33" s="1125"/>
      <c r="L33" s="1125"/>
      <c r="M33" s="1126"/>
      <c r="N33" s="1126"/>
      <c r="O33" s="1126">
        <f t="shared" ref="O33" si="44">+O34</f>
        <v>11000</v>
      </c>
      <c r="P33" s="1125"/>
      <c r="Q33" s="1125"/>
      <c r="R33" s="1125"/>
      <c r="S33" s="1126">
        <f t="shared" ref="S33:U33" si="45">+S34</f>
        <v>33500</v>
      </c>
      <c r="T33" s="1126">
        <f>+T34</f>
        <v>36000</v>
      </c>
      <c r="U33" s="1126">
        <f t="shared" si="45"/>
        <v>34500</v>
      </c>
      <c r="V33" s="1125"/>
      <c r="W33" s="1125"/>
      <c r="X33" s="1125"/>
      <c r="Y33" s="1126">
        <f t="shared" ref="Y33:Z33" si="46">+Y34</f>
        <v>0</v>
      </c>
      <c r="Z33" s="1126">
        <f t="shared" si="46"/>
        <v>27750</v>
      </c>
      <c r="AA33" s="1126"/>
      <c r="AB33" s="1125"/>
      <c r="AC33" s="1125"/>
      <c r="AD33" s="1125"/>
      <c r="AE33" s="1126"/>
      <c r="AF33" s="1126">
        <f t="shared" ref="AF33:AI33" si="47">+AF34</f>
        <v>0</v>
      </c>
      <c r="AG33" s="1126">
        <f t="shared" si="47"/>
        <v>60000</v>
      </c>
      <c r="AH33" s="1126">
        <f t="shared" si="47"/>
        <v>202750</v>
      </c>
      <c r="AI33" s="1126">
        <f t="shared" si="47"/>
        <v>202750</v>
      </c>
      <c r="AJ33" s="1126"/>
      <c r="AK33" s="1126"/>
      <c r="AL33" s="1126"/>
      <c r="AM33" s="1126"/>
      <c r="AN33" s="1126"/>
      <c r="AO33" s="1123"/>
      <c r="AP33" s="1123"/>
      <c r="AQ33" s="1123"/>
    </row>
    <row r="34" spans="1:43" ht="105">
      <c r="A34" s="18" t="s">
        <v>1892</v>
      </c>
      <c r="B34" s="1143" t="s">
        <v>1893</v>
      </c>
      <c r="C34" s="1127"/>
      <c r="D34" s="1128" t="s">
        <v>1894</v>
      </c>
      <c r="E34" s="1128" t="s">
        <v>1895</v>
      </c>
      <c r="F34" s="1128" t="s">
        <v>1596</v>
      </c>
      <c r="G34" s="1129">
        <f t="shared" si="5"/>
        <v>9.3388422138698512</v>
      </c>
      <c r="H34" s="1129"/>
      <c r="I34" s="1129"/>
      <c r="J34" s="1130"/>
      <c r="K34" s="1130"/>
      <c r="L34" s="1130"/>
      <c r="M34" s="1131">
        <f>SUM(M35,M36,M37)</f>
        <v>0</v>
      </c>
      <c r="N34" s="1131">
        <f t="shared" ref="N34:O34" si="48">SUM(N35,N36,N37)</f>
        <v>0</v>
      </c>
      <c r="O34" s="1131">
        <f t="shared" si="48"/>
        <v>11000</v>
      </c>
      <c r="P34" s="1130"/>
      <c r="Q34" s="1130"/>
      <c r="R34" s="1130"/>
      <c r="S34" s="1131">
        <f t="shared" ref="S34:U34" si="49">SUM(S35,S36,S37)</f>
        <v>33500</v>
      </c>
      <c r="T34" s="1131">
        <f t="shared" si="49"/>
        <v>36000</v>
      </c>
      <c r="U34" s="1131">
        <f t="shared" si="49"/>
        <v>34500</v>
      </c>
      <c r="V34" s="1130"/>
      <c r="W34" s="1130"/>
      <c r="X34" s="1130"/>
      <c r="Y34" s="1131">
        <f t="shared" ref="Y34:AA34" si="50">SUM(Y35,Y36,Y37)</f>
        <v>0</v>
      </c>
      <c r="Z34" s="1131">
        <f t="shared" si="50"/>
        <v>27750</v>
      </c>
      <c r="AA34" s="1131">
        <f t="shared" si="50"/>
        <v>0</v>
      </c>
      <c r="AB34" s="1130"/>
      <c r="AC34" s="1130"/>
      <c r="AD34" s="1130"/>
      <c r="AE34" s="1131">
        <f t="shared" ref="AE34:AI34" si="51">SUM(AE35,AE36,AE37)</f>
        <v>0</v>
      </c>
      <c r="AF34" s="1131">
        <f t="shared" si="51"/>
        <v>0</v>
      </c>
      <c r="AG34" s="1131">
        <f t="shared" si="51"/>
        <v>60000</v>
      </c>
      <c r="AH34" s="1131">
        <f t="shared" si="51"/>
        <v>202750</v>
      </c>
      <c r="AI34" s="1131">
        <f t="shared" si="51"/>
        <v>202750</v>
      </c>
      <c r="AJ34" s="1131"/>
      <c r="AK34" s="1131"/>
      <c r="AL34" s="1131"/>
      <c r="AM34" s="1131"/>
      <c r="AN34" s="1131"/>
      <c r="AO34" s="1132"/>
      <c r="AP34" s="1132"/>
      <c r="AQ34" s="1132"/>
    </row>
    <row r="35" spans="1:43" ht="45">
      <c r="A35" s="22" t="s">
        <v>2185</v>
      </c>
      <c r="B35" s="1135" t="s">
        <v>2186</v>
      </c>
      <c r="C35" s="1134">
        <f t="shared" ref="C35:C37" si="52">SUM(J35,K35,L35,P35,Q35,R35,V35,W35,X35,AB35,AC35,AD35)</f>
        <v>5</v>
      </c>
      <c r="D35" s="1133" t="s">
        <v>1894</v>
      </c>
      <c r="E35" s="1133" t="s">
        <v>2187</v>
      </c>
      <c r="F35" s="1135" t="s">
        <v>2188</v>
      </c>
      <c r="G35" s="1136">
        <f t="shared" si="5"/>
        <v>2.4872871987618836</v>
      </c>
      <c r="H35" s="1136"/>
      <c r="I35" s="1136">
        <f>AH35/AH$34*100</f>
        <v>26.633785450061652</v>
      </c>
      <c r="J35" s="1137"/>
      <c r="K35" s="1137"/>
      <c r="L35" s="1137">
        <v>1</v>
      </c>
      <c r="M35" s="1138"/>
      <c r="N35" s="1138"/>
      <c r="O35" s="1138">
        <v>11000</v>
      </c>
      <c r="P35" s="1137">
        <v>1</v>
      </c>
      <c r="Q35" s="1137">
        <v>1</v>
      </c>
      <c r="R35" s="1137">
        <v>1</v>
      </c>
      <c r="S35" s="1138">
        <v>11000</v>
      </c>
      <c r="T35" s="1138">
        <v>11000</v>
      </c>
      <c r="U35" s="1138">
        <v>12000</v>
      </c>
      <c r="V35" s="1137"/>
      <c r="W35" s="1137">
        <v>1</v>
      </c>
      <c r="X35" s="1137"/>
      <c r="Y35" s="1138"/>
      <c r="Z35" s="1138">
        <v>9000</v>
      </c>
      <c r="AA35" s="1138"/>
      <c r="AB35" s="1137"/>
      <c r="AC35" s="1137"/>
      <c r="AD35" s="1137"/>
      <c r="AE35" s="1138"/>
      <c r="AF35" s="1138"/>
      <c r="AG35" s="1138"/>
      <c r="AH35" s="1138">
        <f>SUM(M35,N35,O35,S35,T35,U35,Y35,Z35,AA35,AE35,AF35,AG35)</f>
        <v>54000</v>
      </c>
      <c r="AI35" s="78">
        <v>54000</v>
      </c>
      <c r="AJ35" s="1138"/>
      <c r="AK35" s="1138"/>
      <c r="AL35" s="1138"/>
      <c r="AM35" s="1138"/>
      <c r="AN35" s="1138"/>
      <c r="AO35" s="1133" t="s">
        <v>2174</v>
      </c>
      <c r="AP35" s="1133" t="s">
        <v>2116</v>
      </c>
      <c r="AQ35" s="1133"/>
    </row>
    <row r="36" spans="1:43" ht="45">
      <c r="A36" s="22" t="s">
        <v>2189</v>
      </c>
      <c r="B36" s="1135" t="s">
        <v>2190</v>
      </c>
      <c r="C36" s="1134">
        <f t="shared" si="52"/>
        <v>1</v>
      </c>
      <c r="D36" s="1133" t="s">
        <v>159</v>
      </c>
      <c r="E36" s="1133" t="s">
        <v>2191</v>
      </c>
      <c r="F36" s="1135" t="s">
        <v>2192</v>
      </c>
      <c r="G36" s="1136">
        <f t="shared" si="5"/>
        <v>2.7636524430687595</v>
      </c>
      <c r="H36" s="1136"/>
      <c r="I36" s="1136">
        <f t="shared" ref="I36:I37" si="53">AH36/AH$34*100</f>
        <v>29.593094944512949</v>
      </c>
      <c r="J36" s="1137"/>
      <c r="K36" s="1137"/>
      <c r="L36" s="1137"/>
      <c r="M36" s="1138"/>
      <c r="N36" s="1138"/>
      <c r="O36" s="1138"/>
      <c r="P36" s="1137"/>
      <c r="Q36" s="1137"/>
      <c r="R36" s="1137"/>
      <c r="S36" s="1138"/>
      <c r="T36" s="1138"/>
      <c r="U36" s="1138"/>
      <c r="V36" s="1137"/>
      <c r="W36" s="1137"/>
      <c r="X36" s="1137"/>
      <c r="Y36" s="1138"/>
      <c r="Z36" s="1138"/>
      <c r="AA36" s="1138"/>
      <c r="AB36" s="1137"/>
      <c r="AC36" s="1137"/>
      <c r="AD36" s="1137">
        <v>1</v>
      </c>
      <c r="AE36" s="1138"/>
      <c r="AF36" s="1138"/>
      <c r="AG36" s="1138">
        <v>60000</v>
      </c>
      <c r="AH36" s="1138">
        <v>60000</v>
      </c>
      <c r="AI36" s="78">
        <v>60000</v>
      </c>
      <c r="AJ36" s="1138"/>
      <c r="AK36" s="1138"/>
      <c r="AL36" s="1138"/>
      <c r="AM36" s="1138"/>
      <c r="AN36" s="1138"/>
      <c r="AO36" s="1133" t="s">
        <v>465</v>
      </c>
      <c r="AP36" s="1133" t="s">
        <v>2116</v>
      </c>
      <c r="AQ36" s="1133"/>
    </row>
    <row r="37" spans="1:43" ht="60">
      <c r="A37" s="22" t="s">
        <v>2193</v>
      </c>
      <c r="B37" s="1135" t="s">
        <v>2194</v>
      </c>
      <c r="C37" s="1134">
        <f t="shared" si="52"/>
        <v>3</v>
      </c>
      <c r="D37" s="1133" t="s">
        <v>2195</v>
      </c>
      <c r="E37" s="1133" t="s">
        <v>2196</v>
      </c>
      <c r="F37" s="1135" t="s">
        <v>2197</v>
      </c>
      <c r="G37" s="1136">
        <f t="shared" si="5"/>
        <v>4.0879025720392068</v>
      </c>
      <c r="H37" s="1136"/>
      <c r="I37" s="1136">
        <f t="shared" si="53"/>
        <v>43.773119605425407</v>
      </c>
      <c r="J37" s="1137"/>
      <c r="K37" s="1137"/>
      <c r="L37" s="1137"/>
      <c r="M37" s="1138"/>
      <c r="N37" s="1138"/>
      <c r="O37" s="1138"/>
      <c r="P37" s="1144">
        <v>0.9</v>
      </c>
      <c r="Q37" s="1136">
        <v>1</v>
      </c>
      <c r="R37" s="1136">
        <v>0.75</v>
      </c>
      <c r="S37" s="1138">
        <v>22500</v>
      </c>
      <c r="T37" s="1138">
        <v>25000</v>
      </c>
      <c r="U37" s="1138">
        <v>22500</v>
      </c>
      <c r="V37" s="1136"/>
      <c r="W37" s="1136">
        <v>0.35</v>
      </c>
      <c r="X37" s="1137"/>
      <c r="Y37" s="1138"/>
      <c r="Z37" s="1138">
        <v>18750</v>
      </c>
      <c r="AA37" s="1138"/>
      <c r="AB37" s="1137"/>
      <c r="AC37" s="1137"/>
      <c r="AD37" s="1137"/>
      <c r="AE37" s="1138"/>
      <c r="AF37" s="1138">
        <f t="shared" ref="AF37" si="54">$AH37/$C37*AC37</f>
        <v>0</v>
      </c>
      <c r="AG37" s="1138"/>
      <c r="AH37" s="1138">
        <v>88750</v>
      </c>
      <c r="AI37" s="78">
        <v>88750</v>
      </c>
      <c r="AJ37" s="1138"/>
      <c r="AK37" s="1138"/>
      <c r="AL37" s="1138"/>
      <c r="AM37" s="1138"/>
      <c r="AN37" s="1138"/>
      <c r="AO37" s="1133" t="s">
        <v>2174</v>
      </c>
      <c r="AP37" s="1133" t="s">
        <v>2116</v>
      </c>
      <c r="AQ37" s="1133"/>
    </row>
    <row r="38" spans="1:43" ht="60">
      <c r="A38" s="14" t="s">
        <v>2198</v>
      </c>
      <c r="B38" s="1123" t="s">
        <v>2199</v>
      </c>
      <c r="C38" s="1122"/>
      <c r="D38" s="1123"/>
      <c r="E38" s="1123"/>
      <c r="F38" s="1123"/>
      <c r="G38" s="1124">
        <f t="shared" si="5"/>
        <v>13.357423170462082</v>
      </c>
      <c r="H38" s="1124">
        <f>G38</f>
        <v>13.357423170462082</v>
      </c>
      <c r="I38" s="1124"/>
      <c r="J38" s="1125"/>
      <c r="K38" s="1125"/>
      <c r="L38" s="1125"/>
      <c r="M38" s="1126">
        <f>SUM(M39,M41,M45)</f>
        <v>0</v>
      </c>
      <c r="N38" s="1126">
        <f t="shared" ref="N38:O38" si="55">SUM(N39,N41,N45)</f>
        <v>0</v>
      </c>
      <c r="O38" s="1126">
        <f t="shared" si="55"/>
        <v>10000</v>
      </c>
      <c r="P38" s="1125"/>
      <c r="Q38" s="1125"/>
      <c r="R38" s="1125"/>
      <c r="S38" s="1126">
        <f t="shared" ref="S38:U38" si="56">SUM(S39,S41,S45)</f>
        <v>10000</v>
      </c>
      <c r="T38" s="1126">
        <f t="shared" si="56"/>
        <v>46250</v>
      </c>
      <c r="U38" s="1126">
        <f t="shared" si="56"/>
        <v>28750</v>
      </c>
      <c r="V38" s="1125"/>
      <c r="W38" s="1125"/>
      <c r="X38" s="1125"/>
      <c r="Y38" s="1126">
        <f t="shared" ref="Y38:AA38" si="57">SUM(Y39,Y41,Y45)</f>
        <v>0</v>
      </c>
      <c r="Z38" s="1126">
        <f t="shared" si="57"/>
        <v>0</v>
      </c>
      <c r="AA38" s="1126">
        <f t="shared" si="57"/>
        <v>95000</v>
      </c>
      <c r="AB38" s="1125"/>
      <c r="AC38" s="1125"/>
      <c r="AD38" s="1125"/>
      <c r="AE38" s="1126">
        <f t="shared" ref="AE38:AI38" si="58">SUM(AE39,AE41,AE45)</f>
        <v>54995</v>
      </c>
      <c r="AF38" s="1126">
        <f t="shared" si="58"/>
        <v>17500</v>
      </c>
      <c r="AG38" s="1126">
        <f t="shared" si="58"/>
        <v>27500</v>
      </c>
      <c r="AH38" s="1126">
        <f t="shared" si="58"/>
        <v>289995</v>
      </c>
      <c r="AI38" s="1126">
        <f t="shared" si="58"/>
        <v>289995</v>
      </c>
      <c r="AJ38" s="1126"/>
      <c r="AK38" s="1126"/>
      <c r="AL38" s="1126"/>
      <c r="AM38" s="1126"/>
      <c r="AN38" s="1126"/>
      <c r="AO38" s="1123"/>
      <c r="AP38" s="1123"/>
      <c r="AQ38" s="1123"/>
    </row>
    <row r="39" spans="1:43" ht="75">
      <c r="A39" s="18" t="s">
        <v>2200</v>
      </c>
      <c r="B39" s="1132" t="s">
        <v>2201</v>
      </c>
      <c r="C39" s="1127"/>
      <c r="D39" s="1128" t="s">
        <v>52</v>
      </c>
      <c r="E39" s="1128" t="s">
        <v>2202</v>
      </c>
      <c r="F39" s="1128" t="s">
        <v>2203</v>
      </c>
      <c r="G39" s="1129">
        <f t="shared" si="5"/>
        <v>1.7270524725477192</v>
      </c>
      <c r="H39" s="1129"/>
      <c r="I39" s="1129"/>
      <c r="J39" s="1130"/>
      <c r="K39" s="1130"/>
      <c r="L39" s="1130"/>
      <c r="M39" s="1131">
        <f>+M40</f>
        <v>0</v>
      </c>
      <c r="N39" s="1131">
        <f>+N40</f>
        <v>0</v>
      </c>
      <c r="O39" s="1131">
        <f>+O40</f>
        <v>0</v>
      </c>
      <c r="P39" s="1130"/>
      <c r="Q39" s="1130"/>
      <c r="R39" s="1130"/>
      <c r="S39" s="1131">
        <f>+S40</f>
        <v>0</v>
      </c>
      <c r="T39" s="1131">
        <f>+T40</f>
        <v>0</v>
      </c>
      <c r="U39" s="1131">
        <f>+U40</f>
        <v>0</v>
      </c>
      <c r="V39" s="1130"/>
      <c r="W39" s="1130"/>
      <c r="X39" s="1130"/>
      <c r="Y39" s="1131">
        <f>+Y40</f>
        <v>0</v>
      </c>
      <c r="Z39" s="1131">
        <f>+Z40</f>
        <v>0</v>
      </c>
      <c r="AA39" s="1131">
        <f>+AA40</f>
        <v>0</v>
      </c>
      <c r="AB39" s="1130"/>
      <c r="AC39" s="1130"/>
      <c r="AD39" s="1130"/>
      <c r="AE39" s="1131">
        <f>+AE40</f>
        <v>37495</v>
      </c>
      <c r="AF39" s="1131">
        <f>+AF40</f>
        <v>0</v>
      </c>
      <c r="AG39" s="1131">
        <f>+AG40</f>
        <v>0</v>
      </c>
      <c r="AH39" s="1131">
        <f>+AH40</f>
        <v>37495</v>
      </c>
      <c r="AI39" s="1131">
        <f>+AI40</f>
        <v>37495</v>
      </c>
      <c r="AJ39" s="1131"/>
      <c r="AK39" s="1131"/>
      <c r="AL39" s="1131"/>
      <c r="AM39" s="1131"/>
      <c r="AN39" s="1131"/>
      <c r="AO39" s="1132"/>
      <c r="AP39" s="1132"/>
      <c r="AQ39" s="1132"/>
    </row>
    <row r="40" spans="1:43" ht="45">
      <c r="A40" s="22" t="s">
        <v>2204</v>
      </c>
      <c r="B40" s="1133" t="s">
        <v>2205</v>
      </c>
      <c r="C40" s="1134">
        <f t="shared" ref="C40" si="59">SUM(J40,K40,L40,P40,Q40,R40,V40,W40,X40,AB40,AC40,AD40)</f>
        <v>1</v>
      </c>
      <c r="D40" s="1133" t="s">
        <v>52</v>
      </c>
      <c r="E40" s="1133" t="s">
        <v>2206</v>
      </c>
      <c r="F40" s="1135" t="s">
        <v>2207</v>
      </c>
      <c r="G40" s="1136">
        <f t="shared" si="5"/>
        <v>1.7270524725477192</v>
      </c>
      <c r="H40" s="1136"/>
      <c r="I40" s="1136">
        <f>AH40/AH$39*100</f>
        <v>100</v>
      </c>
      <c r="J40" s="1137"/>
      <c r="K40" s="1137"/>
      <c r="L40" s="1137"/>
      <c r="M40" s="1138"/>
      <c r="N40" s="1138"/>
      <c r="O40" s="1138"/>
      <c r="P40" s="1137"/>
      <c r="Q40" s="1137"/>
      <c r="R40" s="1137"/>
      <c r="S40" s="1138"/>
      <c r="T40" s="1138"/>
      <c r="U40" s="1138"/>
      <c r="V40" s="1137"/>
      <c r="W40" s="1137"/>
      <c r="X40" s="1137"/>
      <c r="Y40" s="1138"/>
      <c r="Z40" s="1138"/>
      <c r="AA40" s="1138"/>
      <c r="AB40" s="1137">
        <v>1</v>
      </c>
      <c r="AC40" s="1137"/>
      <c r="AD40" s="1137"/>
      <c r="AE40" s="1138">
        <f t="shared" ref="AE40" si="60">$AH40/$C40*AB40</f>
        <v>37495</v>
      </c>
      <c r="AF40" s="1138"/>
      <c r="AG40" s="1138"/>
      <c r="AH40" s="1138">
        <f>SUM(AI40,AJ40,AK40,AL40,AM40,AN40)</f>
        <v>37495</v>
      </c>
      <c r="AI40" s="78">
        <f>MROUND('[1]POA 2021 DGFCR (2)'!AI47,5)</f>
        <v>37495</v>
      </c>
      <c r="AJ40" s="1138"/>
      <c r="AK40" s="1138"/>
      <c r="AL40" s="1138"/>
      <c r="AM40" s="1138"/>
      <c r="AN40" s="1138"/>
      <c r="AO40" s="1133" t="s">
        <v>2174</v>
      </c>
      <c r="AP40" s="1133" t="s">
        <v>2116</v>
      </c>
      <c r="AQ40" s="1133"/>
    </row>
    <row r="41" spans="1:43" ht="90">
      <c r="A41" s="18" t="s">
        <v>2208</v>
      </c>
      <c r="B41" s="1132" t="s">
        <v>2209</v>
      </c>
      <c r="C41" s="1127"/>
      <c r="D41" s="1128" t="s">
        <v>52</v>
      </c>
      <c r="E41" s="1128" t="s">
        <v>2210</v>
      </c>
      <c r="F41" s="1128" t="s">
        <v>1596</v>
      </c>
      <c r="G41" s="1129">
        <f t="shared" si="5"/>
        <v>8.406109514334144</v>
      </c>
      <c r="H41" s="1129"/>
      <c r="I41" s="1129"/>
      <c r="J41" s="1130"/>
      <c r="K41" s="1130"/>
      <c r="L41" s="1130"/>
      <c r="M41" s="1131">
        <f t="shared" ref="M41:O41" si="61">SUM(M42,M43,M44)</f>
        <v>0</v>
      </c>
      <c r="N41" s="1131">
        <f t="shared" si="61"/>
        <v>0</v>
      </c>
      <c r="O41" s="1131">
        <f t="shared" si="61"/>
        <v>10000</v>
      </c>
      <c r="P41" s="1130"/>
      <c r="Q41" s="1130"/>
      <c r="R41" s="1130"/>
      <c r="S41" s="1131">
        <f t="shared" ref="S41:U41" si="62">SUM(S42,S43,S44)</f>
        <v>10000</v>
      </c>
      <c r="T41" s="1131">
        <f t="shared" si="62"/>
        <v>28750</v>
      </c>
      <c r="U41" s="1131">
        <f t="shared" si="62"/>
        <v>28750</v>
      </c>
      <c r="V41" s="1130"/>
      <c r="W41" s="1130"/>
      <c r="X41" s="1130"/>
      <c r="Y41" s="1131">
        <f t="shared" ref="Y41:AA41" si="63">SUM(Y42,Y43,Y44)</f>
        <v>0</v>
      </c>
      <c r="Z41" s="1131">
        <f t="shared" si="63"/>
        <v>0</v>
      </c>
      <c r="AA41" s="1131">
        <f t="shared" si="63"/>
        <v>95000</v>
      </c>
      <c r="AB41" s="1130"/>
      <c r="AC41" s="1130"/>
      <c r="AD41" s="1130"/>
      <c r="AE41" s="1131">
        <f t="shared" ref="AE41:AI41" si="64">SUM(AE42,AE43,AE44)</f>
        <v>0</v>
      </c>
      <c r="AF41" s="1131">
        <f t="shared" si="64"/>
        <v>0</v>
      </c>
      <c r="AG41" s="1131">
        <f t="shared" si="64"/>
        <v>10000</v>
      </c>
      <c r="AH41" s="1131">
        <f t="shared" si="64"/>
        <v>182500</v>
      </c>
      <c r="AI41" s="1131">
        <f t="shared" si="64"/>
        <v>182500</v>
      </c>
      <c r="AJ41" s="1131"/>
      <c r="AK41" s="1131"/>
      <c r="AL41" s="1131"/>
      <c r="AM41" s="1131"/>
      <c r="AN41" s="1131"/>
      <c r="AO41" s="1132"/>
      <c r="AP41" s="1132"/>
      <c r="AQ41" s="1132"/>
    </row>
    <row r="42" spans="1:43" ht="60">
      <c r="A42" s="22" t="s">
        <v>2211</v>
      </c>
      <c r="B42" s="1133" t="s">
        <v>2212</v>
      </c>
      <c r="C42" s="1134">
        <f t="shared" ref="C42:C44" si="65">SUM(J42,K42,L42,P42,Q42,R42,V42,W42,X42,AB42,AC42,AD42)</f>
        <v>1</v>
      </c>
      <c r="D42" s="1133" t="s">
        <v>52</v>
      </c>
      <c r="E42" s="1133" t="s">
        <v>2213</v>
      </c>
      <c r="F42" s="1135" t="s">
        <v>2214</v>
      </c>
      <c r="G42" s="1136">
        <f t="shared" si="5"/>
        <v>3.9151742943474095</v>
      </c>
      <c r="H42" s="1136"/>
      <c r="I42" s="1136">
        <f>AH42/AH$41*100</f>
        <v>46.575342465753423</v>
      </c>
      <c r="J42" s="1137"/>
      <c r="K42" s="1137"/>
      <c r="L42" s="1137"/>
      <c r="M42" s="1138"/>
      <c r="N42" s="1138"/>
      <c r="O42" s="1138"/>
      <c r="P42" s="1137"/>
      <c r="Q42" s="1137"/>
      <c r="R42" s="1137"/>
      <c r="S42" s="1138"/>
      <c r="T42" s="1138"/>
      <c r="U42" s="1138"/>
      <c r="V42" s="1137"/>
      <c r="W42" s="1137"/>
      <c r="X42" s="1137">
        <v>1</v>
      </c>
      <c r="Y42" s="1138"/>
      <c r="Z42" s="1138"/>
      <c r="AA42" s="1138">
        <v>85000</v>
      </c>
      <c r="AB42" s="1137"/>
      <c r="AC42" s="1137"/>
      <c r="AD42" s="1137"/>
      <c r="AE42" s="1138"/>
      <c r="AF42" s="1138"/>
      <c r="AG42" s="1138"/>
      <c r="AH42" s="1138">
        <v>85000</v>
      </c>
      <c r="AI42" s="78">
        <v>85000</v>
      </c>
      <c r="AJ42" s="1138"/>
      <c r="AK42" s="1138"/>
      <c r="AL42" s="1138"/>
      <c r="AM42" s="1138"/>
      <c r="AN42" s="1138"/>
      <c r="AO42" s="1133" t="s">
        <v>2174</v>
      </c>
      <c r="AP42" s="1133" t="s">
        <v>2116</v>
      </c>
      <c r="AQ42" s="1133"/>
    </row>
    <row r="43" spans="1:43" ht="60">
      <c r="A43" s="22" t="s">
        <v>2215</v>
      </c>
      <c r="B43" s="1133" t="s">
        <v>2216</v>
      </c>
      <c r="C43" s="1134">
        <f t="shared" si="65"/>
        <v>2</v>
      </c>
      <c r="D43" s="1133" t="s">
        <v>52</v>
      </c>
      <c r="E43" s="1133" t="s">
        <v>2217</v>
      </c>
      <c r="F43" s="1135" t="s">
        <v>2218</v>
      </c>
      <c r="G43" s="1136">
        <f t="shared" si="5"/>
        <v>1.7272827769179748</v>
      </c>
      <c r="H43" s="1136"/>
      <c r="I43" s="1136">
        <f t="shared" ref="I43:I44" si="66">AH43/AH$41*100</f>
        <v>20.547945205479451</v>
      </c>
      <c r="J43" s="1137"/>
      <c r="K43" s="1137"/>
      <c r="L43" s="1137"/>
      <c r="M43" s="1138"/>
      <c r="N43" s="1138"/>
      <c r="O43" s="1138"/>
      <c r="P43" s="1137"/>
      <c r="Q43" s="1137">
        <v>1</v>
      </c>
      <c r="R43" s="1137">
        <v>1</v>
      </c>
      <c r="S43" s="1138"/>
      <c r="T43" s="1138">
        <v>18750</v>
      </c>
      <c r="U43" s="1138">
        <v>18750</v>
      </c>
      <c r="V43" s="1137"/>
      <c r="W43" s="1137"/>
      <c r="X43" s="1137"/>
      <c r="Y43" s="1138"/>
      <c r="Z43" s="1138"/>
      <c r="AA43" s="1138"/>
      <c r="AB43" s="1137"/>
      <c r="AC43" s="1137"/>
      <c r="AD43" s="1137"/>
      <c r="AE43" s="1138"/>
      <c r="AF43" s="1138"/>
      <c r="AG43" s="1138"/>
      <c r="AH43" s="1138">
        <v>37500</v>
      </c>
      <c r="AI43" s="78">
        <v>37500</v>
      </c>
      <c r="AJ43" s="1138"/>
      <c r="AK43" s="1138"/>
      <c r="AL43" s="1138"/>
      <c r="AM43" s="1138"/>
      <c r="AN43" s="1138"/>
      <c r="AO43" s="1133" t="s">
        <v>2174</v>
      </c>
      <c r="AP43" s="1133" t="s">
        <v>2116</v>
      </c>
      <c r="AQ43" s="1133"/>
    </row>
    <row r="44" spans="1:43" ht="75">
      <c r="A44" s="22" t="s">
        <v>2219</v>
      </c>
      <c r="B44" s="1133" t="s">
        <v>2220</v>
      </c>
      <c r="C44" s="1134">
        <f t="shared" si="65"/>
        <v>6</v>
      </c>
      <c r="D44" s="1133" t="s">
        <v>52</v>
      </c>
      <c r="E44" s="1133" t="s">
        <v>2210</v>
      </c>
      <c r="F44" s="1135" t="s">
        <v>2221</v>
      </c>
      <c r="G44" s="1136">
        <f t="shared" si="5"/>
        <v>2.7636524430687595</v>
      </c>
      <c r="H44" s="1136"/>
      <c r="I44" s="1136">
        <f t="shared" si="66"/>
        <v>32.87671232876712</v>
      </c>
      <c r="J44" s="1137"/>
      <c r="K44" s="1137"/>
      <c r="L44" s="1137">
        <v>1</v>
      </c>
      <c r="M44" s="1138"/>
      <c r="N44" s="1138"/>
      <c r="O44" s="1138">
        <f t="shared" ref="O44" si="67">$AH44/$C44*L44</f>
        <v>10000</v>
      </c>
      <c r="P44" s="1137">
        <v>1</v>
      </c>
      <c r="Q44" s="1137">
        <v>1</v>
      </c>
      <c r="R44" s="1137">
        <v>1</v>
      </c>
      <c r="S44" s="1138">
        <v>10000</v>
      </c>
      <c r="T44" s="1138">
        <v>10000</v>
      </c>
      <c r="U44" s="1138">
        <f t="shared" ref="U44" si="68">$AH44/$C44*R44</f>
        <v>10000</v>
      </c>
      <c r="V44" s="1137"/>
      <c r="W44" s="1137"/>
      <c r="X44" s="1137">
        <v>1</v>
      </c>
      <c r="Y44" s="1138"/>
      <c r="Z44" s="1138"/>
      <c r="AA44" s="1138">
        <f t="shared" ref="AA44" si="69">$AH44/$C44*X44</f>
        <v>10000</v>
      </c>
      <c r="AB44" s="1137"/>
      <c r="AC44" s="1137"/>
      <c r="AD44" s="1137">
        <v>1</v>
      </c>
      <c r="AE44" s="1138"/>
      <c r="AF44" s="1138"/>
      <c r="AG44" s="1138">
        <f t="shared" ref="AG44" si="70">$AH44/$C44*AD44</f>
        <v>10000</v>
      </c>
      <c r="AH44" s="1138">
        <f t="shared" ref="AH44" si="71">SUM(AI44,AJ44,AK44,AL44,AM44,AN44)</f>
        <v>60000</v>
      </c>
      <c r="AI44" s="78">
        <f>MROUND('[1]POA 2021 DGFCR (2)'!AI51,5)</f>
        <v>60000</v>
      </c>
      <c r="AJ44" s="1138"/>
      <c r="AK44" s="1138"/>
      <c r="AL44" s="1138"/>
      <c r="AM44" s="1138"/>
      <c r="AN44" s="1138"/>
      <c r="AO44" s="1133" t="s">
        <v>2174</v>
      </c>
      <c r="AP44" s="1133" t="s">
        <v>2116</v>
      </c>
      <c r="AQ44" s="1133"/>
    </row>
    <row r="45" spans="1:43" ht="45">
      <c r="A45" s="18" t="s">
        <v>2222</v>
      </c>
      <c r="B45" s="1132" t="s">
        <v>2223</v>
      </c>
      <c r="C45" s="1127"/>
      <c r="D45" s="1128" t="s">
        <v>52</v>
      </c>
      <c r="E45" s="1128" t="s">
        <v>2224</v>
      </c>
      <c r="F45" s="1128"/>
      <c r="G45" s="1129">
        <f t="shared" si="5"/>
        <v>3.2242611835802197</v>
      </c>
      <c r="H45" s="1129"/>
      <c r="I45" s="1129"/>
      <c r="J45" s="1130"/>
      <c r="K45" s="1130"/>
      <c r="L45" s="1130"/>
      <c r="M45" s="1131">
        <f>+M46</f>
        <v>0</v>
      </c>
      <c r="N45" s="1131">
        <f>+N46</f>
        <v>0</v>
      </c>
      <c r="O45" s="1131">
        <f>+O46</f>
        <v>0</v>
      </c>
      <c r="P45" s="1130"/>
      <c r="Q45" s="1130"/>
      <c r="R45" s="1130"/>
      <c r="S45" s="1131"/>
      <c r="T45" s="1131">
        <f>+T46</f>
        <v>17500</v>
      </c>
      <c r="U45" s="1131"/>
      <c r="V45" s="1130"/>
      <c r="W45" s="1130"/>
      <c r="X45" s="1130"/>
      <c r="Y45" s="1131"/>
      <c r="Z45" s="1131"/>
      <c r="AA45" s="1131"/>
      <c r="AB45" s="1130"/>
      <c r="AC45" s="1130"/>
      <c r="AD45" s="1130"/>
      <c r="AE45" s="1131">
        <f>AE46</f>
        <v>17500</v>
      </c>
      <c r="AF45" s="1131">
        <f>AF46</f>
        <v>17500</v>
      </c>
      <c r="AG45" s="1131">
        <f>AG46</f>
        <v>17500</v>
      </c>
      <c r="AH45" s="1131">
        <f>+AH46</f>
        <v>70000</v>
      </c>
      <c r="AI45" s="1131">
        <f>+AI46</f>
        <v>70000</v>
      </c>
      <c r="AJ45" s="1131"/>
      <c r="AK45" s="1131"/>
      <c r="AL45" s="1131"/>
      <c r="AM45" s="1131"/>
      <c r="AN45" s="1131"/>
      <c r="AO45" s="1132"/>
      <c r="AP45" s="1132"/>
      <c r="AQ45" s="1132"/>
    </row>
    <row r="46" spans="1:43" ht="90">
      <c r="A46" s="22" t="s">
        <v>2225</v>
      </c>
      <c r="B46" s="1133" t="s">
        <v>2226</v>
      </c>
      <c r="C46" s="1145">
        <f t="shared" ref="C46" si="72">SUM(J46,K46,L46,P46,Q46,R46,V46,W46,X46,AB46,AC46,AD46)</f>
        <v>4</v>
      </c>
      <c r="D46" s="1133" t="s">
        <v>52</v>
      </c>
      <c r="E46" s="1133" t="s">
        <v>2224</v>
      </c>
      <c r="F46" s="1135" t="s">
        <v>2227</v>
      </c>
      <c r="G46" s="1136">
        <f t="shared" si="5"/>
        <v>3.2242611835802197</v>
      </c>
      <c r="H46" s="1136"/>
      <c r="I46" s="1136">
        <f>AH46/AH45*100</f>
        <v>100</v>
      </c>
      <c r="J46" s="1137"/>
      <c r="K46" s="1137"/>
      <c r="L46" s="1137"/>
      <c r="M46" s="1138"/>
      <c r="N46" s="1138"/>
      <c r="O46" s="1138"/>
      <c r="P46" s="1137"/>
      <c r="Q46" s="1137">
        <v>1</v>
      </c>
      <c r="R46" s="1137"/>
      <c r="S46" s="1138"/>
      <c r="T46" s="1138">
        <v>17500</v>
      </c>
      <c r="U46" s="1138"/>
      <c r="V46" s="1146"/>
      <c r="W46" s="1146"/>
      <c r="X46" s="1146"/>
      <c r="Y46" s="1146"/>
      <c r="Z46" s="1146"/>
      <c r="AA46" s="1146"/>
      <c r="AB46" s="1137">
        <v>1</v>
      </c>
      <c r="AC46" s="1137">
        <v>1</v>
      </c>
      <c r="AD46" s="1137">
        <v>1</v>
      </c>
      <c r="AE46" s="1138">
        <v>17500</v>
      </c>
      <c r="AF46" s="1138">
        <v>17500</v>
      </c>
      <c r="AG46" s="1138">
        <v>17500</v>
      </c>
      <c r="AH46" s="1138">
        <v>70000</v>
      </c>
      <c r="AI46" s="78">
        <v>70000</v>
      </c>
      <c r="AJ46" s="1138"/>
      <c r="AK46" s="1138"/>
      <c r="AL46" s="1138"/>
      <c r="AM46" s="1138"/>
      <c r="AN46" s="1138"/>
      <c r="AO46" s="1133" t="s">
        <v>2174</v>
      </c>
      <c r="AP46" s="1133" t="s">
        <v>2116</v>
      </c>
      <c r="AQ46" s="1133" t="s">
        <v>2228</v>
      </c>
    </row>
    <row r="47" spans="1:43" ht="30">
      <c r="A47" s="6" t="s">
        <v>296</v>
      </c>
      <c r="B47" s="1110" t="s">
        <v>297</v>
      </c>
      <c r="C47" s="1111"/>
      <c r="D47" s="1112"/>
      <c r="E47" s="1112"/>
      <c r="F47" s="1112"/>
      <c r="G47" s="1113">
        <f t="shared" si="5"/>
        <v>18.214081730414915</v>
      </c>
      <c r="H47" s="1113"/>
      <c r="I47" s="1113"/>
      <c r="J47" s="1114"/>
      <c r="K47" s="1114"/>
      <c r="L47" s="1114"/>
      <c r="M47" s="1115">
        <f t="shared" ref="M47:O47" si="73">SUM(M48,M54)</f>
        <v>0</v>
      </c>
      <c r="N47" s="1115">
        <f t="shared" si="73"/>
        <v>0</v>
      </c>
      <c r="O47" s="1115">
        <f t="shared" si="73"/>
        <v>0</v>
      </c>
      <c r="P47" s="1114"/>
      <c r="Q47" s="1114"/>
      <c r="R47" s="1114"/>
      <c r="S47" s="1115">
        <f t="shared" ref="S47:U47" si="74">SUM(S48,S54)</f>
        <v>0</v>
      </c>
      <c r="T47" s="1115">
        <f t="shared" si="74"/>
        <v>0</v>
      </c>
      <c r="U47" s="1115">
        <f t="shared" si="74"/>
        <v>295495</v>
      </c>
      <c r="V47" s="1114"/>
      <c r="W47" s="1114"/>
      <c r="X47" s="1114"/>
      <c r="Y47" s="1115">
        <f t="shared" ref="Y47:AA47" si="75">SUM(Y48,Y54)</f>
        <v>40000</v>
      </c>
      <c r="Z47" s="1115">
        <f t="shared" si="75"/>
        <v>24940</v>
      </c>
      <c r="AA47" s="1115">
        <f t="shared" si="75"/>
        <v>0</v>
      </c>
      <c r="AB47" s="1114"/>
      <c r="AC47" s="1114"/>
      <c r="AD47" s="1114"/>
      <c r="AE47" s="1115">
        <f t="shared" ref="AE47:AI47" si="76">SUM(AE48,AE54)</f>
        <v>0</v>
      </c>
      <c r="AF47" s="1115">
        <f t="shared" si="76"/>
        <v>0</v>
      </c>
      <c r="AG47" s="1115">
        <f t="shared" si="76"/>
        <v>35000</v>
      </c>
      <c r="AH47" s="1115">
        <f t="shared" si="76"/>
        <v>395435</v>
      </c>
      <c r="AI47" s="1115">
        <f t="shared" si="76"/>
        <v>35000</v>
      </c>
      <c r="AJ47" s="1115"/>
      <c r="AK47" s="1115">
        <f>SUM(AK48,AK54)</f>
        <v>360435</v>
      </c>
      <c r="AL47" s="1115"/>
      <c r="AM47" s="1115"/>
      <c r="AN47" s="1115"/>
      <c r="AO47" s="1112"/>
      <c r="AP47" s="1112"/>
      <c r="AQ47" s="1112"/>
    </row>
    <row r="48" spans="1:43" ht="45">
      <c r="A48" s="10" t="s">
        <v>2229</v>
      </c>
      <c r="B48" s="1147" t="s">
        <v>2230</v>
      </c>
      <c r="C48" s="1117"/>
      <c r="D48" s="1118"/>
      <c r="E48" s="1118"/>
      <c r="F48" s="1118"/>
      <c r="G48" s="1119">
        <f t="shared" si="5"/>
        <v>16.601951138624806</v>
      </c>
      <c r="H48" s="1119"/>
      <c r="I48" s="1119"/>
      <c r="J48" s="1120"/>
      <c r="K48" s="1120"/>
      <c r="L48" s="1120"/>
      <c r="M48" s="1121">
        <f>+M49</f>
        <v>0</v>
      </c>
      <c r="N48" s="1121">
        <f>+N49</f>
        <v>0</v>
      </c>
      <c r="O48" s="1121">
        <f>+O49</f>
        <v>0</v>
      </c>
      <c r="P48" s="1120"/>
      <c r="Q48" s="1120"/>
      <c r="R48" s="1120"/>
      <c r="S48" s="1121">
        <f>+S49</f>
        <v>0</v>
      </c>
      <c r="T48" s="1121">
        <f>+T49</f>
        <v>0</v>
      </c>
      <c r="U48" s="1121">
        <f>+U49</f>
        <v>295495</v>
      </c>
      <c r="V48" s="1120"/>
      <c r="W48" s="1120"/>
      <c r="X48" s="1120"/>
      <c r="Y48" s="1121">
        <f>+Y49</f>
        <v>40000</v>
      </c>
      <c r="Z48" s="1121">
        <f>+Z49</f>
        <v>24940</v>
      </c>
      <c r="AA48" s="1121">
        <f>+AA49</f>
        <v>0</v>
      </c>
      <c r="AB48" s="1120"/>
      <c r="AC48" s="1120"/>
      <c r="AD48" s="1120"/>
      <c r="AE48" s="1121">
        <f>+AE49</f>
        <v>0</v>
      </c>
      <c r="AF48" s="1121">
        <f>+AF49</f>
        <v>0</v>
      </c>
      <c r="AG48" s="1121">
        <f>+AG49</f>
        <v>0</v>
      </c>
      <c r="AH48" s="1121">
        <f>+AH49</f>
        <v>360435</v>
      </c>
      <c r="AI48" s="1121"/>
      <c r="AJ48" s="1121"/>
      <c r="AK48" s="1121">
        <f>+AK49</f>
        <v>360435</v>
      </c>
      <c r="AL48" s="1121"/>
      <c r="AM48" s="1121"/>
      <c r="AN48" s="1121"/>
      <c r="AO48" s="1118"/>
      <c r="AP48" s="1118"/>
      <c r="AQ48" s="1118"/>
    </row>
    <row r="49" spans="1:43" ht="45">
      <c r="A49" s="1148" t="s">
        <v>2231</v>
      </c>
      <c r="B49" s="1149" t="s">
        <v>695</v>
      </c>
      <c r="C49" s="1122"/>
      <c r="D49" s="1123"/>
      <c r="E49" s="1123"/>
      <c r="F49" s="1123"/>
      <c r="G49" s="1124">
        <f t="shared" si="5"/>
        <v>16.601951138624806</v>
      </c>
      <c r="H49" s="1124">
        <f>G49</f>
        <v>16.601951138624806</v>
      </c>
      <c r="I49" s="1124"/>
      <c r="J49" s="1125"/>
      <c r="K49" s="1125"/>
      <c r="L49" s="1125"/>
      <c r="M49" s="1126">
        <f>SUM(M50,M52)</f>
        <v>0</v>
      </c>
      <c r="N49" s="1126">
        <f>SUM(N50,N52)</f>
        <v>0</v>
      </c>
      <c r="O49" s="1126">
        <f>SUM(O50,O52)</f>
        <v>0</v>
      </c>
      <c r="P49" s="1125"/>
      <c r="Q49" s="1125"/>
      <c r="R49" s="1125"/>
      <c r="S49" s="1126">
        <f>SUM(S50,S52)</f>
        <v>0</v>
      </c>
      <c r="T49" s="1126">
        <f>SUM(T50,T52)</f>
        <v>0</v>
      </c>
      <c r="U49" s="1126">
        <f>SUM(U50,U52)</f>
        <v>295495</v>
      </c>
      <c r="V49" s="1125"/>
      <c r="W49" s="1125"/>
      <c r="X49" s="1125"/>
      <c r="Y49" s="1126">
        <f t="shared" ref="Y49" si="77">SUM(Y50,Y52)</f>
        <v>40000</v>
      </c>
      <c r="Z49" s="1126">
        <f>SUM(Z50,Z52)</f>
        <v>24940</v>
      </c>
      <c r="AA49" s="1126">
        <f>SUM(AA50,AA52)</f>
        <v>0</v>
      </c>
      <c r="AB49" s="1125"/>
      <c r="AC49" s="1125"/>
      <c r="AD49" s="1125"/>
      <c r="AE49" s="1126">
        <f>SUM(AE50,AE52)</f>
        <v>0</v>
      </c>
      <c r="AF49" s="1126">
        <f>SUM(AF50,AF52)</f>
        <v>0</v>
      </c>
      <c r="AG49" s="1126">
        <f>SUM(AG50,AG52)</f>
        <v>0</v>
      </c>
      <c r="AH49" s="1126">
        <f t="shared" ref="AH49" si="78">SUM(AH50,AH52)</f>
        <v>360435</v>
      </c>
      <c r="AI49" s="1126"/>
      <c r="AJ49" s="1126"/>
      <c r="AK49" s="1126">
        <f>SUM(AK50,AK52)</f>
        <v>360435</v>
      </c>
      <c r="AL49" s="1126"/>
      <c r="AM49" s="1126"/>
      <c r="AN49" s="1126"/>
      <c r="AO49" s="1123"/>
      <c r="AP49" s="1123"/>
      <c r="AQ49" s="1123"/>
    </row>
    <row r="50" spans="1:43" ht="60">
      <c r="A50" s="1150" t="s">
        <v>2232</v>
      </c>
      <c r="B50" s="1151" t="s">
        <v>2233</v>
      </c>
      <c r="C50" s="1152"/>
      <c r="D50" s="1128" t="s">
        <v>478</v>
      </c>
      <c r="E50" s="1128" t="s">
        <v>2234</v>
      </c>
      <c r="F50" s="1128" t="s">
        <v>435</v>
      </c>
      <c r="G50" s="1129">
        <f t="shared" si="5"/>
        <v>4.8336281229272613</v>
      </c>
      <c r="H50" s="1129"/>
      <c r="I50" s="1129"/>
      <c r="J50" s="1130"/>
      <c r="K50" s="1130"/>
      <c r="L50" s="1130"/>
      <c r="M50" s="1131">
        <f>+M51</f>
        <v>0</v>
      </c>
      <c r="N50" s="1131">
        <f>+N51</f>
        <v>0</v>
      </c>
      <c r="O50" s="1131">
        <f>+O51</f>
        <v>0</v>
      </c>
      <c r="P50" s="1130"/>
      <c r="Q50" s="1130"/>
      <c r="R50" s="1130"/>
      <c r="S50" s="1131">
        <f>+S51</f>
        <v>0</v>
      </c>
      <c r="T50" s="1131">
        <f>+T51</f>
        <v>0</v>
      </c>
      <c r="U50" s="1131">
        <f>+U51</f>
        <v>40000</v>
      </c>
      <c r="V50" s="1130"/>
      <c r="W50" s="1130"/>
      <c r="X50" s="1130"/>
      <c r="Y50" s="1131">
        <f>+Y51</f>
        <v>40000</v>
      </c>
      <c r="Z50" s="1131">
        <f>+Z51</f>
        <v>24940</v>
      </c>
      <c r="AA50" s="1131">
        <f>+AA51</f>
        <v>0</v>
      </c>
      <c r="AB50" s="1130"/>
      <c r="AC50" s="1130"/>
      <c r="AD50" s="1130"/>
      <c r="AE50" s="1131">
        <f>+AE51</f>
        <v>0</v>
      </c>
      <c r="AF50" s="1131">
        <f>+AF51</f>
        <v>0</v>
      </c>
      <c r="AG50" s="1131">
        <f>+AG51</f>
        <v>0</v>
      </c>
      <c r="AH50" s="1131">
        <f>AH51</f>
        <v>104940</v>
      </c>
      <c r="AI50" s="1131"/>
      <c r="AJ50" s="1131"/>
      <c r="AK50" s="1131">
        <f>AK51</f>
        <v>104940</v>
      </c>
      <c r="AL50" s="1131"/>
      <c r="AM50" s="1131"/>
      <c r="AN50" s="1131"/>
      <c r="AO50" s="1132"/>
      <c r="AP50" s="1132"/>
      <c r="AQ50" s="1132"/>
    </row>
    <row r="51" spans="1:43" ht="150">
      <c r="A51" s="1139" t="s">
        <v>2235</v>
      </c>
      <c r="B51" s="1140" t="s">
        <v>2236</v>
      </c>
      <c r="C51" s="1145">
        <f>SUM(J51,K51,L51,P51,Q51,R51,V51,W51,X51,AB51,AC51,AD51)</f>
        <v>181</v>
      </c>
      <c r="D51" s="1133" t="s">
        <v>478</v>
      </c>
      <c r="E51" s="1133" t="s">
        <v>2237</v>
      </c>
      <c r="F51" s="1133" t="s">
        <v>2238</v>
      </c>
      <c r="G51" s="1136">
        <f t="shared" si="5"/>
        <v>4.8336281229272613</v>
      </c>
      <c r="H51" s="1136"/>
      <c r="I51" s="1136">
        <f>AH51/AH50*100</f>
        <v>100</v>
      </c>
      <c r="J51" s="1137"/>
      <c r="K51" s="1137"/>
      <c r="L51" s="1137"/>
      <c r="M51" s="1138"/>
      <c r="N51" s="1138"/>
      <c r="O51" s="1138"/>
      <c r="P51" s="1137"/>
      <c r="Q51" s="1137"/>
      <c r="R51" s="1137">
        <v>30</v>
      </c>
      <c r="S51" s="1138"/>
      <c r="T51" s="1138"/>
      <c r="U51" s="1138">
        <v>40000</v>
      </c>
      <c r="V51" s="1137">
        <v>91</v>
      </c>
      <c r="W51" s="1137">
        <v>60</v>
      </c>
      <c r="X51" s="1137"/>
      <c r="Y51" s="1138">
        <v>40000</v>
      </c>
      <c r="Z51" s="1138">
        <v>24940</v>
      </c>
      <c r="AA51" s="1138"/>
      <c r="AB51" s="1137"/>
      <c r="AC51" s="1137"/>
      <c r="AD51" s="1137"/>
      <c r="AE51" s="1138"/>
      <c r="AF51" s="1138"/>
      <c r="AG51" s="1138"/>
      <c r="AH51" s="1138">
        <f>SUM(AI51,AJ51,AK51,AL51,AM51,AN51)</f>
        <v>104940</v>
      </c>
      <c r="AI51" s="1138"/>
      <c r="AJ51" s="1138"/>
      <c r="AK51" s="78">
        <f>MROUND('[1]POA 2021 DGFCR (2)'!AK60,5)</f>
        <v>104940</v>
      </c>
      <c r="AL51" s="1138"/>
      <c r="AM51" s="1138"/>
      <c r="AN51" s="1138"/>
      <c r="AO51" s="1153" t="s">
        <v>2239</v>
      </c>
      <c r="AP51" s="1133" t="s">
        <v>2116</v>
      </c>
      <c r="AQ51" s="1133"/>
    </row>
    <row r="52" spans="1:43" ht="60">
      <c r="A52" s="18" t="s">
        <v>2240</v>
      </c>
      <c r="B52" s="1151" t="s">
        <v>697</v>
      </c>
      <c r="C52" s="1152"/>
      <c r="D52" s="1128" t="s">
        <v>478</v>
      </c>
      <c r="E52" s="1128" t="s">
        <v>2241</v>
      </c>
      <c r="F52" s="1128" t="s">
        <v>435</v>
      </c>
      <c r="G52" s="1129">
        <f t="shared" si="5"/>
        <v>11.768323015697547</v>
      </c>
      <c r="H52" s="1129"/>
      <c r="I52" s="1129"/>
      <c r="J52" s="1130"/>
      <c r="K52" s="1130"/>
      <c r="L52" s="1130"/>
      <c r="M52" s="1131">
        <f>+M53</f>
        <v>0</v>
      </c>
      <c r="N52" s="1131">
        <f>+N53</f>
        <v>0</v>
      </c>
      <c r="O52" s="1131">
        <f>+O53</f>
        <v>0</v>
      </c>
      <c r="P52" s="1130"/>
      <c r="Q52" s="1130"/>
      <c r="R52" s="1130"/>
      <c r="S52" s="1131">
        <f>+S53</f>
        <v>0</v>
      </c>
      <c r="T52" s="1131">
        <f>+T53</f>
        <v>0</v>
      </c>
      <c r="U52" s="1131">
        <f>+U53</f>
        <v>255495</v>
      </c>
      <c r="V52" s="1130"/>
      <c r="W52" s="1130"/>
      <c r="X52" s="1130"/>
      <c r="Y52" s="1131">
        <f>+Y53</f>
        <v>0</v>
      </c>
      <c r="Z52" s="1131">
        <f>+Z53</f>
        <v>0</v>
      </c>
      <c r="AA52" s="1131">
        <f>+AA53</f>
        <v>0</v>
      </c>
      <c r="AB52" s="1130"/>
      <c r="AC52" s="1130"/>
      <c r="AD52" s="1130"/>
      <c r="AE52" s="1131">
        <f>+AE53</f>
        <v>0</v>
      </c>
      <c r="AF52" s="1131">
        <f>+AF53</f>
        <v>0</v>
      </c>
      <c r="AG52" s="1131">
        <f>+AG53</f>
        <v>0</v>
      </c>
      <c r="AH52" s="1131">
        <f>+AH53</f>
        <v>255495</v>
      </c>
      <c r="AI52" s="1131"/>
      <c r="AJ52" s="1131"/>
      <c r="AK52" s="1131">
        <f>+AK53</f>
        <v>255495</v>
      </c>
      <c r="AL52" s="1131"/>
      <c r="AM52" s="1131"/>
      <c r="AN52" s="1131"/>
      <c r="AO52" s="1132"/>
      <c r="AP52" s="1132"/>
      <c r="AQ52" s="1154"/>
    </row>
    <row r="53" spans="1:43" ht="150">
      <c r="A53" s="22" t="s">
        <v>2242</v>
      </c>
      <c r="B53" s="1140" t="s">
        <v>2243</v>
      </c>
      <c r="C53" s="1145">
        <f>SUM(J53,K53,L53,P53,Q53,R53,V53,W53,X53,AB53,AC53,AD53)</f>
        <v>1485</v>
      </c>
      <c r="D53" s="1133" t="s">
        <v>478</v>
      </c>
      <c r="E53" s="1133" t="s">
        <v>2244</v>
      </c>
      <c r="F53" s="1133" t="s">
        <v>2238</v>
      </c>
      <c r="G53" s="1136">
        <f t="shared" si="5"/>
        <v>11.768323015697547</v>
      </c>
      <c r="H53" s="1136"/>
      <c r="I53" s="1136">
        <f>AH53/AH52*100</f>
        <v>100</v>
      </c>
      <c r="J53" s="1137"/>
      <c r="K53" s="1137"/>
      <c r="L53" s="1137"/>
      <c r="M53" s="1138"/>
      <c r="N53" s="1138"/>
      <c r="O53" s="1138"/>
      <c r="P53" s="1137"/>
      <c r="Q53" s="1137"/>
      <c r="R53" s="1137">
        <v>1485</v>
      </c>
      <c r="S53" s="1138"/>
      <c r="T53" s="1138"/>
      <c r="U53" s="1138">
        <f>127745+100000+27750</f>
        <v>255495</v>
      </c>
      <c r="V53" s="1137"/>
      <c r="W53" s="1137"/>
      <c r="X53" s="1137"/>
      <c r="Y53" s="1138"/>
      <c r="Z53" s="1138"/>
      <c r="AA53" s="1138"/>
      <c r="AB53" s="1137"/>
      <c r="AC53" s="1137"/>
      <c r="AD53" s="1137"/>
      <c r="AE53" s="1138"/>
      <c r="AF53" s="1138"/>
      <c r="AG53" s="1138"/>
      <c r="AH53" s="1138">
        <f>SUM(AI53,AJ53,AK53,AL53,AM53,AN53)</f>
        <v>255495</v>
      </c>
      <c r="AI53" s="1138"/>
      <c r="AJ53" s="1138"/>
      <c r="AK53" s="78">
        <f>MROUND('[1]POA 2021 DGFCR (2)'!AK62,5)</f>
        <v>255495</v>
      </c>
      <c r="AL53" s="1138"/>
      <c r="AM53" s="1138"/>
      <c r="AN53" s="1138"/>
      <c r="AO53" s="1153" t="s">
        <v>2245</v>
      </c>
      <c r="AP53" s="1133" t="s">
        <v>2116</v>
      </c>
      <c r="AQ53" s="1133"/>
    </row>
    <row r="54" spans="1:43" ht="45">
      <c r="A54" s="10" t="s">
        <v>2246</v>
      </c>
      <c r="B54" s="1147" t="s">
        <v>2247</v>
      </c>
      <c r="C54" s="1117"/>
      <c r="D54" s="1118"/>
      <c r="E54" s="1118"/>
      <c r="F54" s="1118"/>
      <c r="G54" s="1119">
        <f t="shared" si="5"/>
        <v>1.6121305917901099</v>
      </c>
      <c r="H54" s="1119"/>
      <c r="I54" s="1119"/>
      <c r="J54" s="1120"/>
      <c r="K54" s="1120"/>
      <c r="L54" s="1120"/>
      <c r="M54" s="1121">
        <f>SUM(M55)</f>
        <v>0</v>
      </c>
      <c r="N54" s="1121">
        <f t="shared" ref="N54:O54" si="79">SUM(N55)</f>
        <v>0</v>
      </c>
      <c r="O54" s="1121">
        <f t="shared" si="79"/>
        <v>0</v>
      </c>
      <c r="P54" s="1120"/>
      <c r="Q54" s="1120"/>
      <c r="R54" s="1120"/>
      <c r="S54" s="1121">
        <f t="shared" ref="S54:U54" si="80">SUM(S55)</f>
        <v>0</v>
      </c>
      <c r="T54" s="1121">
        <f t="shared" si="80"/>
        <v>0</v>
      </c>
      <c r="U54" s="1121">
        <f t="shared" si="80"/>
        <v>0</v>
      </c>
      <c r="V54" s="1120"/>
      <c r="W54" s="1120"/>
      <c r="X54" s="1120"/>
      <c r="Y54" s="1121">
        <f t="shared" ref="Y54:AA54" si="81">SUM(Y55)</f>
        <v>0</v>
      </c>
      <c r="Z54" s="1121">
        <f t="shared" si="81"/>
        <v>0</v>
      </c>
      <c r="AA54" s="1121">
        <f t="shared" si="81"/>
        <v>0</v>
      </c>
      <c r="AB54" s="1120"/>
      <c r="AC54" s="1120"/>
      <c r="AD54" s="1120"/>
      <c r="AE54" s="1121">
        <f t="shared" ref="AE54:AI54" si="82">SUM(AE55)</f>
        <v>0</v>
      </c>
      <c r="AF54" s="1121">
        <f t="shared" si="82"/>
        <v>0</v>
      </c>
      <c r="AG54" s="1121">
        <f t="shared" si="82"/>
        <v>35000</v>
      </c>
      <c r="AH54" s="1121">
        <f t="shared" si="82"/>
        <v>35000</v>
      </c>
      <c r="AI54" s="1121">
        <f t="shared" si="82"/>
        <v>35000</v>
      </c>
      <c r="AJ54" s="1121"/>
      <c r="AK54" s="1121"/>
      <c r="AL54" s="1121"/>
      <c r="AM54" s="1121"/>
      <c r="AN54" s="1121"/>
      <c r="AO54" s="1118"/>
      <c r="AP54" s="1118"/>
      <c r="AQ54" s="1155"/>
    </row>
    <row r="55" spans="1:43" ht="45">
      <c r="A55" s="14" t="s">
        <v>2248</v>
      </c>
      <c r="B55" s="1123" t="s">
        <v>2249</v>
      </c>
      <c r="C55" s="1122"/>
      <c r="D55" s="1123"/>
      <c r="E55" s="1123"/>
      <c r="F55" s="1123"/>
      <c r="G55" s="1124">
        <f t="shared" si="5"/>
        <v>1.6121305917901099</v>
      </c>
      <c r="H55" s="1124">
        <f>G55</f>
        <v>1.6121305917901099</v>
      </c>
      <c r="I55" s="1124"/>
      <c r="J55" s="1125"/>
      <c r="K55" s="1125"/>
      <c r="L55" s="1125"/>
      <c r="M55" s="1126"/>
      <c r="N55" s="1126"/>
      <c r="O55" s="1126"/>
      <c r="P55" s="1125"/>
      <c r="Q55" s="1125"/>
      <c r="R55" s="1125"/>
      <c r="S55" s="1126"/>
      <c r="T55" s="1126"/>
      <c r="U55" s="1126"/>
      <c r="V55" s="1125"/>
      <c r="W55" s="1125"/>
      <c r="X55" s="1125"/>
      <c r="Y55" s="1126"/>
      <c r="Z55" s="1126"/>
      <c r="AA55" s="1126"/>
      <c r="AB55" s="1125"/>
      <c r="AC55" s="1125"/>
      <c r="AD55" s="1125"/>
      <c r="AE55" s="1126"/>
      <c r="AF55" s="1126"/>
      <c r="AG55" s="1126">
        <v>35000</v>
      </c>
      <c r="AH55" s="1126">
        <f t="shared" ref="AH55:AI56" si="83">+AH56</f>
        <v>35000</v>
      </c>
      <c r="AI55" s="1126">
        <f t="shared" si="83"/>
        <v>35000</v>
      </c>
      <c r="AJ55" s="1126"/>
      <c r="AK55" s="1126"/>
      <c r="AL55" s="1126"/>
      <c r="AM55" s="1126"/>
      <c r="AN55" s="1126"/>
      <c r="AO55" s="1123"/>
      <c r="AP55" s="1123"/>
      <c r="AQ55" s="1123"/>
    </row>
    <row r="56" spans="1:43" ht="45">
      <c r="A56" s="18" t="s">
        <v>2250</v>
      </c>
      <c r="B56" s="1132" t="s">
        <v>2251</v>
      </c>
      <c r="C56" s="1127"/>
      <c r="D56" s="1128" t="s">
        <v>2252</v>
      </c>
      <c r="E56" s="1128" t="s">
        <v>2253</v>
      </c>
      <c r="F56" s="1128" t="s">
        <v>1026</v>
      </c>
      <c r="G56" s="1129">
        <f t="shared" si="5"/>
        <v>1.6121305917901099</v>
      </c>
      <c r="H56" s="1129"/>
      <c r="I56" s="1129"/>
      <c r="J56" s="1130"/>
      <c r="K56" s="1130"/>
      <c r="L56" s="1130"/>
      <c r="M56" s="1131">
        <f>+M57</f>
        <v>0</v>
      </c>
      <c r="N56" s="1131">
        <f>+N57</f>
        <v>0</v>
      </c>
      <c r="O56" s="1131">
        <f>+O57</f>
        <v>0</v>
      </c>
      <c r="P56" s="1130"/>
      <c r="Q56" s="1130"/>
      <c r="R56" s="1130"/>
      <c r="S56" s="1131">
        <f>+S57</f>
        <v>0</v>
      </c>
      <c r="T56" s="1131">
        <f>+T57</f>
        <v>0</v>
      </c>
      <c r="U56" s="1131">
        <f>+U57</f>
        <v>0</v>
      </c>
      <c r="V56" s="1130"/>
      <c r="W56" s="1130"/>
      <c r="X56" s="1130"/>
      <c r="Y56" s="1131">
        <f>+Y57</f>
        <v>0</v>
      </c>
      <c r="Z56" s="1131">
        <f>+Z57</f>
        <v>0</v>
      </c>
      <c r="AA56" s="1131">
        <f>+AA57</f>
        <v>0</v>
      </c>
      <c r="AB56" s="1130"/>
      <c r="AC56" s="1130"/>
      <c r="AD56" s="1130"/>
      <c r="AE56" s="1131">
        <f>+AE57</f>
        <v>0</v>
      </c>
      <c r="AF56" s="1131">
        <f>+AF57</f>
        <v>0</v>
      </c>
      <c r="AG56" s="1131">
        <f>+AG57</f>
        <v>35000</v>
      </c>
      <c r="AH56" s="1131">
        <f t="shared" si="83"/>
        <v>35000</v>
      </c>
      <c r="AI56" s="1131">
        <f t="shared" si="83"/>
        <v>35000</v>
      </c>
      <c r="AJ56" s="1131"/>
      <c r="AK56" s="1131"/>
      <c r="AL56" s="1131"/>
      <c r="AM56" s="1131"/>
      <c r="AN56" s="1131"/>
      <c r="AO56" s="1132"/>
      <c r="AP56" s="1132"/>
      <c r="AQ56" s="1132"/>
    </row>
    <row r="57" spans="1:43" ht="45">
      <c r="A57" s="22" t="s">
        <v>2254</v>
      </c>
      <c r="B57" s="1133" t="s">
        <v>2255</v>
      </c>
      <c r="C57" s="1134">
        <f t="shared" ref="C57" si="84">SUM(J57,K57,L57,P57,Q57,R57,V57,W57,X57,AB57,AC57,AD57)</f>
        <v>5</v>
      </c>
      <c r="D57" s="1133" t="s">
        <v>55</v>
      </c>
      <c r="E57" s="1133" t="s">
        <v>2256</v>
      </c>
      <c r="F57" s="1133" t="s">
        <v>2257</v>
      </c>
      <c r="G57" s="1136">
        <f t="shared" si="5"/>
        <v>1.6121305917901099</v>
      </c>
      <c r="H57" s="1136"/>
      <c r="I57" s="1136">
        <f>AH57/AH56*100</f>
        <v>100</v>
      </c>
      <c r="J57" s="1137"/>
      <c r="K57" s="1137"/>
      <c r="L57" s="1137"/>
      <c r="M57" s="1138"/>
      <c r="N57" s="1138"/>
      <c r="O57" s="1138"/>
      <c r="P57" s="1137"/>
      <c r="Q57" s="1137"/>
      <c r="R57" s="1137"/>
      <c r="S57" s="1138"/>
      <c r="T57" s="1138"/>
      <c r="U57" s="1138"/>
      <c r="V57" s="1137"/>
      <c r="W57" s="1137"/>
      <c r="X57" s="1137"/>
      <c r="Y57" s="1138"/>
      <c r="Z57" s="1138"/>
      <c r="AA57" s="1138"/>
      <c r="AB57" s="1137"/>
      <c r="AC57" s="1137"/>
      <c r="AD57" s="1137">
        <v>5</v>
      </c>
      <c r="AE57" s="1138"/>
      <c r="AF57" s="1138"/>
      <c r="AG57" s="1138">
        <v>35000</v>
      </c>
      <c r="AH57" s="1138">
        <f>SUM(AI57,AJ57,AK57,AL57,AM57,AN57)</f>
        <v>35000</v>
      </c>
      <c r="AI57" s="78">
        <f>MROUND('[1]POA 2021 DGFCR (2)'!AI71,5)</f>
        <v>35000</v>
      </c>
      <c r="AJ57" s="1138"/>
      <c r="AK57" s="1138"/>
      <c r="AL57" s="1138"/>
      <c r="AM57" s="1138"/>
      <c r="AN57" s="1138"/>
      <c r="AO57" s="1133" t="s">
        <v>465</v>
      </c>
      <c r="AP57" s="1133" t="s">
        <v>2258</v>
      </c>
      <c r="AQ57" s="1133"/>
    </row>
    <row r="58" spans="1:43" ht="30">
      <c r="A58" s="6" t="s">
        <v>338</v>
      </c>
      <c r="B58" s="6" t="s">
        <v>339</v>
      </c>
      <c r="C58" s="1111"/>
      <c r="D58" s="1112"/>
      <c r="E58" s="1112"/>
      <c r="F58" s="1112"/>
      <c r="G58" s="1113">
        <f t="shared" si="5"/>
        <v>1.84243496204584</v>
      </c>
      <c r="H58" s="1113"/>
      <c r="I58" s="1113"/>
      <c r="J58" s="1114"/>
      <c r="K58" s="1114"/>
      <c r="L58" s="1114"/>
      <c r="M58" s="1115">
        <f>SUM(M59)</f>
        <v>0</v>
      </c>
      <c r="N58" s="1115">
        <f t="shared" ref="N58:O58" si="85">SUM(N59)</f>
        <v>0</v>
      </c>
      <c r="O58" s="1115">
        <f t="shared" si="85"/>
        <v>0</v>
      </c>
      <c r="P58" s="1114"/>
      <c r="Q58" s="1114"/>
      <c r="R58" s="1114"/>
      <c r="S58" s="1115">
        <f t="shared" ref="S58:U58" si="86">SUM(S59)</f>
        <v>0</v>
      </c>
      <c r="T58" s="1115">
        <f t="shared" si="86"/>
        <v>0</v>
      </c>
      <c r="U58" s="1115">
        <f t="shared" si="86"/>
        <v>0</v>
      </c>
      <c r="V58" s="1114"/>
      <c r="W58" s="1114"/>
      <c r="X58" s="1114"/>
      <c r="Y58" s="1115">
        <f t="shared" ref="Y58:AA58" si="87">SUM(Y59)</f>
        <v>0</v>
      </c>
      <c r="Z58" s="1115">
        <f t="shared" si="87"/>
        <v>0</v>
      </c>
      <c r="AA58" s="1115">
        <f t="shared" si="87"/>
        <v>40000</v>
      </c>
      <c r="AB58" s="1114"/>
      <c r="AC58" s="1114"/>
      <c r="AD58" s="1114"/>
      <c r="AE58" s="1115">
        <f t="shared" ref="AE58:AI58" si="88">SUM(AE59)</f>
        <v>0</v>
      </c>
      <c r="AF58" s="1115">
        <f t="shared" si="88"/>
        <v>0</v>
      </c>
      <c r="AG58" s="1115">
        <f t="shared" si="88"/>
        <v>0</v>
      </c>
      <c r="AH58" s="1115">
        <f t="shared" si="88"/>
        <v>40000</v>
      </c>
      <c r="AI58" s="1115">
        <f t="shared" si="88"/>
        <v>40000</v>
      </c>
      <c r="AJ58" s="1115"/>
      <c r="AK58" s="1115"/>
      <c r="AL58" s="1115"/>
      <c r="AM58" s="1115"/>
      <c r="AN58" s="1115"/>
      <c r="AO58" s="1112"/>
      <c r="AP58" s="1112"/>
      <c r="AQ58" s="1112"/>
    </row>
    <row r="59" spans="1:43" ht="30">
      <c r="A59" s="10" t="s">
        <v>1035</v>
      </c>
      <c r="B59" s="10" t="s">
        <v>1036</v>
      </c>
      <c r="C59" s="1117"/>
      <c r="D59" s="1118"/>
      <c r="E59" s="1118"/>
      <c r="F59" s="1118"/>
      <c r="G59" s="1119">
        <f t="shared" si="5"/>
        <v>1.84243496204584</v>
      </c>
      <c r="H59" s="1119"/>
      <c r="I59" s="1119"/>
      <c r="J59" s="1120"/>
      <c r="K59" s="1120"/>
      <c r="L59" s="1120"/>
      <c r="M59" s="1121">
        <f>+M60</f>
        <v>0</v>
      </c>
      <c r="N59" s="1121">
        <f>+N60</f>
        <v>0</v>
      </c>
      <c r="O59" s="1121">
        <f>+O60</f>
        <v>0</v>
      </c>
      <c r="P59" s="1120"/>
      <c r="Q59" s="1120"/>
      <c r="R59" s="1120"/>
      <c r="S59" s="1121">
        <f>+S60</f>
        <v>0</v>
      </c>
      <c r="T59" s="1121">
        <f>+T60</f>
        <v>0</v>
      </c>
      <c r="U59" s="1121">
        <f>+U60</f>
        <v>0</v>
      </c>
      <c r="V59" s="1120"/>
      <c r="W59" s="1120"/>
      <c r="X59" s="1120"/>
      <c r="Y59" s="1121">
        <f>+Y60</f>
        <v>0</v>
      </c>
      <c r="Z59" s="1121">
        <f>+Z60</f>
        <v>0</v>
      </c>
      <c r="AA59" s="1121">
        <f>+AA60</f>
        <v>40000</v>
      </c>
      <c r="AB59" s="1120"/>
      <c r="AC59" s="1120"/>
      <c r="AD59" s="1120"/>
      <c r="AE59" s="1121">
        <f>+AE60</f>
        <v>0</v>
      </c>
      <c r="AF59" s="1121">
        <f>+AF60</f>
        <v>0</v>
      </c>
      <c r="AG59" s="1121">
        <f>+AG60</f>
        <v>0</v>
      </c>
      <c r="AH59" s="1121">
        <f>+AH60</f>
        <v>40000</v>
      </c>
      <c r="AI59" s="1121">
        <f>+AI60</f>
        <v>40000</v>
      </c>
      <c r="AJ59" s="1121"/>
      <c r="AK59" s="1121"/>
      <c r="AL59" s="1121"/>
      <c r="AM59" s="1121"/>
      <c r="AN59" s="1121"/>
      <c r="AO59" s="1118"/>
      <c r="AP59" s="1118"/>
      <c r="AQ59" s="1118"/>
    </row>
    <row r="60" spans="1:43" ht="60">
      <c r="A60" s="14" t="s">
        <v>1037</v>
      </c>
      <c r="B60" s="1123" t="s">
        <v>1038</v>
      </c>
      <c r="C60" s="1122"/>
      <c r="D60" s="1123"/>
      <c r="E60" s="1123"/>
      <c r="F60" s="1123"/>
      <c r="G60" s="1124">
        <f t="shared" si="5"/>
        <v>1.84243496204584</v>
      </c>
      <c r="H60" s="1124">
        <f>G60</f>
        <v>1.84243496204584</v>
      </c>
      <c r="I60" s="1124"/>
      <c r="J60" s="1125"/>
      <c r="K60" s="1125"/>
      <c r="L60" s="1125"/>
      <c r="M60" s="1126">
        <f t="shared" ref="M60:O61" si="89">+M61</f>
        <v>0</v>
      </c>
      <c r="N60" s="1126">
        <f t="shared" si="89"/>
        <v>0</v>
      </c>
      <c r="O60" s="1126">
        <f t="shared" si="89"/>
        <v>0</v>
      </c>
      <c r="P60" s="1125"/>
      <c r="Q60" s="1125"/>
      <c r="R60" s="1125"/>
      <c r="S60" s="1126">
        <f t="shared" ref="S60:U61" si="90">+S61</f>
        <v>0</v>
      </c>
      <c r="T60" s="1126">
        <f t="shared" si="90"/>
        <v>0</v>
      </c>
      <c r="U60" s="1126">
        <f t="shared" si="90"/>
        <v>0</v>
      </c>
      <c r="V60" s="1125"/>
      <c r="W60" s="1125"/>
      <c r="X60" s="1125"/>
      <c r="Y60" s="1126">
        <f t="shared" ref="Y60:AA61" si="91">+Y61</f>
        <v>0</v>
      </c>
      <c r="Z60" s="1126">
        <f t="shared" si="91"/>
        <v>0</v>
      </c>
      <c r="AA60" s="1126">
        <f t="shared" si="91"/>
        <v>40000</v>
      </c>
      <c r="AB60" s="1125"/>
      <c r="AC60" s="1125"/>
      <c r="AD60" s="1125"/>
      <c r="AE60" s="1126">
        <f t="shared" ref="AE60:AI61" si="92">+AE61</f>
        <v>0</v>
      </c>
      <c r="AF60" s="1126">
        <f t="shared" si="92"/>
        <v>0</v>
      </c>
      <c r="AG60" s="1126">
        <f t="shared" si="92"/>
        <v>0</v>
      </c>
      <c r="AH60" s="1126">
        <f t="shared" si="92"/>
        <v>40000</v>
      </c>
      <c r="AI60" s="1126">
        <f t="shared" si="92"/>
        <v>40000</v>
      </c>
      <c r="AJ60" s="1126"/>
      <c r="AK60" s="1126"/>
      <c r="AL60" s="1126"/>
      <c r="AM60" s="1126"/>
      <c r="AN60" s="1126"/>
      <c r="AO60" s="1123"/>
      <c r="AP60" s="1123"/>
      <c r="AQ60" s="1123"/>
    </row>
    <row r="61" spans="1:43" ht="90">
      <c r="A61" s="18" t="s">
        <v>2259</v>
      </c>
      <c r="B61" s="1132" t="s">
        <v>2260</v>
      </c>
      <c r="C61" s="1127"/>
      <c r="D61" s="371" t="s">
        <v>57</v>
      </c>
      <c r="E61" s="371" t="s">
        <v>2261</v>
      </c>
      <c r="F61" s="371" t="s">
        <v>2262</v>
      </c>
      <c r="G61" s="1129">
        <f t="shared" si="5"/>
        <v>1.84243496204584</v>
      </c>
      <c r="H61" s="1129"/>
      <c r="I61" s="1129"/>
      <c r="J61" s="1130"/>
      <c r="K61" s="1130"/>
      <c r="L61" s="1130"/>
      <c r="M61" s="1131">
        <f t="shared" si="89"/>
        <v>0</v>
      </c>
      <c r="N61" s="1131">
        <f t="shared" si="89"/>
        <v>0</v>
      </c>
      <c r="O61" s="1131">
        <f t="shared" si="89"/>
        <v>0</v>
      </c>
      <c r="P61" s="1130"/>
      <c r="Q61" s="1130"/>
      <c r="R61" s="1130"/>
      <c r="S61" s="1131">
        <f t="shared" si="90"/>
        <v>0</v>
      </c>
      <c r="T61" s="1131">
        <f t="shared" si="90"/>
        <v>0</v>
      </c>
      <c r="U61" s="1131">
        <f t="shared" si="90"/>
        <v>0</v>
      </c>
      <c r="V61" s="1130"/>
      <c r="W61" s="1130"/>
      <c r="X61" s="1130"/>
      <c r="Y61" s="1131">
        <f t="shared" si="91"/>
        <v>0</v>
      </c>
      <c r="Z61" s="1131">
        <f t="shared" si="91"/>
        <v>0</v>
      </c>
      <c r="AA61" s="1131">
        <f t="shared" si="91"/>
        <v>40000</v>
      </c>
      <c r="AB61" s="1130"/>
      <c r="AC61" s="1130"/>
      <c r="AD61" s="1130"/>
      <c r="AE61" s="1131">
        <f t="shared" si="92"/>
        <v>0</v>
      </c>
      <c r="AF61" s="1131">
        <f t="shared" si="92"/>
        <v>0</v>
      </c>
      <c r="AG61" s="1131">
        <f t="shared" si="92"/>
        <v>0</v>
      </c>
      <c r="AH61" s="1131">
        <f t="shared" si="92"/>
        <v>40000</v>
      </c>
      <c r="AI61" s="1131">
        <f t="shared" si="92"/>
        <v>40000</v>
      </c>
      <c r="AJ61" s="1131"/>
      <c r="AK61" s="1131"/>
      <c r="AL61" s="1131"/>
      <c r="AM61" s="1131"/>
      <c r="AN61" s="1131"/>
      <c r="AO61" s="1132"/>
      <c r="AP61" s="1132"/>
      <c r="AQ61" s="1132"/>
    </row>
    <row r="62" spans="1:43" ht="60">
      <c r="A62" s="22" t="s">
        <v>2263</v>
      </c>
      <c r="B62" s="1135" t="s">
        <v>2264</v>
      </c>
      <c r="C62" s="1145">
        <f t="shared" ref="C62" si="93">SUM(J62,K62,L62,P62,Q62,R62,V62,W62,X62,AB62,AC62,AD62)</f>
        <v>1</v>
      </c>
      <c r="D62" s="1135" t="s">
        <v>1277</v>
      </c>
      <c r="E62" s="1135" t="s">
        <v>2265</v>
      </c>
      <c r="F62" s="1135" t="s">
        <v>2266</v>
      </c>
      <c r="G62" s="1136">
        <f t="shared" si="5"/>
        <v>1.84243496204584</v>
      </c>
      <c r="H62" s="1136"/>
      <c r="I62" s="1136">
        <f>AH62/AH61*100</f>
        <v>100</v>
      </c>
      <c r="J62" s="1137"/>
      <c r="K62" s="1137"/>
      <c r="L62" s="1137"/>
      <c r="M62" s="1138"/>
      <c r="N62" s="1138"/>
      <c r="O62" s="1138"/>
      <c r="P62" s="1137"/>
      <c r="Q62" s="1137"/>
      <c r="R62" s="1137"/>
      <c r="S62" s="1138"/>
      <c r="T62" s="1138"/>
      <c r="U62" s="1138"/>
      <c r="V62" s="1137"/>
      <c r="W62" s="1137"/>
      <c r="X62" s="1137">
        <v>1</v>
      </c>
      <c r="Y62" s="1138"/>
      <c r="Z62" s="1138"/>
      <c r="AA62" s="1138">
        <v>40000</v>
      </c>
      <c r="AB62" s="1137"/>
      <c r="AC62" s="1137"/>
      <c r="AD62" s="1137"/>
      <c r="AE62" s="1138"/>
      <c r="AF62" s="1138"/>
      <c r="AG62" s="1138"/>
      <c r="AH62" s="1156">
        <f>Y62+Z62+AA62</f>
        <v>40000</v>
      </c>
      <c r="AI62" s="78">
        <f>AH62</f>
        <v>40000</v>
      </c>
      <c r="AJ62" s="1138"/>
      <c r="AK62" s="1138"/>
      <c r="AL62" s="1138"/>
      <c r="AM62" s="1138"/>
      <c r="AN62" s="1138"/>
      <c r="AO62" s="1135"/>
      <c r="AP62" s="1135"/>
      <c r="AQ62" s="1135"/>
    </row>
    <row r="63" spans="1:43" ht="30">
      <c r="A63" s="6" t="s">
        <v>349</v>
      </c>
      <c r="B63" s="1110" t="s">
        <v>350</v>
      </c>
      <c r="C63" s="1111"/>
      <c r="D63" s="1112"/>
      <c r="E63" s="1112"/>
      <c r="F63" s="1112"/>
      <c r="G63" s="1113">
        <f t="shared" si="5"/>
        <v>4.5627901835065225</v>
      </c>
      <c r="H63" s="1113"/>
      <c r="I63" s="1113"/>
      <c r="J63" s="1114"/>
      <c r="K63" s="1114"/>
      <c r="L63" s="1114"/>
      <c r="M63" s="1115">
        <f t="shared" ref="M63:O63" si="94">SUM(M64,M73)</f>
        <v>0</v>
      </c>
      <c r="N63" s="1115">
        <f t="shared" si="94"/>
        <v>0</v>
      </c>
      <c r="O63" s="1115">
        <f t="shared" si="94"/>
        <v>20000</v>
      </c>
      <c r="P63" s="1114"/>
      <c r="Q63" s="1114"/>
      <c r="R63" s="1114"/>
      <c r="S63" s="1115">
        <f t="shared" ref="S63:U63" si="95">SUM(S64,S73)</f>
        <v>0</v>
      </c>
      <c r="T63" s="1115">
        <f t="shared" si="95"/>
        <v>0</v>
      </c>
      <c r="U63" s="1115">
        <f t="shared" si="95"/>
        <v>20000</v>
      </c>
      <c r="V63" s="1114"/>
      <c r="W63" s="1114"/>
      <c r="X63" s="1114"/>
      <c r="Y63" s="1115">
        <f t="shared" ref="Y63:AA63" si="96">SUM(Y64,Y73)</f>
        <v>0</v>
      </c>
      <c r="Z63" s="1115">
        <f t="shared" si="96"/>
        <v>8995</v>
      </c>
      <c r="AA63" s="1115">
        <f t="shared" si="96"/>
        <v>29000</v>
      </c>
      <c r="AB63" s="1114"/>
      <c r="AC63" s="1114"/>
      <c r="AD63" s="1114"/>
      <c r="AE63" s="1115">
        <f t="shared" ref="AE63:AH63" si="97">SUM(AE64,AE73)</f>
        <v>565</v>
      </c>
      <c r="AF63" s="1115">
        <f t="shared" si="97"/>
        <v>0</v>
      </c>
      <c r="AG63" s="1115">
        <f t="shared" si="97"/>
        <v>20500</v>
      </c>
      <c r="AH63" s="1115">
        <f t="shared" si="97"/>
        <v>99060</v>
      </c>
      <c r="AI63" s="1115">
        <f>SUM(AI64,AI73)</f>
        <v>81065</v>
      </c>
      <c r="AJ63" s="1115"/>
      <c r="AK63" s="1115"/>
      <c r="AL63" s="1115">
        <f>SUM(AL64,AL73)</f>
        <v>17995</v>
      </c>
      <c r="AM63" s="1115"/>
      <c r="AN63" s="1115"/>
      <c r="AO63" s="1112"/>
      <c r="AP63" s="1112"/>
      <c r="AQ63" s="1112"/>
    </row>
    <row r="64" spans="1:43" ht="15">
      <c r="A64" s="10" t="s">
        <v>351</v>
      </c>
      <c r="B64" s="1147" t="s">
        <v>352</v>
      </c>
      <c r="C64" s="1157"/>
      <c r="D64" s="1158"/>
      <c r="E64" s="1158"/>
      <c r="F64" s="1158"/>
      <c r="G64" s="1119">
        <f t="shared" si="5"/>
        <v>0.87792025941484264</v>
      </c>
      <c r="H64" s="1119"/>
      <c r="I64" s="1119"/>
      <c r="J64" s="1120"/>
      <c r="K64" s="1120"/>
      <c r="L64" s="1120"/>
      <c r="M64" s="1121">
        <f t="shared" ref="M64:O64" si="98">M65</f>
        <v>0</v>
      </c>
      <c r="N64" s="1121">
        <f t="shared" si="98"/>
        <v>0</v>
      </c>
      <c r="O64" s="1121">
        <f t="shared" si="98"/>
        <v>0</v>
      </c>
      <c r="P64" s="1120"/>
      <c r="Q64" s="1120"/>
      <c r="R64" s="1120"/>
      <c r="S64" s="1121">
        <f t="shared" ref="S64:U64" si="99">S65</f>
        <v>0</v>
      </c>
      <c r="T64" s="1121">
        <f t="shared" si="99"/>
        <v>0</v>
      </c>
      <c r="U64" s="1121">
        <f t="shared" si="99"/>
        <v>0</v>
      </c>
      <c r="V64" s="1120"/>
      <c r="W64" s="1120"/>
      <c r="X64" s="1120"/>
      <c r="Y64" s="1121">
        <f t="shared" ref="Y64:AA64" si="100">Y65</f>
        <v>0</v>
      </c>
      <c r="Z64" s="1121">
        <f t="shared" si="100"/>
        <v>8995</v>
      </c>
      <c r="AA64" s="1121">
        <f t="shared" si="100"/>
        <v>9000</v>
      </c>
      <c r="AB64" s="1120"/>
      <c r="AC64" s="1120"/>
      <c r="AD64" s="1120"/>
      <c r="AE64" s="1121">
        <f t="shared" ref="AE64:AI64" si="101">AE65</f>
        <v>565</v>
      </c>
      <c r="AF64" s="1121">
        <f t="shared" si="101"/>
        <v>0</v>
      </c>
      <c r="AG64" s="1121">
        <f t="shared" si="101"/>
        <v>500</v>
      </c>
      <c r="AH64" s="1121">
        <f t="shared" si="101"/>
        <v>19060</v>
      </c>
      <c r="AI64" s="1121">
        <f t="shared" si="101"/>
        <v>1065</v>
      </c>
      <c r="AJ64" s="1121"/>
      <c r="AK64" s="1121"/>
      <c r="AL64" s="1121">
        <f>AL65</f>
        <v>17995</v>
      </c>
      <c r="AM64" s="1121"/>
      <c r="AN64" s="1121"/>
      <c r="AO64" s="1158"/>
      <c r="AP64" s="1158"/>
      <c r="AQ64" s="1158"/>
    </row>
    <row r="65" spans="1:43" ht="30">
      <c r="A65" s="14" t="s">
        <v>353</v>
      </c>
      <c r="B65" s="1149" t="s">
        <v>354</v>
      </c>
      <c r="C65" s="1122"/>
      <c r="D65" s="1123"/>
      <c r="E65" s="1123"/>
      <c r="F65" s="1123"/>
      <c r="G65" s="1124">
        <f t="shared" si="5"/>
        <v>0.87792025941484264</v>
      </c>
      <c r="H65" s="1124">
        <f>G65</f>
        <v>0.87792025941484264</v>
      </c>
      <c r="I65" s="1124"/>
      <c r="J65" s="1125"/>
      <c r="K65" s="1125"/>
      <c r="L65" s="1125"/>
      <c r="M65" s="1126">
        <f t="shared" ref="M65:O65" si="102">SUM(M66,M69,M71)</f>
        <v>0</v>
      </c>
      <c r="N65" s="1126">
        <f t="shared" si="102"/>
        <v>0</v>
      </c>
      <c r="O65" s="1126">
        <f t="shared" si="102"/>
        <v>0</v>
      </c>
      <c r="P65" s="1125"/>
      <c r="Q65" s="1125"/>
      <c r="R65" s="1125"/>
      <c r="S65" s="1126">
        <f>SUM(S66,S69,S71)</f>
        <v>0</v>
      </c>
      <c r="T65" s="1126">
        <f t="shared" ref="T65:U65" si="103">SUM(T66,T69,T71)</f>
        <v>0</v>
      </c>
      <c r="U65" s="1126">
        <f t="shared" si="103"/>
        <v>0</v>
      </c>
      <c r="V65" s="1125"/>
      <c r="W65" s="1125"/>
      <c r="X65" s="1125"/>
      <c r="Y65" s="1126">
        <f t="shared" ref="Y65:AA65" si="104">SUM(Y66,Y69,Y71)</f>
        <v>0</v>
      </c>
      <c r="Z65" s="1126">
        <f t="shared" si="104"/>
        <v>8995</v>
      </c>
      <c r="AA65" s="1126">
        <f t="shared" si="104"/>
        <v>9000</v>
      </c>
      <c r="AB65" s="1125"/>
      <c r="AC65" s="1125"/>
      <c r="AD65" s="1125"/>
      <c r="AE65" s="1126">
        <f t="shared" ref="AE65:AI65" si="105">SUM(AE66,AE69,AE71)</f>
        <v>565</v>
      </c>
      <c r="AF65" s="1126">
        <f t="shared" si="105"/>
        <v>0</v>
      </c>
      <c r="AG65" s="1126">
        <f t="shared" si="105"/>
        <v>500</v>
      </c>
      <c r="AH65" s="1126">
        <f t="shared" si="105"/>
        <v>19060</v>
      </c>
      <c r="AI65" s="1126">
        <f t="shared" si="105"/>
        <v>1065</v>
      </c>
      <c r="AJ65" s="1126"/>
      <c r="AK65" s="1126"/>
      <c r="AL65" s="1126">
        <f>AL66</f>
        <v>17995</v>
      </c>
      <c r="AM65" s="1126"/>
      <c r="AN65" s="1126"/>
      <c r="AO65" s="1123"/>
      <c r="AP65" s="1123"/>
      <c r="AQ65" s="1123"/>
    </row>
    <row r="66" spans="1:43" ht="75">
      <c r="A66" s="18" t="s">
        <v>355</v>
      </c>
      <c r="B66" s="1151" t="s">
        <v>356</v>
      </c>
      <c r="C66" s="1127"/>
      <c r="D66" s="1128" t="s">
        <v>357</v>
      </c>
      <c r="E66" s="1128" t="s">
        <v>358</v>
      </c>
      <c r="F66" s="1128" t="s">
        <v>57</v>
      </c>
      <c r="G66" s="1129">
        <f t="shared" si="5"/>
        <v>0.82886542855037226</v>
      </c>
      <c r="H66" s="1129"/>
      <c r="I66" s="1129"/>
      <c r="J66" s="1130"/>
      <c r="K66" s="1130"/>
      <c r="L66" s="1130"/>
      <c r="M66" s="1131">
        <f t="shared" ref="M66:O66" si="106">M68+M67</f>
        <v>0</v>
      </c>
      <c r="N66" s="1131">
        <f t="shared" si="106"/>
        <v>0</v>
      </c>
      <c r="O66" s="1131">
        <f t="shared" si="106"/>
        <v>0</v>
      </c>
      <c r="P66" s="1130"/>
      <c r="Q66" s="1130"/>
      <c r="R66" s="1130"/>
      <c r="S66" s="1131">
        <f t="shared" ref="S66:U66" si="107">S68+S67</f>
        <v>0</v>
      </c>
      <c r="T66" s="1131">
        <f t="shared" si="107"/>
        <v>0</v>
      </c>
      <c r="U66" s="1131">
        <f t="shared" si="107"/>
        <v>0</v>
      </c>
      <c r="V66" s="1130"/>
      <c r="W66" s="1130"/>
      <c r="X66" s="1130"/>
      <c r="Y66" s="1131">
        <f t="shared" ref="Y66" si="108">Y68+Y67</f>
        <v>0</v>
      </c>
      <c r="Z66" s="1131">
        <f>Z68+Z67</f>
        <v>8995</v>
      </c>
      <c r="AA66" s="1131">
        <f t="shared" ref="AA66" si="109">AA68+AA67</f>
        <v>9000</v>
      </c>
      <c r="AB66" s="1130"/>
      <c r="AC66" s="1130"/>
      <c r="AD66" s="1130"/>
      <c r="AE66" s="1131">
        <f t="shared" ref="AE66:AL66" si="110">AE68+AE67</f>
        <v>0</v>
      </c>
      <c r="AF66" s="1131">
        <f t="shared" si="110"/>
        <v>0</v>
      </c>
      <c r="AG66" s="1131">
        <f t="shared" si="110"/>
        <v>0</v>
      </c>
      <c r="AH66" s="1131">
        <f t="shared" si="110"/>
        <v>17995</v>
      </c>
      <c r="AI66" s="1131"/>
      <c r="AJ66" s="1131"/>
      <c r="AK66" s="1131"/>
      <c r="AL66" s="1131">
        <f t="shared" si="110"/>
        <v>17995</v>
      </c>
      <c r="AM66" s="1131"/>
      <c r="AN66" s="1131"/>
      <c r="AO66" s="1132"/>
      <c r="AP66" s="1132"/>
      <c r="AQ66" s="1132"/>
    </row>
    <row r="67" spans="1:43" ht="60">
      <c r="A67" s="1139" t="s">
        <v>2267</v>
      </c>
      <c r="B67" s="1139" t="s">
        <v>2268</v>
      </c>
      <c r="C67" s="1159">
        <v>1</v>
      </c>
      <c r="D67" s="1160" t="s">
        <v>57</v>
      </c>
      <c r="E67" s="1160" t="s">
        <v>2269</v>
      </c>
      <c r="F67" s="1160" t="s">
        <v>2270</v>
      </c>
      <c r="G67" s="1136">
        <f t="shared" si="5"/>
        <v>0.41431756209005827</v>
      </c>
      <c r="H67" s="1136"/>
      <c r="I67" s="1136">
        <f>AH67/AH$66*100</f>
        <v>49.986107252014449</v>
      </c>
      <c r="J67" s="1137"/>
      <c r="K67" s="1137"/>
      <c r="L67" s="1137"/>
      <c r="M67" s="1138"/>
      <c r="N67" s="1138"/>
      <c r="O67" s="1138"/>
      <c r="P67" s="1137"/>
      <c r="Q67" s="1137"/>
      <c r="R67" s="1137"/>
      <c r="S67" s="1138"/>
      <c r="T67" s="1138"/>
      <c r="U67" s="1138"/>
      <c r="V67" s="1137">
        <v>1</v>
      </c>
      <c r="W67" s="1137"/>
      <c r="X67" s="1137"/>
      <c r="Y67" s="1138"/>
      <c r="Z67" s="1138">
        <v>8995</v>
      </c>
      <c r="AA67" s="1138"/>
      <c r="AB67" s="1137"/>
      <c r="AC67" s="1137"/>
      <c r="AD67" s="1137"/>
      <c r="AE67" s="1138"/>
      <c r="AF67" s="1138"/>
      <c r="AG67" s="1138"/>
      <c r="AH67" s="1138">
        <f>SUM(M67,N67,O67,S67,T67,U67,Y67,Z67,AA67,AE67,AF67,AG67)</f>
        <v>8995</v>
      </c>
      <c r="AI67" s="1138"/>
      <c r="AJ67" s="1138"/>
      <c r="AK67" s="1138"/>
      <c r="AL67" s="1138">
        <f>AH67</f>
        <v>8995</v>
      </c>
      <c r="AM67" s="1138"/>
      <c r="AN67" s="1138"/>
      <c r="AO67" s="1133"/>
      <c r="AP67" s="1133"/>
      <c r="AQ67" s="1133"/>
    </row>
    <row r="68" spans="1:43" ht="60">
      <c r="A68" s="22" t="s">
        <v>2271</v>
      </c>
      <c r="B68" s="1153" t="s">
        <v>2272</v>
      </c>
      <c r="C68" s="1145">
        <v>1</v>
      </c>
      <c r="D68" s="1135" t="s">
        <v>57</v>
      </c>
      <c r="E68" s="1135" t="s">
        <v>2273</v>
      </c>
      <c r="F68" s="1135" t="s">
        <v>2274</v>
      </c>
      <c r="G68" s="1136">
        <f t="shared" si="5"/>
        <v>0.41454786646031394</v>
      </c>
      <c r="H68" s="1136"/>
      <c r="I68" s="1136">
        <f>AH68/AH$66*100</f>
        <v>50.013892747985558</v>
      </c>
      <c r="J68" s="1137"/>
      <c r="K68" s="1137"/>
      <c r="L68" s="1137"/>
      <c r="M68" s="1138"/>
      <c r="N68" s="1138"/>
      <c r="O68" s="1138"/>
      <c r="P68" s="1137"/>
      <c r="Q68" s="1137"/>
      <c r="R68" s="1137"/>
      <c r="S68" s="1138"/>
      <c r="T68" s="1138"/>
      <c r="U68" s="1138"/>
      <c r="V68" s="1137"/>
      <c r="W68" s="1137"/>
      <c r="X68" s="1137">
        <v>1</v>
      </c>
      <c r="Y68" s="1138"/>
      <c r="Z68" s="1138"/>
      <c r="AA68" s="1138">
        <v>9000</v>
      </c>
      <c r="AB68" s="1137"/>
      <c r="AC68" s="1137"/>
      <c r="AD68" s="1137"/>
      <c r="AE68" s="1138"/>
      <c r="AF68" s="1138"/>
      <c r="AG68" s="1138"/>
      <c r="AH68" s="1138">
        <f>SUM(M68,N68,O68,S68,T68,U68,Y68,Z68,AA68,AE68,AF68,AG68)</f>
        <v>9000</v>
      </c>
      <c r="AI68" s="1138"/>
      <c r="AJ68" s="1138"/>
      <c r="AK68" s="1138"/>
      <c r="AL68" s="78">
        <f>AH68</f>
        <v>9000</v>
      </c>
      <c r="AM68" s="1138"/>
      <c r="AN68" s="1138"/>
      <c r="AO68" s="1133" t="s">
        <v>2275</v>
      </c>
      <c r="AP68" s="1133" t="s">
        <v>2276</v>
      </c>
      <c r="AQ68" s="1133"/>
    </row>
    <row r="69" spans="1:43" ht="45">
      <c r="A69" s="1150" t="s">
        <v>368</v>
      </c>
      <c r="B69" s="1150" t="s">
        <v>369</v>
      </c>
      <c r="C69" s="1161"/>
      <c r="D69" s="1128" t="s">
        <v>57</v>
      </c>
      <c r="E69" s="1128" t="s">
        <v>370</v>
      </c>
      <c r="F69" s="1128" t="s">
        <v>371</v>
      </c>
      <c r="G69" s="1129">
        <f t="shared" si="5"/>
        <v>2.6024393838897486E-2</v>
      </c>
      <c r="H69" s="1129"/>
      <c r="I69" s="1129"/>
      <c r="J69" s="1130"/>
      <c r="K69" s="1130"/>
      <c r="L69" s="1130"/>
      <c r="M69" s="1131"/>
      <c r="N69" s="1131"/>
      <c r="O69" s="1131"/>
      <c r="P69" s="1130"/>
      <c r="Q69" s="1130"/>
      <c r="R69" s="1130"/>
      <c r="S69" s="1131"/>
      <c r="T69" s="1131"/>
      <c r="U69" s="1131"/>
      <c r="V69" s="1130"/>
      <c r="W69" s="1130"/>
      <c r="X69" s="1130"/>
      <c r="Y69" s="1131"/>
      <c r="Z69" s="1131"/>
      <c r="AA69" s="1131"/>
      <c r="AB69" s="1130"/>
      <c r="AC69" s="1130"/>
      <c r="AD69" s="1130"/>
      <c r="AE69" s="1131">
        <f>AE70</f>
        <v>565</v>
      </c>
      <c r="AF69" s="1131"/>
      <c r="AG69" s="1131"/>
      <c r="AH69" s="1131">
        <f>AE69</f>
        <v>565</v>
      </c>
      <c r="AI69" s="1131">
        <f>AH69</f>
        <v>565</v>
      </c>
      <c r="AJ69" s="1131"/>
      <c r="AK69" s="1131"/>
      <c r="AL69" s="748"/>
      <c r="AM69" s="1131"/>
      <c r="AN69" s="1131"/>
      <c r="AO69" s="1132"/>
      <c r="AP69" s="1132"/>
      <c r="AQ69" s="1132"/>
    </row>
    <row r="70" spans="1:43" ht="30">
      <c r="A70" s="1139" t="s">
        <v>2277</v>
      </c>
      <c r="B70" s="1139" t="s">
        <v>2278</v>
      </c>
      <c r="C70" s="1159">
        <v>1</v>
      </c>
      <c r="D70" s="1160" t="s">
        <v>57</v>
      </c>
      <c r="E70" s="1160" t="s">
        <v>2279</v>
      </c>
      <c r="F70" s="1160" t="s">
        <v>2280</v>
      </c>
      <c r="G70" s="1136">
        <f t="shared" si="5"/>
        <v>2.6024393838897486E-2</v>
      </c>
      <c r="H70" s="1136"/>
      <c r="I70" s="1136">
        <f>AH70/AH69*100</f>
        <v>100</v>
      </c>
      <c r="J70" s="1137"/>
      <c r="K70" s="1137"/>
      <c r="L70" s="1137"/>
      <c r="M70" s="1138"/>
      <c r="N70" s="1138"/>
      <c r="O70" s="1138"/>
      <c r="P70" s="1137"/>
      <c r="Q70" s="1137"/>
      <c r="R70" s="1137"/>
      <c r="S70" s="1138"/>
      <c r="T70" s="1138"/>
      <c r="U70" s="1138"/>
      <c r="V70" s="1137"/>
      <c r="W70" s="1137"/>
      <c r="X70" s="1137"/>
      <c r="Y70" s="1138"/>
      <c r="Z70" s="1138"/>
      <c r="AA70" s="1138"/>
      <c r="AB70" s="1137">
        <v>1</v>
      </c>
      <c r="AC70" s="1137"/>
      <c r="AD70" s="1137"/>
      <c r="AE70" s="1138">
        <v>565</v>
      </c>
      <c r="AF70" s="1138"/>
      <c r="AG70" s="1138"/>
      <c r="AH70" s="1138">
        <f>AE70</f>
        <v>565</v>
      </c>
      <c r="AI70" s="1138">
        <f>AH70</f>
        <v>565</v>
      </c>
      <c r="AJ70" s="1138"/>
      <c r="AK70" s="1138"/>
      <c r="AL70" s="78"/>
      <c r="AM70" s="1138"/>
      <c r="AN70" s="1138"/>
      <c r="AO70" s="1133"/>
      <c r="AP70" s="1133"/>
      <c r="AQ70" s="1133"/>
    </row>
    <row r="71" spans="1:43" ht="30">
      <c r="A71" s="1150" t="s">
        <v>2281</v>
      </c>
      <c r="B71" s="1150" t="s">
        <v>2282</v>
      </c>
      <c r="C71" s="1161"/>
      <c r="D71" s="1128" t="s">
        <v>523</v>
      </c>
      <c r="E71" s="1128" t="s">
        <v>2283</v>
      </c>
      <c r="F71" s="1128"/>
      <c r="G71" s="1129">
        <f t="shared" si="5"/>
        <v>2.3030437025572996E-2</v>
      </c>
      <c r="H71" s="1129"/>
      <c r="I71" s="1129"/>
      <c r="J71" s="1130"/>
      <c r="K71" s="1130"/>
      <c r="L71" s="1130"/>
      <c r="M71" s="1131"/>
      <c r="N71" s="1131"/>
      <c r="O71" s="1131"/>
      <c r="P71" s="1130"/>
      <c r="Q71" s="1130"/>
      <c r="R71" s="1130"/>
      <c r="S71" s="1131"/>
      <c r="T71" s="1131"/>
      <c r="U71" s="1131"/>
      <c r="V71" s="1130"/>
      <c r="W71" s="1130"/>
      <c r="X71" s="1130"/>
      <c r="Y71" s="1131"/>
      <c r="Z71" s="1131"/>
      <c r="AA71" s="1131"/>
      <c r="AB71" s="1130"/>
      <c r="AC71" s="1130"/>
      <c r="AD71" s="1130"/>
      <c r="AE71" s="1131"/>
      <c r="AF71" s="1131"/>
      <c r="AG71" s="1131">
        <f>AG72</f>
        <v>500</v>
      </c>
      <c r="AH71" s="1131">
        <f>AG71</f>
        <v>500</v>
      </c>
      <c r="AI71" s="1131">
        <f>AH71</f>
        <v>500</v>
      </c>
      <c r="AJ71" s="1131"/>
      <c r="AK71" s="1131"/>
      <c r="AL71" s="748"/>
      <c r="AM71" s="1131"/>
      <c r="AN71" s="1131"/>
      <c r="AO71" s="1132"/>
      <c r="AP71" s="1132"/>
      <c r="AQ71" s="1132"/>
    </row>
    <row r="72" spans="1:43" ht="105">
      <c r="A72" s="1139" t="s">
        <v>2284</v>
      </c>
      <c r="B72" s="1139" t="s">
        <v>2285</v>
      </c>
      <c r="C72" s="1159">
        <v>1</v>
      </c>
      <c r="D72" s="1160" t="s">
        <v>523</v>
      </c>
      <c r="E72" s="1160" t="s">
        <v>2286</v>
      </c>
      <c r="F72" s="1160" t="s">
        <v>2287</v>
      </c>
      <c r="G72" s="1136">
        <f t="shared" si="5"/>
        <v>2.3030437025572996E-2</v>
      </c>
      <c r="H72" s="1136"/>
      <c r="I72" s="1136">
        <f>AH72/AH71*100</f>
        <v>100</v>
      </c>
      <c r="J72" s="1137"/>
      <c r="K72" s="1137"/>
      <c r="L72" s="1137"/>
      <c r="M72" s="1138"/>
      <c r="N72" s="1138"/>
      <c r="O72" s="1138"/>
      <c r="P72" s="1137"/>
      <c r="Q72" s="1137"/>
      <c r="R72" s="1137"/>
      <c r="S72" s="1138"/>
      <c r="T72" s="1138"/>
      <c r="U72" s="1138"/>
      <c r="V72" s="1137"/>
      <c r="W72" s="1137"/>
      <c r="X72" s="1137"/>
      <c r="Y72" s="1138"/>
      <c r="Z72" s="1138"/>
      <c r="AA72" s="1138"/>
      <c r="AB72" s="1137"/>
      <c r="AC72" s="1137"/>
      <c r="AD72" s="1137">
        <v>1</v>
      </c>
      <c r="AE72" s="1138"/>
      <c r="AF72" s="1138"/>
      <c r="AG72" s="1138">
        <v>500</v>
      </c>
      <c r="AH72" s="1138">
        <f>AG72</f>
        <v>500</v>
      </c>
      <c r="AI72" s="1138">
        <f>AH72</f>
        <v>500</v>
      </c>
      <c r="AJ72" s="1138"/>
      <c r="AK72" s="1138"/>
      <c r="AL72" s="78"/>
      <c r="AM72" s="1138"/>
      <c r="AN72" s="1138"/>
      <c r="AO72" s="1133"/>
      <c r="AP72" s="1133"/>
      <c r="AQ72" s="1133"/>
    </row>
    <row r="73" spans="1:43" ht="30">
      <c r="A73" s="10" t="s">
        <v>1070</v>
      </c>
      <c r="B73" s="1147" t="s">
        <v>1071</v>
      </c>
      <c r="C73" s="1117"/>
      <c r="D73" s="1118"/>
      <c r="E73" s="1118"/>
      <c r="F73" s="1118"/>
      <c r="G73" s="1119">
        <f t="shared" si="5"/>
        <v>3.68486992409168</v>
      </c>
      <c r="H73" s="1119"/>
      <c r="I73" s="1119"/>
      <c r="J73" s="1120"/>
      <c r="K73" s="1120"/>
      <c r="L73" s="1120"/>
      <c r="M73" s="1121">
        <f t="shared" ref="M73:O73" si="111">M74</f>
        <v>0</v>
      </c>
      <c r="N73" s="1121">
        <f t="shared" si="111"/>
        <v>0</v>
      </c>
      <c r="O73" s="1121">
        <f t="shared" si="111"/>
        <v>20000</v>
      </c>
      <c r="P73" s="1120"/>
      <c r="Q73" s="1120"/>
      <c r="R73" s="1120"/>
      <c r="S73" s="1121">
        <f t="shared" ref="S73:U73" si="112">S74</f>
        <v>0</v>
      </c>
      <c r="T73" s="1121">
        <f t="shared" si="112"/>
        <v>0</v>
      </c>
      <c r="U73" s="1121">
        <f t="shared" si="112"/>
        <v>20000</v>
      </c>
      <c r="V73" s="1120"/>
      <c r="W73" s="1120"/>
      <c r="X73" s="1120"/>
      <c r="Y73" s="1121">
        <f t="shared" ref="Y73:AA73" si="113">Y74</f>
        <v>0</v>
      </c>
      <c r="Z73" s="1121">
        <f t="shared" si="113"/>
        <v>0</v>
      </c>
      <c r="AA73" s="1121">
        <f t="shared" si="113"/>
        <v>20000</v>
      </c>
      <c r="AB73" s="1120"/>
      <c r="AC73" s="1120"/>
      <c r="AD73" s="1120"/>
      <c r="AE73" s="1121">
        <f t="shared" ref="AE73:AI73" si="114">AE74</f>
        <v>0</v>
      </c>
      <c r="AF73" s="1121">
        <f t="shared" si="114"/>
        <v>0</v>
      </c>
      <c r="AG73" s="1121">
        <f t="shared" si="114"/>
        <v>20000</v>
      </c>
      <c r="AH73" s="1121">
        <f t="shared" si="114"/>
        <v>80000</v>
      </c>
      <c r="AI73" s="1121">
        <f t="shared" si="114"/>
        <v>80000</v>
      </c>
      <c r="AJ73" s="1121"/>
      <c r="AK73" s="1121"/>
      <c r="AL73" s="1121">
        <f t="shared" ref="AL73" si="115">AL74</f>
        <v>0</v>
      </c>
      <c r="AM73" s="1121"/>
      <c r="AN73" s="1121"/>
      <c r="AO73" s="1118"/>
      <c r="AP73" s="1118"/>
      <c r="AQ73" s="1118"/>
    </row>
    <row r="74" spans="1:43" ht="30">
      <c r="A74" s="14" t="s">
        <v>1072</v>
      </c>
      <c r="B74" s="1123" t="s">
        <v>1073</v>
      </c>
      <c r="C74" s="1122"/>
      <c r="D74" s="1123"/>
      <c r="E74" s="1123"/>
      <c r="F74" s="1123"/>
      <c r="G74" s="1124">
        <f t="shared" si="5"/>
        <v>3.68486992409168</v>
      </c>
      <c r="H74" s="1124">
        <f>G74</f>
        <v>3.68486992409168</v>
      </c>
      <c r="I74" s="1124"/>
      <c r="J74" s="1125"/>
      <c r="K74" s="1125"/>
      <c r="L74" s="1125"/>
      <c r="M74" s="1126">
        <f t="shared" ref="M74:O75" si="116">+M75</f>
        <v>0</v>
      </c>
      <c r="N74" s="1126">
        <f t="shared" si="116"/>
        <v>0</v>
      </c>
      <c r="O74" s="1126">
        <f t="shared" si="116"/>
        <v>20000</v>
      </c>
      <c r="P74" s="1125"/>
      <c r="Q74" s="1125"/>
      <c r="R74" s="1125"/>
      <c r="S74" s="1126">
        <f t="shared" ref="S74:U75" si="117">+S75</f>
        <v>0</v>
      </c>
      <c r="T74" s="1126">
        <f t="shared" si="117"/>
        <v>0</v>
      </c>
      <c r="U74" s="1126">
        <f t="shared" si="117"/>
        <v>20000</v>
      </c>
      <c r="V74" s="1125"/>
      <c r="W74" s="1125"/>
      <c r="X74" s="1125"/>
      <c r="Y74" s="1126">
        <f t="shared" ref="Y74:AA75" si="118">+Y75</f>
        <v>0</v>
      </c>
      <c r="Z74" s="1126">
        <f t="shared" si="118"/>
        <v>0</v>
      </c>
      <c r="AA74" s="1126">
        <f t="shared" si="118"/>
        <v>20000</v>
      </c>
      <c r="AB74" s="1125"/>
      <c r="AC74" s="1125"/>
      <c r="AD74" s="1125"/>
      <c r="AE74" s="1126">
        <f t="shared" ref="AE74:AI75" si="119">+AE75</f>
        <v>0</v>
      </c>
      <c r="AF74" s="1126">
        <f t="shared" si="119"/>
        <v>0</v>
      </c>
      <c r="AG74" s="1126">
        <f t="shared" si="119"/>
        <v>20000</v>
      </c>
      <c r="AH74" s="1126">
        <f t="shared" si="119"/>
        <v>80000</v>
      </c>
      <c r="AI74" s="1126">
        <f t="shared" si="119"/>
        <v>80000</v>
      </c>
      <c r="AJ74" s="1126"/>
      <c r="AK74" s="1126"/>
      <c r="AL74" s="1126">
        <f t="shared" ref="AL74:AL75" si="120">+AL75</f>
        <v>0</v>
      </c>
      <c r="AM74" s="1126"/>
      <c r="AN74" s="1126"/>
      <c r="AO74" s="1123"/>
      <c r="AP74" s="1123"/>
      <c r="AQ74" s="1123"/>
    </row>
    <row r="75" spans="1:43" ht="90">
      <c r="A75" s="18" t="s">
        <v>1074</v>
      </c>
      <c r="B75" s="1132" t="s">
        <v>2288</v>
      </c>
      <c r="C75" s="1127"/>
      <c r="D75" s="1128" t="s">
        <v>52</v>
      </c>
      <c r="E75" s="1128" t="s">
        <v>1076</v>
      </c>
      <c r="F75" s="1132"/>
      <c r="G75" s="1129">
        <f t="shared" ref="G75:G102" si="121">AH75/AH$103*100</f>
        <v>3.68486992409168</v>
      </c>
      <c r="H75" s="1129"/>
      <c r="I75" s="1129"/>
      <c r="J75" s="1130"/>
      <c r="K75" s="1130"/>
      <c r="L75" s="1130"/>
      <c r="M75" s="1131">
        <f t="shared" si="116"/>
        <v>0</v>
      </c>
      <c r="N75" s="1131">
        <f t="shared" si="116"/>
        <v>0</v>
      </c>
      <c r="O75" s="1131">
        <f t="shared" si="116"/>
        <v>20000</v>
      </c>
      <c r="P75" s="1130"/>
      <c r="Q75" s="1130"/>
      <c r="R75" s="1130"/>
      <c r="S75" s="1131">
        <f t="shared" si="117"/>
        <v>0</v>
      </c>
      <c r="T75" s="1131">
        <f t="shared" si="117"/>
        <v>0</v>
      </c>
      <c r="U75" s="1131">
        <f t="shared" si="117"/>
        <v>20000</v>
      </c>
      <c r="V75" s="1130"/>
      <c r="W75" s="1130"/>
      <c r="X75" s="1130"/>
      <c r="Y75" s="1131">
        <f t="shared" si="118"/>
        <v>0</v>
      </c>
      <c r="Z75" s="1131">
        <f t="shared" si="118"/>
        <v>0</v>
      </c>
      <c r="AA75" s="1131">
        <f t="shared" si="118"/>
        <v>20000</v>
      </c>
      <c r="AB75" s="1130"/>
      <c r="AC75" s="1130"/>
      <c r="AD75" s="1130"/>
      <c r="AE75" s="1131">
        <f t="shared" si="119"/>
        <v>0</v>
      </c>
      <c r="AF75" s="1131">
        <f t="shared" si="119"/>
        <v>0</v>
      </c>
      <c r="AG75" s="1131">
        <f t="shared" si="119"/>
        <v>20000</v>
      </c>
      <c r="AH75" s="1131">
        <f t="shared" si="119"/>
        <v>80000</v>
      </c>
      <c r="AI75" s="1131">
        <f t="shared" si="119"/>
        <v>80000</v>
      </c>
      <c r="AJ75" s="1131"/>
      <c r="AK75" s="1131"/>
      <c r="AL75" s="1131">
        <f t="shared" si="120"/>
        <v>0</v>
      </c>
      <c r="AM75" s="1131"/>
      <c r="AN75" s="1131"/>
      <c r="AO75" s="1132"/>
      <c r="AP75" s="1132"/>
      <c r="AQ75" s="1132"/>
    </row>
    <row r="76" spans="1:43" ht="60">
      <c r="A76" s="22" t="s">
        <v>2289</v>
      </c>
      <c r="B76" s="1133" t="s">
        <v>2290</v>
      </c>
      <c r="C76" s="1134">
        <f t="shared" ref="C76" si="122">SUM(J76,K76,L76,P76,Q76,R76,V76,W76,X76,AB76,AC76,AD76)</f>
        <v>4</v>
      </c>
      <c r="D76" s="1133" t="s">
        <v>52</v>
      </c>
      <c r="E76" s="1133" t="s">
        <v>2291</v>
      </c>
      <c r="F76" s="1135" t="s">
        <v>52</v>
      </c>
      <c r="G76" s="1136">
        <f t="shared" si="121"/>
        <v>3.68486992409168</v>
      </c>
      <c r="H76" s="1136"/>
      <c r="I76" s="1136">
        <f>AH76/AH75*100</f>
        <v>100</v>
      </c>
      <c r="J76" s="1137"/>
      <c r="K76" s="1137"/>
      <c r="L76" s="1137">
        <v>1</v>
      </c>
      <c r="M76" s="1138"/>
      <c r="N76" s="1138"/>
      <c r="O76" s="1138">
        <f t="shared" ref="O76" si="123">$AH76/$C76*L76</f>
        <v>20000</v>
      </c>
      <c r="P76" s="1137"/>
      <c r="Q76" s="1137"/>
      <c r="R76" s="1137">
        <v>1</v>
      </c>
      <c r="S76" s="1138"/>
      <c r="T76" s="1138"/>
      <c r="U76" s="1138">
        <f t="shared" ref="U76" si="124">$AH76/$C76*R76</f>
        <v>20000</v>
      </c>
      <c r="V76" s="1137"/>
      <c r="W76" s="1137"/>
      <c r="X76" s="1137">
        <v>1</v>
      </c>
      <c r="Y76" s="1138"/>
      <c r="Z76" s="1138"/>
      <c r="AA76" s="1138">
        <f t="shared" ref="AA76" si="125">$AH76/$C76*X76</f>
        <v>20000</v>
      </c>
      <c r="AB76" s="1137"/>
      <c r="AC76" s="1137"/>
      <c r="AD76" s="1137">
        <v>1</v>
      </c>
      <c r="AE76" s="1138"/>
      <c r="AF76" s="1138"/>
      <c r="AG76" s="1138">
        <f t="shared" ref="AG76" si="126">$AH76/$C76*AD76</f>
        <v>20000</v>
      </c>
      <c r="AH76" s="1138">
        <f>SUM(AI76,AJ76,AK76,AL76,AM76,AN76)</f>
        <v>80000</v>
      </c>
      <c r="AI76" s="78">
        <f>MROUND('[1]POA 2021 DGFCR (2)'!AI89,5)</f>
        <v>80000</v>
      </c>
      <c r="AJ76" s="1138"/>
      <c r="AK76" s="1138"/>
      <c r="AL76" s="1138"/>
      <c r="AM76" s="1138"/>
      <c r="AN76" s="1138"/>
      <c r="AO76" s="1133" t="s">
        <v>2174</v>
      </c>
      <c r="AP76" s="1133" t="s">
        <v>2292</v>
      </c>
      <c r="AQ76" s="1135" t="s">
        <v>2293</v>
      </c>
    </row>
    <row r="77" spans="1:43" ht="15">
      <c r="A77" s="1162" t="s">
        <v>379</v>
      </c>
      <c r="B77" s="1163" t="s">
        <v>808</v>
      </c>
      <c r="C77" s="1164"/>
      <c r="D77" s="1002"/>
      <c r="E77" s="1163"/>
      <c r="F77" s="1163"/>
      <c r="G77" s="1113">
        <f t="shared" si="121"/>
        <v>22.694883558110398</v>
      </c>
      <c r="H77" s="1113"/>
      <c r="I77" s="1113"/>
      <c r="J77" s="1114"/>
      <c r="K77" s="1114"/>
      <c r="L77" s="1114"/>
      <c r="M77" s="1115">
        <f>M78</f>
        <v>20760</v>
      </c>
      <c r="N77" s="1115">
        <f t="shared" ref="N77:O77" si="127">N78</f>
        <v>24320</v>
      </c>
      <c r="O77" s="1115">
        <f t="shared" si="127"/>
        <v>24820</v>
      </c>
      <c r="P77" s="1114"/>
      <c r="Q77" s="1114"/>
      <c r="R77" s="1114"/>
      <c r="S77" s="1115">
        <f t="shared" ref="S77:U77" si="128">S78</f>
        <v>22390</v>
      </c>
      <c r="T77" s="1115">
        <f t="shared" si="128"/>
        <v>33745</v>
      </c>
      <c r="U77" s="1115">
        <f t="shared" si="128"/>
        <v>30820</v>
      </c>
      <c r="V77" s="1114"/>
      <c r="W77" s="1114"/>
      <c r="X77" s="1114"/>
      <c r="Y77" s="1115">
        <f t="shared" ref="Y77:AA77" si="129">Y78</f>
        <v>63020</v>
      </c>
      <c r="Z77" s="1115">
        <f t="shared" si="129"/>
        <v>56325</v>
      </c>
      <c r="AA77" s="1115">
        <f t="shared" si="129"/>
        <v>52240</v>
      </c>
      <c r="AB77" s="1114"/>
      <c r="AC77" s="1114"/>
      <c r="AD77" s="1114"/>
      <c r="AE77" s="1115">
        <f t="shared" ref="AE77:AI77" si="130">AE78</f>
        <v>76895</v>
      </c>
      <c r="AF77" s="1115">
        <f t="shared" si="130"/>
        <v>47330</v>
      </c>
      <c r="AG77" s="1115">
        <f t="shared" si="130"/>
        <v>40050</v>
      </c>
      <c r="AH77" s="1115">
        <f t="shared" si="130"/>
        <v>492715</v>
      </c>
      <c r="AI77" s="1115">
        <f t="shared" si="130"/>
        <v>417315</v>
      </c>
      <c r="AJ77" s="1115"/>
      <c r="AK77" s="1115"/>
      <c r="AL77" s="1115">
        <f>AL78</f>
        <v>75400</v>
      </c>
      <c r="AM77" s="1115"/>
      <c r="AN77" s="1115"/>
      <c r="AO77" s="1112"/>
      <c r="AP77" s="1112"/>
      <c r="AQ77" s="1112"/>
    </row>
    <row r="78" spans="1:43" ht="45">
      <c r="A78" s="1165" t="s">
        <v>2294</v>
      </c>
      <c r="B78" s="1011" t="s">
        <v>2295</v>
      </c>
      <c r="C78" s="1166"/>
      <c r="D78" s="1011"/>
      <c r="E78" s="1167"/>
      <c r="F78" s="1167"/>
      <c r="G78" s="1119">
        <f t="shared" si="121"/>
        <v>22.694883558110398</v>
      </c>
      <c r="H78" s="1119"/>
      <c r="I78" s="1119"/>
      <c r="J78" s="1120"/>
      <c r="K78" s="1120"/>
      <c r="L78" s="1120"/>
      <c r="M78" s="1121">
        <f>SUM(M79,M89,M93)</f>
        <v>20760</v>
      </c>
      <c r="N78" s="1121">
        <f>SUM(N79,N89,N93)</f>
        <v>24320</v>
      </c>
      <c r="O78" s="1121">
        <f>SUM(O79,O89,O93)</f>
        <v>24820</v>
      </c>
      <c r="P78" s="1120"/>
      <c r="Q78" s="1120"/>
      <c r="R78" s="1120"/>
      <c r="S78" s="1121">
        <f>SUM(S79,S89,S93)</f>
        <v>22390</v>
      </c>
      <c r="T78" s="1121">
        <f>SUM(T79,T89,T93)</f>
        <v>33745</v>
      </c>
      <c r="U78" s="1121">
        <f>SUM(U79,U89,U93)</f>
        <v>30820</v>
      </c>
      <c r="V78" s="1120"/>
      <c r="W78" s="1120"/>
      <c r="X78" s="1120"/>
      <c r="Y78" s="1121">
        <f>SUM(Y79,Y89,Y93)</f>
        <v>63020</v>
      </c>
      <c r="Z78" s="1121">
        <f>SUM(Z79,Z89,Z93)</f>
        <v>56325</v>
      </c>
      <c r="AA78" s="1121">
        <f>SUM(AA79,AA89,AA93)</f>
        <v>52240</v>
      </c>
      <c r="AB78" s="1120"/>
      <c r="AC78" s="1120"/>
      <c r="AD78" s="1120"/>
      <c r="AE78" s="1121">
        <f>SUM(AE79,AE89,AE93)</f>
        <v>76895</v>
      </c>
      <c r="AF78" s="1121">
        <f>SUM(AF79,AF89,AF93)</f>
        <v>47330</v>
      </c>
      <c r="AG78" s="1121">
        <f>SUM(AG79,AG89,AG93)</f>
        <v>40050</v>
      </c>
      <c r="AH78" s="1121">
        <f>SUM(AH79,AH89,AH93)</f>
        <v>492715</v>
      </c>
      <c r="AI78" s="1121">
        <f>SUM(AI79,AI89,AI93)</f>
        <v>417315</v>
      </c>
      <c r="AJ78" s="1121"/>
      <c r="AK78" s="1121"/>
      <c r="AL78" s="1121">
        <f>SUM(AL79,AL89,AL93)</f>
        <v>75400</v>
      </c>
      <c r="AM78" s="1121"/>
      <c r="AN78" s="1121"/>
      <c r="AO78" s="1168"/>
      <c r="AP78" s="1168"/>
      <c r="AQ78" s="1168"/>
    </row>
    <row r="79" spans="1:43" ht="45">
      <c r="A79" s="1019" t="s">
        <v>2296</v>
      </c>
      <c r="B79" s="1169" t="s">
        <v>2297</v>
      </c>
      <c r="C79" s="1170"/>
      <c r="D79" s="1171"/>
      <c r="E79" s="1172"/>
      <c r="F79" s="1172"/>
      <c r="G79" s="1124">
        <f t="shared" si="121"/>
        <v>8.1672838823789515</v>
      </c>
      <c r="H79" s="1124">
        <f>G79</f>
        <v>8.1672838823789515</v>
      </c>
      <c r="I79" s="1124"/>
      <c r="J79" s="1125"/>
      <c r="K79" s="1125"/>
      <c r="L79" s="1125"/>
      <c r="M79" s="1126">
        <f>+M80</f>
        <v>8930</v>
      </c>
      <c r="N79" s="1126">
        <f t="shared" ref="N79:O79" si="131">+N80</f>
        <v>14930</v>
      </c>
      <c r="O79" s="1126">
        <f t="shared" si="131"/>
        <v>10430</v>
      </c>
      <c r="P79" s="1125"/>
      <c r="Q79" s="1125"/>
      <c r="R79" s="1125"/>
      <c r="S79" s="1126">
        <f t="shared" ref="S79:U79" si="132">+S80</f>
        <v>13000</v>
      </c>
      <c r="T79" s="1126">
        <f t="shared" si="132"/>
        <v>15855</v>
      </c>
      <c r="U79" s="1126">
        <f t="shared" si="132"/>
        <v>16430</v>
      </c>
      <c r="V79" s="1125"/>
      <c r="W79" s="1125"/>
      <c r="X79" s="1125"/>
      <c r="Y79" s="1126">
        <f t="shared" ref="Y79:AA79" si="133">+Y80</f>
        <v>25430</v>
      </c>
      <c r="Z79" s="1126">
        <f t="shared" si="133"/>
        <v>26855</v>
      </c>
      <c r="AA79" s="1126">
        <f t="shared" si="133"/>
        <v>16170</v>
      </c>
      <c r="AB79" s="1125"/>
      <c r="AC79" s="1125"/>
      <c r="AD79" s="1125"/>
      <c r="AE79" s="1126">
        <f t="shared" ref="AE79:AI79" si="134">+AE80</f>
        <v>5425</v>
      </c>
      <c r="AF79" s="1126">
        <f t="shared" si="134"/>
        <v>23860</v>
      </c>
      <c r="AG79" s="1126">
        <f t="shared" si="134"/>
        <v>0</v>
      </c>
      <c r="AH79" s="1126">
        <f t="shared" si="134"/>
        <v>177315</v>
      </c>
      <c r="AI79" s="1126">
        <f t="shared" si="134"/>
        <v>177315</v>
      </c>
      <c r="AJ79" s="1126"/>
      <c r="AK79" s="1126"/>
      <c r="AL79" s="1126">
        <f>+AL80</f>
        <v>0</v>
      </c>
      <c r="AM79" s="1126"/>
      <c r="AN79" s="1126"/>
      <c r="AO79" s="1149"/>
      <c r="AP79" s="1149"/>
      <c r="AQ79" s="1149"/>
    </row>
    <row r="80" spans="1:43" ht="135">
      <c r="A80" s="428" t="s">
        <v>2298</v>
      </c>
      <c r="B80" s="1173" t="s">
        <v>2299</v>
      </c>
      <c r="C80" s="1174"/>
      <c r="D80" s="1173"/>
      <c r="E80" s="1175"/>
      <c r="F80" s="1175"/>
      <c r="G80" s="1129">
        <f t="shared" si="121"/>
        <v>8.1672838823789515</v>
      </c>
      <c r="H80" s="1129"/>
      <c r="I80" s="1129"/>
      <c r="J80" s="1130"/>
      <c r="K80" s="1130"/>
      <c r="L80" s="1130"/>
      <c r="M80" s="1131">
        <f>SUM(M81:M88)</f>
        <v>8930</v>
      </c>
      <c r="N80" s="1131">
        <f t="shared" ref="N80:O80" si="135">SUM(N81:N88)</f>
        <v>14930</v>
      </c>
      <c r="O80" s="1131">
        <f t="shared" si="135"/>
        <v>10430</v>
      </c>
      <c r="P80" s="1130"/>
      <c r="Q80" s="1130"/>
      <c r="R80" s="1130"/>
      <c r="S80" s="1131">
        <f t="shared" ref="S80:U80" si="136">SUM(S81:S88)</f>
        <v>13000</v>
      </c>
      <c r="T80" s="1131">
        <f t="shared" si="136"/>
        <v>15855</v>
      </c>
      <c r="U80" s="1131">
        <f t="shared" si="136"/>
        <v>16430</v>
      </c>
      <c r="V80" s="1130"/>
      <c r="W80" s="1130"/>
      <c r="X80" s="1130"/>
      <c r="Y80" s="1131">
        <f t="shared" ref="Y80:AA80" si="137">SUM(Y81:Y88)</f>
        <v>25430</v>
      </c>
      <c r="Z80" s="1131">
        <f t="shared" si="137"/>
        <v>26855</v>
      </c>
      <c r="AA80" s="1131">
        <f t="shared" si="137"/>
        <v>16170</v>
      </c>
      <c r="AB80" s="1130"/>
      <c r="AC80" s="1130"/>
      <c r="AD80" s="1130"/>
      <c r="AE80" s="1131">
        <f t="shared" ref="AE80:AI80" si="138">SUM(AE81:AE88)</f>
        <v>5425</v>
      </c>
      <c r="AF80" s="1131">
        <f t="shared" si="138"/>
        <v>23860</v>
      </c>
      <c r="AG80" s="1131">
        <f t="shared" si="138"/>
        <v>0</v>
      </c>
      <c r="AH80" s="1131">
        <f t="shared" si="138"/>
        <v>177315</v>
      </c>
      <c r="AI80" s="1131">
        <f t="shared" si="138"/>
        <v>177315</v>
      </c>
      <c r="AJ80" s="1131"/>
      <c r="AK80" s="1131"/>
      <c r="AL80" s="1131"/>
      <c r="AM80" s="1131"/>
      <c r="AN80" s="1131"/>
      <c r="AO80" s="1151"/>
      <c r="AP80" s="1151"/>
      <c r="AQ80" s="1151"/>
    </row>
    <row r="81" spans="1:43" ht="45">
      <c r="A81" s="437" t="s">
        <v>2300</v>
      </c>
      <c r="B81" s="1176" t="s">
        <v>2301</v>
      </c>
      <c r="C81" s="1134">
        <f t="shared" ref="C81:C88" si="139">SUM(J81,K81,L81,P81,Q81,R81,V81,W81,X81,AB81,AC81,AD81)</f>
        <v>1425</v>
      </c>
      <c r="D81" s="1176" t="s">
        <v>478</v>
      </c>
      <c r="E81" s="1176" t="s">
        <v>2302</v>
      </c>
      <c r="F81" s="1177" t="s">
        <v>2303</v>
      </c>
      <c r="G81" s="1136">
        <f t="shared" si="121"/>
        <v>3.4545655538359497</v>
      </c>
      <c r="H81" s="1136"/>
      <c r="I81" s="1136">
        <f>AH81/AH$80*100</f>
        <v>42.297605955502924</v>
      </c>
      <c r="J81" s="1137">
        <v>20</v>
      </c>
      <c r="K81" s="1144">
        <v>110.4</v>
      </c>
      <c r="L81" s="1137">
        <v>35</v>
      </c>
      <c r="M81" s="1138">
        <v>5000</v>
      </c>
      <c r="N81" s="1138">
        <v>10000</v>
      </c>
      <c r="O81" s="1138">
        <v>5000</v>
      </c>
      <c r="P81" s="1136">
        <v>37.630000000000003</v>
      </c>
      <c r="Q81" s="1137">
        <v>359</v>
      </c>
      <c r="R81" s="1136">
        <v>87.34</v>
      </c>
      <c r="S81" s="1138">
        <v>5000</v>
      </c>
      <c r="T81" s="1138">
        <v>5000</v>
      </c>
      <c r="U81" s="1138">
        <v>5000</v>
      </c>
      <c r="V81" s="1137">
        <v>116</v>
      </c>
      <c r="W81" s="1137">
        <v>515</v>
      </c>
      <c r="X81" s="1137">
        <v>63</v>
      </c>
      <c r="Y81" s="1138">
        <v>10000</v>
      </c>
      <c r="Z81" s="1138">
        <v>10000</v>
      </c>
      <c r="AA81" s="1138">
        <v>5000</v>
      </c>
      <c r="AB81" s="1137"/>
      <c r="AC81" s="1144">
        <v>81.63</v>
      </c>
      <c r="AD81" s="1137"/>
      <c r="AE81" s="1138"/>
      <c r="AF81" s="1138">
        <v>15000</v>
      </c>
      <c r="AG81" s="1138"/>
      <c r="AH81" s="1138">
        <f t="shared" ref="AH81:AH88" si="140">SUM(M81,N81,O81,S81,T81,U81,Y81,Z81,AA81,AE81,AF81,AG81)</f>
        <v>75000</v>
      </c>
      <c r="AI81" s="78">
        <f>MROUND('[1]POA 2021 DGFCR (2)'!AI94,5)</f>
        <v>75000</v>
      </c>
      <c r="AJ81" s="1138"/>
      <c r="AK81" s="1138"/>
      <c r="AL81" s="1138"/>
      <c r="AM81" s="1138"/>
      <c r="AN81" s="1138"/>
      <c r="AO81" s="1133" t="s">
        <v>465</v>
      </c>
      <c r="AP81" s="1133" t="s">
        <v>2116</v>
      </c>
      <c r="AQ81" s="1140"/>
    </row>
    <row r="82" spans="1:43" ht="45">
      <c r="A82" s="437" t="s">
        <v>2304</v>
      </c>
      <c r="B82" s="1176" t="s">
        <v>2305</v>
      </c>
      <c r="C82" s="1134">
        <f t="shared" si="139"/>
        <v>1050</v>
      </c>
      <c r="D82" s="1176" t="s">
        <v>2306</v>
      </c>
      <c r="E82" s="1176" t="s">
        <v>2307</v>
      </c>
      <c r="F82" s="1177" t="s">
        <v>2308</v>
      </c>
      <c r="G82" s="1136">
        <f t="shared" si="121"/>
        <v>2.5333480728130295</v>
      </c>
      <c r="H82" s="1136"/>
      <c r="I82" s="1136">
        <f t="shared" ref="I82:I88" si="141">AH82/AH$80*100</f>
        <v>31.018244367368808</v>
      </c>
      <c r="J82" s="1137">
        <v>107</v>
      </c>
      <c r="K82" s="1137">
        <v>90</v>
      </c>
      <c r="L82" s="1137">
        <v>138</v>
      </c>
      <c r="M82" s="1138">
        <v>3930</v>
      </c>
      <c r="N82" s="1138">
        <v>3930</v>
      </c>
      <c r="O82" s="1138">
        <v>3930</v>
      </c>
      <c r="P82" s="1137">
        <v>118</v>
      </c>
      <c r="Q82" s="1137">
        <v>134</v>
      </c>
      <c r="R82" s="1137">
        <v>112</v>
      </c>
      <c r="S82" s="1138">
        <v>5500</v>
      </c>
      <c r="T82" s="1138">
        <v>7855</v>
      </c>
      <c r="U82" s="1138">
        <v>3930</v>
      </c>
      <c r="V82" s="1137">
        <v>92</v>
      </c>
      <c r="W82" s="1137">
        <v>96</v>
      </c>
      <c r="X82" s="1137">
        <v>89</v>
      </c>
      <c r="Y82" s="1138">
        <v>3930</v>
      </c>
      <c r="Z82" s="1138">
        <v>7855</v>
      </c>
      <c r="AA82" s="1138">
        <v>2355</v>
      </c>
      <c r="AB82" s="1137">
        <v>24</v>
      </c>
      <c r="AC82" s="1137">
        <v>50</v>
      </c>
      <c r="AD82" s="1137"/>
      <c r="AE82" s="1138">
        <v>3925</v>
      </c>
      <c r="AF82" s="1138">
        <v>7860</v>
      </c>
      <c r="AG82" s="1138"/>
      <c r="AH82" s="1138">
        <f t="shared" si="140"/>
        <v>55000</v>
      </c>
      <c r="AI82" s="78">
        <f>MROUND('[1]POA 2021 DGFCR (2)'!AI95,5)</f>
        <v>55000</v>
      </c>
      <c r="AJ82" s="1138"/>
      <c r="AK82" s="1138"/>
      <c r="AL82" s="1138"/>
      <c r="AM82" s="1138"/>
      <c r="AN82" s="1138"/>
      <c r="AO82" s="1133" t="s">
        <v>465</v>
      </c>
      <c r="AP82" s="1133" t="s">
        <v>2116</v>
      </c>
      <c r="AQ82" s="1140"/>
    </row>
    <row r="83" spans="1:43" ht="75">
      <c r="A83" s="437" t="s">
        <v>2309</v>
      </c>
      <c r="B83" s="1176" t="s">
        <v>2310</v>
      </c>
      <c r="C83" s="1134">
        <f t="shared" si="139"/>
        <v>26</v>
      </c>
      <c r="D83" s="1176" t="s">
        <v>2311</v>
      </c>
      <c r="E83" s="1176" t="s">
        <v>2312</v>
      </c>
      <c r="F83" s="1177" t="s">
        <v>2313</v>
      </c>
      <c r="G83" s="1136">
        <f t="shared" si="121"/>
        <v>0.69091311076718986</v>
      </c>
      <c r="H83" s="1136"/>
      <c r="I83" s="1136">
        <f t="shared" si="141"/>
        <v>8.4595211911005848</v>
      </c>
      <c r="J83" s="1137"/>
      <c r="K83" s="1137">
        <v>2</v>
      </c>
      <c r="L83" s="1137">
        <v>2</v>
      </c>
      <c r="M83" s="1138"/>
      <c r="N83" s="1138">
        <v>1000</v>
      </c>
      <c r="O83" s="1138">
        <v>1500</v>
      </c>
      <c r="P83" s="1178">
        <v>4</v>
      </c>
      <c r="Q83" s="1178">
        <v>3</v>
      </c>
      <c r="R83" s="1178">
        <v>6</v>
      </c>
      <c r="S83" s="1138">
        <v>2500</v>
      </c>
      <c r="T83" s="1138">
        <v>1000</v>
      </c>
      <c r="U83" s="1138">
        <v>1500</v>
      </c>
      <c r="V83" s="1178">
        <v>2</v>
      </c>
      <c r="W83" s="1178">
        <v>1</v>
      </c>
      <c r="X83" s="1137">
        <v>3</v>
      </c>
      <c r="Y83" s="1138">
        <v>2500</v>
      </c>
      <c r="Z83" s="1138">
        <v>1000</v>
      </c>
      <c r="AA83" s="1138">
        <v>1500</v>
      </c>
      <c r="AB83" s="1137">
        <v>2</v>
      </c>
      <c r="AC83" s="1137">
        <v>1</v>
      </c>
      <c r="AD83" s="1137"/>
      <c r="AE83" s="1138">
        <v>1500</v>
      </c>
      <c r="AF83" s="1138">
        <v>1000</v>
      </c>
      <c r="AG83" s="1138"/>
      <c r="AH83" s="1138">
        <f t="shared" si="140"/>
        <v>15000</v>
      </c>
      <c r="AI83" s="78">
        <f>MROUND('[1]POA 2021 DGFCR (2)'!AI112,5)</f>
        <v>15000</v>
      </c>
      <c r="AJ83" s="1138"/>
      <c r="AK83" s="1138"/>
      <c r="AL83" s="1138"/>
      <c r="AM83" s="1138"/>
      <c r="AN83" s="1138"/>
      <c r="AO83" s="1179" t="s">
        <v>465</v>
      </c>
      <c r="AP83" s="1179" t="s">
        <v>2314</v>
      </c>
      <c r="AQ83" s="1140"/>
    </row>
    <row r="84" spans="1:43" ht="60">
      <c r="A84" s="437" t="s">
        <v>2315</v>
      </c>
      <c r="B84" s="1176" t="s">
        <v>2316</v>
      </c>
      <c r="C84" s="1134">
        <f t="shared" si="139"/>
        <v>3</v>
      </c>
      <c r="D84" s="1176" t="s">
        <v>57</v>
      </c>
      <c r="E84" s="1176" t="s">
        <v>2317</v>
      </c>
      <c r="F84" s="1176" t="s">
        <v>52</v>
      </c>
      <c r="G84" s="1136">
        <f t="shared" si="121"/>
        <v>0.32242611835802193</v>
      </c>
      <c r="H84" s="1136"/>
      <c r="I84" s="1136">
        <f t="shared" si="141"/>
        <v>3.9477765558469393</v>
      </c>
      <c r="J84" s="1137"/>
      <c r="K84" s="1137"/>
      <c r="L84" s="1137"/>
      <c r="M84" s="1138"/>
      <c r="N84" s="1138"/>
      <c r="O84" s="1138"/>
      <c r="P84" s="1178"/>
      <c r="Q84" s="1178">
        <v>1</v>
      </c>
      <c r="R84" s="1178">
        <v>1</v>
      </c>
      <c r="S84" s="1138"/>
      <c r="T84" s="1138">
        <v>2000</v>
      </c>
      <c r="U84" s="1138">
        <v>2000</v>
      </c>
      <c r="V84" s="1178">
        <v>1</v>
      </c>
      <c r="W84" s="1178"/>
      <c r="X84" s="1178"/>
      <c r="Y84" s="1138">
        <v>3000</v>
      </c>
      <c r="Z84" s="1138"/>
      <c r="AA84" s="1138"/>
      <c r="AB84" s="1178"/>
      <c r="AC84" s="1178"/>
      <c r="AD84" s="1178"/>
      <c r="AE84" s="1138"/>
      <c r="AF84" s="1138"/>
      <c r="AG84" s="1138"/>
      <c r="AH84" s="1138">
        <f t="shared" si="140"/>
        <v>7000</v>
      </c>
      <c r="AI84" s="78">
        <f>MROUND('[1]POA 2021 DGFCR (2)'!AI113,5)</f>
        <v>7000</v>
      </c>
      <c r="AJ84" s="1138"/>
      <c r="AK84" s="1138"/>
      <c r="AL84" s="1138"/>
      <c r="AM84" s="1138"/>
      <c r="AN84" s="1138"/>
      <c r="AO84" s="1179" t="s">
        <v>465</v>
      </c>
      <c r="AP84" s="1179" t="s">
        <v>2314</v>
      </c>
      <c r="AQ84" s="1140" t="s">
        <v>2318</v>
      </c>
    </row>
    <row r="85" spans="1:43" ht="90">
      <c r="A85" s="437" t="s">
        <v>2319</v>
      </c>
      <c r="B85" s="1176" t="s">
        <v>2320</v>
      </c>
      <c r="C85" s="1134">
        <f t="shared" si="139"/>
        <v>1</v>
      </c>
      <c r="D85" s="1176" t="s">
        <v>1962</v>
      </c>
      <c r="E85" s="1177" t="s">
        <v>2321</v>
      </c>
      <c r="F85" s="1177" t="s">
        <v>57</v>
      </c>
      <c r="G85" s="1136">
        <f t="shared" si="121"/>
        <v>0.36848699240916793</v>
      </c>
      <c r="H85" s="1136"/>
      <c r="I85" s="1136">
        <f t="shared" si="141"/>
        <v>4.5117446352536446</v>
      </c>
      <c r="J85" s="1137"/>
      <c r="K85" s="1137"/>
      <c r="L85" s="1137"/>
      <c r="M85" s="1138"/>
      <c r="N85" s="1138"/>
      <c r="O85" s="1138"/>
      <c r="P85" s="1178"/>
      <c r="Q85" s="1178"/>
      <c r="R85" s="1178"/>
      <c r="S85" s="1138"/>
      <c r="T85" s="1138"/>
      <c r="U85" s="1138"/>
      <c r="V85" s="1178"/>
      <c r="W85" s="1178">
        <v>1</v>
      </c>
      <c r="X85" s="1178"/>
      <c r="Y85" s="1138"/>
      <c r="Z85" s="1138">
        <v>8000</v>
      </c>
      <c r="AA85" s="1138"/>
      <c r="AB85" s="1178"/>
      <c r="AC85" s="1178"/>
      <c r="AD85" s="1178"/>
      <c r="AE85" s="1138"/>
      <c r="AF85" s="1138"/>
      <c r="AG85" s="1138"/>
      <c r="AH85" s="1138">
        <f t="shared" si="140"/>
        <v>8000</v>
      </c>
      <c r="AI85" s="78">
        <f>MROUND('[1]POA 2021 DGFCR (2)'!AI114,5)</f>
        <v>8000</v>
      </c>
      <c r="AJ85" s="1138"/>
      <c r="AK85" s="1138"/>
      <c r="AL85" s="1138"/>
      <c r="AM85" s="1138"/>
      <c r="AN85" s="1138"/>
      <c r="AO85" s="1179" t="s">
        <v>465</v>
      </c>
      <c r="AP85" s="1179" t="s">
        <v>2314</v>
      </c>
      <c r="AQ85" s="1140" t="s">
        <v>2322</v>
      </c>
    </row>
    <row r="86" spans="1:43" ht="60">
      <c r="A86" s="437" t="s">
        <v>2323</v>
      </c>
      <c r="B86" s="1176" t="s">
        <v>2324</v>
      </c>
      <c r="C86" s="1134">
        <f t="shared" si="139"/>
        <v>1</v>
      </c>
      <c r="D86" s="1176" t="s">
        <v>2325</v>
      </c>
      <c r="E86" s="1177" t="s">
        <v>2326</v>
      </c>
      <c r="F86" s="1177" t="s">
        <v>52</v>
      </c>
      <c r="G86" s="1136">
        <f t="shared" si="121"/>
        <v>0.27636524430687598</v>
      </c>
      <c r="H86" s="1136"/>
      <c r="I86" s="1136">
        <f t="shared" si="141"/>
        <v>3.3838084764402336</v>
      </c>
      <c r="J86" s="1137"/>
      <c r="K86" s="1137"/>
      <c r="L86" s="1137"/>
      <c r="M86" s="1138"/>
      <c r="N86" s="1138"/>
      <c r="O86" s="1138"/>
      <c r="P86" s="1178"/>
      <c r="Q86" s="1178"/>
      <c r="R86" s="1178"/>
      <c r="S86" s="1138"/>
      <c r="T86" s="1138"/>
      <c r="U86" s="1138"/>
      <c r="V86" s="1178">
        <v>1</v>
      </c>
      <c r="W86" s="1178"/>
      <c r="X86" s="1178"/>
      <c r="Y86" s="1138">
        <v>6000</v>
      </c>
      <c r="Z86" s="1138"/>
      <c r="AA86" s="1138"/>
      <c r="AB86" s="1178"/>
      <c r="AC86" s="1178"/>
      <c r="AD86" s="1178"/>
      <c r="AE86" s="1138"/>
      <c r="AF86" s="1138"/>
      <c r="AG86" s="1138"/>
      <c r="AH86" s="1138">
        <f t="shared" si="140"/>
        <v>6000</v>
      </c>
      <c r="AI86" s="78">
        <v>6000</v>
      </c>
      <c r="AJ86" s="1138"/>
      <c r="AK86" s="1138"/>
      <c r="AL86" s="1138"/>
      <c r="AM86" s="1138"/>
      <c r="AN86" s="1138"/>
      <c r="AO86" s="1179" t="s">
        <v>465</v>
      </c>
      <c r="AP86" s="1179" t="s">
        <v>2314</v>
      </c>
      <c r="AQ86" s="1140"/>
    </row>
    <row r="87" spans="1:43" ht="90">
      <c r="A87" s="437" t="s">
        <v>2327</v>
      </c>
      <c r="B87" s="1176" t="s">
        <v>2328</v>
      </c>
      <c r="C87" s="1134">
        <f t="shared" si="139"/>
        <v>2</v>
      </c>
      <c r="D87" s="1133" t="s">
        <v>361</v>
      </c>
      <c r="E87" s="1177" t="s">
        <v>2329</v>
      </c>
      <c r="F87" s="1177" t="s">
        <v>2330</v>
      </c>
      <c r="G87" s="1136">
        <f t="shared" si="121"/>
        <v>0.36848699240916793</v>
      </c>
      <c r="H87" s="1136"/>
      <c r="I87" s="1136">
        <f t="shared" si="141"/>
        <v>4.5117446352536446</v>
      </c>
      <c r="J87" s="1137"/>
      <c r="K87" s="1137"/>
      <c r="L87" s="1137"/>
      <c r="M87" s="1138"/>
      <c r="N87" s="1138"/>
      <c r="O87" s="1138"/>
      <c r="P87" s="1178"/>
      <c r="Q87" s="1178"/>
      <c r="R87" s="1178">
        <v>1</v>
      </c>
      <c r="S87" s="1138"/>
      <c r="T87" s="1138"/>
      <c r="U87" s="1138">
        <v>4000</v>
      </c>
      <c r="V87" s="1178"/>
      <c r="W87" s="1178"/>
      <c r="X87" s="1178">
        <v>1</v>
      </c>
      <c r="Y87" s="1138"/>
      <c r="Z87" s="1138"/>
      <c r="AA87" s="1138">
        <v>4000</v>
      </c>
      <c r="AB87" s="1178"/>
      <c r="AC87" s="1178"/>
      <c r="AD87" s="1178"/>
      <c r="AE87" s="1138"/>
      <c r="AF87" s="1138"/>
      <c r="AG87" s="1138"/>
      <c r="AH87" s="1138">
        <f t="shared" si="140"/>
        <v>8000</v>
      </c>
      <c r="AI87" s="78">
        <v>8000</v>
      </c>
      <c r="AJ87" s="1138"/>
      <c r="AK87" s="1138"/>
      <c r="AL87" s="1138"/>
      <c r="AM87" s="1138"/>
      <c r="AN87" s="1138"/>
      <c r="AO87" s="1179" t="s">
        <v>465</v>
      </c>
      <c r="AP87" s="1179" t="s">
        <v>2314</v>
      </c>
      <c r="AQ87" s="1180"/>
    </row>
    <row r="88" spans="1:43" ht="75">
      <c r="A88" s="437" t="s">
        <v>2331</v>
      </c>
      <c r="B88" s="1177" t="s">
        <v>2332</v>
      </c>
      <c r="C88" s="1145">
        <f t="shared" si="139"/>
        <v>1</v>
      </c>
      <c r="D88" s="1135" t="s">
        <v>2333</v>
      </c>
      <c r="E88" s="1177" t="s">
        <v>2334</v>
      </c>
      <c r="F88" s="1177" t="s">
        <v>2330</v>
      </c>
      <c r="G88" s="1136">
        <f t="shared" si="121"/>
        <v>0.15269179747954897</v>
      </c>
      <c r="H88" s="1136"/>
      <c r="I88" s="1136">
        <f t="shared" si="141"/>
        <v>1.869554183233229</v>
      </c>
      <c r="J88" s="1137"/>
      <c r="K88" s="1137"/>
      <c r="L88" s="1137"/>
      <c r="M88" s="1138"/>
      <c r="N88" s="1138"/>
      <c r="O88" s="1138"/>
      <c r="P88" s="1178"/>
      <c r="Q88" s="1178"/>
      <c r="R88" s="1178"/>
      <c r="S88" s="1138"/>
      <c r="T88" s="1138"/>
      <c r="U88" s="1138"/>
      <c r="V88" s="1178"/>
      <c r="W88" s="1178"/>
      <c r="X88" s="1178">
        <v>1</v>
      </c>
      <c r="Y88" s="1138"/>
      <c r="Z88" s="1138"/>
      <c r="AA88" s="1138">
        <v>3315</v>
      </c>
      <c r="AB88" s="1178"/>
      <c r="AC88" s="1178"/>
      <c r="AD88" s="1178"/>
      <c r="AE88" s="1138"/>
      <c r="AF88" s="1138"/>
      <c r="AG88" s="1138"/>
      <c r="AH88" s="1138">
        <f t="shared" si="140"/>
        <v>3315</v>
      </c>
      <c r="AI88" s="78">
        <v>3315</v>
      </c>
      <c r="AJ88" s="1138"/>
      <c r="AK88" s="1138"/>
      <c r="AL88" s="1138"/>
      <c r="AM88" s="1138"/>
      <c r="AN88" s="1138"/>
      <c r="AO88" s="1181" t="s">
        <v>465</v>
      </c>
      <c r="AP88" s="1181" t="s">
        <v>2314</v>
      </c>
      <c r="AQ88" s="1153"/>
    </row>
    <row r="89" spans="1:43" ht="15">
      <c r="A89" s="1019" t="s">
        <v>2335</v>
      </c>
      <c r="B89" s="1169" t="s">
        <v>2336</v>
      </c>
      <c r="C89" s="1170"/>
      <c r="D89" s="1171"/>
      <c r="E89" s="1172"/>
      <c r="F89" s="1172"/>
      <c r="G89" s="1124">
        <f t="shared" si="121"/>
        <v>5.3868192202815237</v>
      </c>
      <c r="H89" s="1124">
        <f>G89</f>
        <v>5.3868192202815237</v>
      </c>
      <c r="I89" s="1124"/>
      <c r="J89" s="1125"/>
      <c r="K89" s="1125"/>
      <c r="L89" s="1125"/>
      <c r="M89" s="1126">
        <f>+M90</f>
        <v>3330</v>
      </c>
      <c r="N89" s="1126">
        <f>+N90</f>
        <v>9390</v>
      </c>
      <c r="O89" s="1126">
        <f>+O90</f>
        <v>9390</v>
      </c>
      <c r="P89" s="1125"/>
      <c r="Q89" s="1125"/>
      <c r="R89" s="1125"/>
      <c r="S89" s="1126">
        <f>+S90</f>
        <v>9390</v>
      </c>
      <c r="T89" s="1126">
        <f>+T90</f>
        <v>9390</v>
      </c>
      <c r="U89" s="1126">
        <f>+U90</f>
        <v>9390</v>
      </c>
      <c r="V89" s="1125"/>
      <c r="W89" s="1125"/>
      <c r="X89" s="1125"/>
      <c r="Y89" s="1126">
        <f>+Y90</f>
        <v>9390</v>
      </c>
      <c r="Z89" s="1126">
        <f>+Z90</f>
        <v>11970</v>
      </c>
      <c r="AA89" s="1126">
        <f>+AA90</f>
        <v>11970</v>
      </c>
      <c r="AB89" s="1125"/>
      <c r="AC89" s="1125"/>
      <c r="AD89" s="1125"/>
      <c r="AE89" s="1126">
        <f>+AE90</f>
        <v>11970</v>
      </c>
      <c r="AF89" s="1126">
        <f>+AF90</f>
        <v>11970</v>
      </c>
      <c r="AG89" s="1126">
        <f>+AG90</f>
        <v>9400</v>
      </c>
      <c r="AH89" s="1126">
        <f>+AH90</f>
        <v>116950</v>
      </c>
      <c r="AI89" s="1126">
        <f>+AI90</f>
        <v>90000</v>
      </c>
      <c r="AJ89" s="1126"/>
      <c r="AK89" s="1126"/>
      <c r="AL89" s="1126">
        <f>+AL90</f>
        <v>26950</v>
      </c>
      <c r="AM89" s="1126"/>
      <c r="AN89" s="1126"/>
      <c r="AO89" s="1149"/>
      <c r="AP89" s="1149"/>
      <c r="AQ89" s="1149"/>
    </row>
    <row r="90" spans="1:43" ht="105">
      <c r="A90" s="428" t="s">
        <v>2337</v>
      </c>
      <c r="B90" s="1173" t="s">
        <v>2338</v>
      </c>
      <c r="C90" s="1174"/>
      <c r="D90" s="1173"/>
      <c r="E90" s="1175"/>
      <c r="F90" s="1175"/>
      <c r="G90" s="1129">
        <f t="shared" si="121"/>
        <v>5.3868192202815237</v>
      </c>
      <c r="H90" s="1129"/>
      <c r="I90" s="1129"/>
      <c r="J90" s="1130"/>
      <c r="K90" s="1130"/>
      <c r="L90" s="1130"/>
      <c r="M90" s="1131">
        <f>+M92+M91</f>
        <v>3330</v>
      </c>
      <c r="N90" s="1131">
        <f>+N92+N91</f>
        <v>9390</v>
      </c>
      <c r="O90" s="1131">
        <f>+O92+O91</f>
        <v>9390</v>
      </c>
      <c r="P90" s="1130"/>
      <c r="Q90" s="1130"/>
      <c r="R90" s="1130"/>
      <c r="S90" s="1131">
        <f>+S92+S91</f>
        <v>9390</v>
      </c>
      <c r="T90" s="1131">
        <f>+T92+T91</f>
        <v>9390</v>
      </c>
      <c r="U90" s="1131">
        <f>+U92+U91</f>
        <v>9390</v>
      </c>
      <c r="V90" s="1130"/>
      <c r="W90" s="1130"/>
      <c r="X90" s="1130"/>
      <c r="Y90" s="1131">
        <f>+Y92+Y91</f>
        <v>9390</v>
      </c>
      <c r="Z90" s="1131">
        <f>+Z92+Z91</f>
        <v>11970</v>
      </c>
      <c r="AA90" s="1131">
        <f>+AA92+AA91</f>
        <v>11970</v>
      </c>
      <c r="AB90" s="1130"/>
      <c r="AC90" s="1130"/>
      <c r="AD90" s="1130"/>
      <c r="AE90" s="1131">
        <f>+AE92+AE91</f>
        <v>11970</v>
      </c>
      <c r="AF90" s="1131">
        <f>+AF92+AF91</f>
        <v>11970</v>
      </c>
      <c r="AG90" s="1131">
        <f>+AG92+AG91</f>
        <v>9400</v>
      </c>
      <c r="AH90" s="1131">
        <f>+AH92+AH91</f>
        <v>116950</v>
      </c>
      <c r="AI90" s="1131">
        <f>+AI92+AI91</f>
        <v>90000</v>
      </c>
      <c r="AJ90" s="1131"/>
      <c r="AK90" s="1131"/>
      <c r="AL90" s="1131">
        <f>+AL92+AL91</f>
        <v>26950</v>
      </c>
      <c r="AM90" s="1131"/>
      <c r="AN90" s="1131"/>
      <c r="AO90" s="1151"/>
      <c r="AP90" s="1151"/>
      <c r="AQ90" s="1182"/>
    </row>
    <row r="91" spans="1:43" ht="30">
      <c r="A91" s="437" t="s">
        <v>2339</v>
      </c>
      <c r="B91" s="1176" t="s">
        <v>2340</v>
      </c>
      <c r="C91" s="1134">
        <f>SUM(J91,K91,L91,P91,Q91,R91,V91,W91,X91,AB91,AC91,AD91)</f>
        <v>1025</v>
      </c>
      <c r="D91" s="1176" t="s">
        <v>2306</v>
      </c>
      <c r="E91" s="1176" t="s">
        <v>2341</v>
      </c>
      <c r="F91" s="1177" t="s">
        <v>2342</v>
      </c>
      <c r="G91" s="1136">
        <f t="shared" si="121"/>
        <v>1.9046171420148867</v>
      </c>
      <c r="H91" s="1136"/>
      <c r="I91" s="1136">
        <f>AH91/AH$90*100</f>
        <v>35.356990166737923</v>
      </c>
      <c r="J91" s="1178">
        <v>168</v>
      </c>
      <c r="K91" s="1178">
        <v>116</v>
      </c>
      <c r="L91" s="1178">
        <v>148</v>
      </c>
      <c r="M91" s="1138">
        <v>2585</v>
      </c>
      <c r="N91" s="1138">
        <v>2585</v>
      </c>
      <c r="O91" s="1138">
        <v>2585</v>
      </c>
      <c r="P91" s="1178">
        <v>117</v>
      </c>
      <c r="Q91" s="1178">
        <v>39</v>
      </c>
      <c r="R91" s="1178">
        <v>106</v>
      </c>
      <c r="S91" s="1138">
        <v>2585</v>
      </c>
      <c r="T91" s="1138">
        <v>2585</v>
      </c>
      <c r="U91" s="1138">
        <v>2585</v>
      </c>
      <c r="V91" s="1178">
        <v>107</v>
      </c>
      <c r="W91" s="1178">
        <v>105</v>
      </c>
      <c r="X91" s="1178">
        <v>56</v>
      </c>
      <c r="Y91" s="1138">
        <v>2585</v>
      </c>
      <c r="Z91" s="1138">
        <v>5165</v>
      </c>
      <c r="AA91" s="1138">
        <v>5165</v>
      </c>
      <c r="AB91" s="1178">
        <v>30</v>
      </c>
      <c r="AC91" s="1178">
        <v>33</v>
      </c>
      <c r="AD91" s="1178"/>
      <c r="AE91" s="1138">
        <v>5165</v>
      </c>
      <c r="AF91" s="1138">
        <v>5165</v>
      </c>
      <c r="AG91" s="1138">
        <v>2595</v>
      </c>
      <c r="AH91" s="1138">
        <f t="shared" ref="AH91:AH92" si="142">SUM(AI91,AJ91,AK91,AL91,AM91,AN91)</f>
        <v>41350</v>
      </c>
      <c r="AI91" s="78">
        <f>MROUND('[1]POA 2021 DGFCR (2)'!AI98,5)</f>
        <v>30000</v>
      </c>
      <c r="AJ91" s="1138"/>
      <c r="AK91" s="1138"/>
      <c r="AL91" s="78">
        <f>MROUND('[1]POA 2021 DGFCR (2)'!AL98,5)</f>
        <v>11350</v>
      </c>
      <c r="AM91" s="1138"/>
      <c r="AN91" s="1138"/>
      <c r="AO91" s="1140" t="s">
        <v>465</v>
      </c>
      <c r="AP91" s="1140" t="s">
        <v>2336</v>
      </c>
      <c r="AQ91" s="1140"/>
    </row>
    <row r="92" spans="1:43" ht="60">
      <c r="A92" s="437" t="s">
        <v>2343</v>
      </c>
      <c r="B92" s="1176" t="s">
        <v>2344</v>
      </c>
      <c r="C92" s="1134">
        <f t="shared" ref="C92" si="143">SUM(J92,K92,L92,P92,Q92,R92,V92,W92,X92,AB92,AC92,AD92)</f>
        <v>725</v>
      </c>
      <c r="D92" s="1177" t="s">
        <v>252</v>
      </c>
      <c r="E92" s="1177" t="s">
        <v>2345</v>
      </c>
      <c r="F92" s="1177" t="s">
        <v>2346</v>
      </c>
      <c r="G92" s="1136">
        <f t="shared" si="121"/>
        <v>3.4822020782666372</v>
      </c>
      <c r="H92" s="1136"/>
      <c r="I92" s="1136">
        <f t="shared" ref="I92" si="144">AH92/AH$90*100</f>
        <v>64.643009833262084</v>
      </c>
      <c r="J92" s="1178">
        <v>115</v>
      </c>
      <c r="K92" s="1178">
        <v>88</v>
      </c>
      <c r="L92" s="1178">
        <v>121</v>
      </c>
      <c r="M92" s="1138">
        <v>745</v>
      </c>
      <c r="N92" s="1138">
        <v>6805</v>
      </c>
      <c r="O92" s="1138">
        <v>6805</v>
      </c>
      <c r="P92" s="1178">
        <v>67</v>
      </c>
      <c r="Q92" s="1178">
        <v>19</v>
      </c>
      <c r="R92" s="1178">
        <v>42</v>
      </c>
      <c r="S92" s="1138">
        <v>6805</v>
      </c>
      <c r="T92" s="1138">
        <v>6805</v>
      </c>
      <c r="U92" s="1138">
        <v>6805</v>
      </c>
      <c r="V92" s="1178">
        <v>43</v>
      </c>
      <c r="W92" s="1178">
        <v>146</v>
      </c>
      <c r="X92" s="1178">
        <v>41</v>
      </c>
      <c r="Y92" s="1138">
        <v>6805</v>
      </c>
      <c r="Z92" s="1138">
        <v>6805</v>
      </c>
      <c r="AA92" s="1138">
        <v>6805</v>
      </c>
      <c r="AB92" s="1178">
        <v>18</v>
      </c>
      <c r="AC92" s="1178">
        <v>12</v>
      </c>
      <c r="AD92" s="1178">
        <v>13</v>
      </c>
      <c r="AE92" s="1138">
        <v>6805</v>
      </c>
      <c r="AF92" s="1138">
        <v>6805</v>
      </c>
      <c r="AG92" s="1138">
        <v>6805</v>
      </c>
      <c r="AH92" s="1138">
        <f t="shared" si="142"/>
        <v>75600</v>
      </c>
      <c r="AI92" s="78">
        <f>MROUND('[1]POA 2021 DGFCR (2)'!AI99,5)</f>
        <v>60000</v>
      </c>
      <c r="AJ92" s="1138"/>
      <c r="AK92" s="1138"/>
      <c r="AL92" s="78">
        <f>MROUND('[1]POA 2021 DGFCR (2)'!AL99,5)</f>
        <v>15600</v>
      </c>
      <c r="AM92" s="1138"/>
      <c r="AN92" s="1138"/>
      <c r="AO92" s="1140" t="s">
        <v>465</v>
      </c>
      <c r="AP92" s="1140" t="s">
        <v>2347</v>
      </c>
      <c r="AQ92" s="1140"/>
    </row>
    <row r="93" spans="1:43" ht="15">
      <c r="A93" s="1019" t="s">
        <v>2348</v>
      </c>
      <c r="B93" s="1171" t="s">
        <v>2349</v>
      </c>
      <c r="C93" s="1170"/>
      <c r="D93" s="1171"/>
      <c r="E93" s="1172"/>
      <c r="F93" s="1172"/>
      <c r="G93" s="1124">
        <f t="shared" si="121"/>
        <v>9.1407804554499226</v>
      </c>
      <c r="H93" s="1124">
        <f>G93</f>
        <v>9.1407804554499226</v>
      </c>
      <c r="I93" s="1124"/>
      <c r="J93" s="1125"/>
      <c r="K93" s="1125"/>
      <c r="L93" s="1125"/>
      <c r="M93" s="1126">
        <f>+M94+M100</f>
        <v>8500</v>
      </c>
      <c r="N93" s="1126">
        <f>+N94+N100</f>
        <v>0</v>
      </c>
      <c r="O93" s="1126">
        <f>+O94+O100</f>
        <v>5000</v>
      </c>
      <c r="P93" s="1125"/>
      <c r="Q93" s="1125"/>
      <c r="R93" s="1125"/>
      <c r="S93" s="1126">
        <f>+S94+S100</f>
        <v>0</v>
      </c>
      <c r="T93" s="1126">
        <f>+T94+T100</f>
        <v>8500</v>
      </c>
      <c r="U93" s="1126">
        <f>+U94+U100</f>
        <v>5000</v>
      </c>
      <c r="V93" s="1125"/>
      <c r="W93" s="1125"/>
      <c r="X93" s="1125"/>
      <c r="Y93" s="1126">
        <f>+Y94+Y100</f>
        <v>28200</v>
      </c>
      <c r="Z93" s="1126">
        <f>+Z94+Z100</f>
        <v>17500</v>
      </c>
      <c r="AA93" s="1126">
        <f>+AA94+AA100</f>
        <v>24100</v>
      </c>
      <c r="AB93" s="1125"/>
      <c r="AC93" s="1125"/>
      <c r="AD93" s="1125"/>
      <c r="AE93" s="1126">
        <f>+AE94+AE100</f>
        <v>59500</v>
      </c>
      <c r="AF93" s="1126">
        <f>+AF94+AF100</f>
        <v>11500</v>
      </c>
      <c r="AG93" s="1126">
        <f>+AG94+AG100</f>
        <v>30650</v>
      </c>
      <c r="AH93" s="1126">
        <f>+AH94+AH100</f>
        <v>198450</v>
      </c>
      <c r="AI93" s="1126">
        <f>+AI94+AI100</f>
        <v>150000</v>
      </c>
      <c r="AJ93" s="1126"/>
      <c r="AK93" s="1126"/>
      <c r="AL93" s="1126">
        <f>+AL94+AL100</f>
        <v>48450</v>
      </c>
      <c r="AM93" s="1126"/>
      <c r="AN93" s="1126"/>
      <c r="AO93" s="1149"/>
      <c r="AP93" s="1149"/>
      <c r="AQ93" s="1149"/>
    </row>
    <row r="94" spans="1:43" ht="90">
      <c r="A94" s="428" t="s">
        <v>2350</v>
      </c>
      <c r="B94" s="1173" t="s">
        <v>2351</v>
      </c>
      <c r="C94" s="1174"/>
      <c r="D94" s="1173"/>
      <c r="E94" s="1175"/>
      <c r="F94" s="1175"/>
      <c r="G94" s="1129">
        <f t="shared" si="121"/>
        <v>6.8377367528926234</v>
      </c>
      <c r="H94" s="1129"/>
      <c r="I94" s="1129"/>
      <c r="J94" s="1130"/>
      <c r="K94" s="1130"/>
      <c r="L94" s="1130"/>
      <c r="M94" s="1131">
        <f>SUM(M95,M96,M97,M98,M99)</f>
        <v>8500</v>
      </c>
      <c r="N94" s="1131">
        <f>SUM(N95,N96,N97,N98,N99)</f>
        <v>0</v>
      </c>
      <c r="O94" s="1131">
        <f>SUM(O95,O96,O97,O98,O99)</f>
        <v>5000</v>
      </c>
      <c r="P94" s="1130"/>
      <c r="Q94" s="1130"/>
      <c r="R94" s="1130"/>
      <c r="S94" s="1131">
        <f>SUM(S95,S96,S97,S98,S99)</f>
        <v>0</v>
      </c>
      <c r="T94" s="1131">
        <f>SUM(T95,T96,T97,T98,T99)</f>
        <v>8500</v>
      </c>
      <c r="U94" s="1131">
        <f>SUM(U95,U96,U97,U98,U99)</f>
        <v>5000</v>
      </c>
      <c r="V94" s="1130"/>
      <c r="W94" s="1130"/>
      <c r="X94" s="1130"/>
      <c r="Y94" s="1131">
        <f>SUM(Y95,Y96,Y97,Y98,Y99)</f>
        <v>28200</v>
      </c>
      <c r="Z94" s="1131">
        <f>SUM(Z95,Z96,Z97,Z98,Z99)</f>
        <v>17500</v>
      </c>
      <c r="AA94" s="1131">
        <f>SUM(AA95,AA96,AA97,AA98,AA99)</f>
        <v>11600</v>
      </c>
      <c r="AB94" s="1130"/>
      <c r="AC94" s="1130"/>
      <c r="AD94" s="1130"/>
      <c r="AE94" s="1131">
        <f>SUM(AE95,AE96,AE97,AE98,AE99)</f>
        <v>34500</v>
      </c>
      <c r="AF94" s="1131">
        <f>SUM(AF95,AF96,AF97,AF98,AF99)</f>
        <v>11500</v>
      </c>
      <c r="AG94" s="1131">
        <f>SUM(AG95,AG96,AG97,AG98,AG99)</f>
        <v>18150</v>
      </c>
      <c r="AH94" s="1131">
        <f>SUM(AH95,AH96,AH97,AH98,AH99)</f>
        <v>148450</v>
      </c>
      <c r="AI94" s="1131">
        <f>SUM(AI95,AI96,AI97,AI98,AI99)</f>
        <v>100000</v>
      </c>
      <c r="AJ94" s="1131"/>
      <c r="AK94" s="1131"/>
      <c r="AL94" s="1131">
        <f>SUM(AL95,AL96,AL97,AL98,AL99)</f>
        <v>48450</v>
      </c>
      <c r="AM94" s="1131"/>
      <c r="AN94" s="1131"/>
      <c r="AO94" s="1151"/>
      <c r="AP94" s="1151"/>
      <c r="AQ94" s="1151"/>
    </row>
    <row r="95" spans="1:43" ht="15">
      <c r="A95" s="2123" t="s">
        <v>2352</v>
      </c>
      <c r="B95" s="2125" t="s">
        <v>2353</v>
      </c>
      <c r="C95" s="1134">
        <f t="shared" ref="C95:C98" si="145">SUM(J95,K95,L95,P95,Q95,R95,V95,W95,X95,AB95,AC95,AD95)</f>
        <v>165</v>
      </c>
      <c r="D95" s="1176" t="s">
        <v>419</v>
      </c>
      <c r="E95" s="2125" t="s">
        <v>2354</v>
      </c>
      <c r="F95" s="2127" t="s">
        <v>2355</v>
      </c>
      <c r="G95" s="1136">
        <f t="shared" si="121"/>
        <v>2.273104134424055</v>
      </c>
      <c r="H95" s="1136"/>
      <c r="I95" s="1136">
        <f>AH95/AH$94*100</f>
        <v>33.243516335466488</v>
      </c>
      <c r="J95" s="1137"/>
      <c r="K95" s="1137"/>
      <c r="L95" s="1137"/>
      <c r="M95" s="1138"/>
      <c r="N95" s="1138"/>
      <c r="O95" s="1138"/>
      <c r="P95" s="1137"/>
      <c r="Q95" s="1137"/>
      <c r="R95" s="1137"/>
      <c r="S95" s="1138"/>
      <c r="T95" s="1138"/>
      <c r="U95" s="1138"/>
      <c r="V95" s="1137">
        <v>61</v>
      </c>
      <c r="W95" s="1137">
        <v>18</v>
      </c>
      <c r="X95" s="1137">
        <v>50</v>
      </c>
      <c r="Y95" s="1138">
        <f>4000+5100</f>
        <v>9100</v>
      </c>
      <c r="Z95" s="1138">
        <f>4000+10000</f>
        <v>14000</v>
      </c>
      <c r="AA95" s="1138">
        <f>4000+4100</f>
        <v>8100</v>
      </c>
      <c r="AB95" s="1137">
        <v>12</v>
      </c>
      <c r="AC95" s="1137">
        <v>12</v>
      </c>
      <c r="AD95" s="1137">
        <v>12</v>
      </c>
      <c r="AE95" s="1138">
        <v>4000</v>
      </c>
      <c r="AF95" s="1138">
        <v>10000</v>
      </c>
      <c r="AG95" s="1138">
        <v>4150</v>
      </c>
      <c r="AH95" s="1138">
        <f t="shared" ref="AH95:AH99" si="146">SUM(AI95,AJ95,AK95,AL95,AM95,AN95)</f>
        <v>49350</v>
      </c>
      <c r="AI95" s="78">
        <f>MROUND('[1]POA 2021 DGFCR (2)'!AI102,5)</f>
        <v>20000</v>
      </c>
      <c r="AJ95" s="1138"/>
      <c r="AK95" s="1138"/>
      <c r="AL95" s="78">
        <f>MROUND('[1]POA 2021 DGFCR (2)'!AL102,5)</f>
        <v>29350</v>
      </c>
      <c r="AM95" s="1138"/>
      <c r="AN95" s="1138"/>
      <c r="AO95" s="1179" t="s">
        <v>465</v>
      </c>
      <c r="AP95" s="1140" t="s">
        <v>2258</v>
      </c>
      <c r="AQ95" s="1140"/>
    </row>
    <row r="96" spans="1:43" ht="15">
      <c r="A96" s="2124"/>
      <c r="B96" s="2125"/>
      <c r="C96" s="1134">
        <f t="shared" si="145"/>
        <v>42</v>
      </c>
      <c r="D96" s="1176" t="s">
        <v>424</v>
      </c>
      <c r="E96" s="2126"/>
      <c r="F96" s="2128"/>
      <c r="G96" s="1136">
        <f t="shared" si="121"/>
        <v>0.73697398481833587</v>
      </c>
      <c r="H96" s="1136"/>
      <c r="I96" s="1136">
        <f t="shared" ref="I96:I99" si="147">AH96/AH$94*100</f>
        <v>10.778039744021555</v>
      </c>
      <c r="J96" s="1137"/>
      <c r="K96" s="1137"/>
      <c r="L96" s="1137"/>
      <c r="M96" s="1138"/>
      <c r="N96" s="1138"/>
      <c r="O96" s="1138"/>
      <c r="P96" s="1137"/>
      <c r="Q96" s="1137"/>
      <c r="R96" s="1137"/>
      <c r="S96" s="1138"/>
      <c r="T96" s="1138"/>
      <c r="U96" s="1138"/>
      <c r="V96" s="1137">
        <v>23</v>
      </c>
      <c r="W96" s="1137">
        <v>4</v>
      </c>
      <c r="X96" s="1137">
        <v>6</v>
      </c>
      <c r="Y96" s="1138">
        <v>3500</v>
      </c>
      <c r="Z96" s="1138">
        <v>3500</v>
      </c>
      <c r="AA96" s="1138">
        <v>3500</v>
      </c>
      <c r="AB96" s="1137">
        <v>3</v>
      </c>
      <c r="AC96" s="1137">
        <v>3</v>
      </c>
      <c r="AD96" s="1137">
        <v>3</v>
      </c>
      <c r="AE96" s="1138">
        <v>2000</v>
      </c>
      <c r="AF96" s="1138">
        <v>1500</v>
      </c>
      <c r="AG96" s="1138">
        <v>2000</v>
      </c>
      <c r="AH96" s="1138">
        <f t="shared" si="146"/>
        <v>16000</v>
      </c>
      <c r="AI96" s="78">
        <f>MROUND('[1]POA 2021 DGFCR (2)'!AI103,5)</f>
        <v>16000</v>
      </c>
      <c r="AJ96" s="1138"/>
      <c r="AK96" s="1138"/>
      <c r="AL96" s="1138"/>
      <c r="AM96" s="1138"/>
      <c r="AN96" s="1138"/>
      <c r="AO96" s="1179" t="s">
        <v>465</v>
      </c>
      <c r="AP96" s="1140" t="s">
        <v>2258</v>
      </c>
      <c r="AQ96" s="1140"/>
    </row>
    <row r="97" spans="1:43" ht="45">
      <c r="A97" s="437" t="s">
        <v>2356</v>
      </c>
      <c r="B97" s="1176" t="s">
        <v>2357</v>
      </c>
      <c r="C97" s="1134">
        <f t="shared" si="145"/>
        <v>4</v>
      </c>
      <c r="D97" s="1177" t="s">
        <v>1021</v>
      </c>
      <c r="E97" s="1176" t="s">
        <v>2358</v>
      </c>
      <c r="F97" s="1177" t="s">
        <v>2359</v>
      </c>
      <c r="G97" s="1136">
        <f t="shared" si="121"/>
        <v>1.5937062421696513</v>
      </c>
      <c r="H97" s="1136"/>
      <c r="I97" s="1136">
        <f t="shared" si="147"/>
        <v>23.307510946446616</v>
      </c>
      <c r="J97" s="1137">
        <v>1</v>
      </c>
      <c r="K97" s="1137"/>
      <c r="L97" s="1137"/>
      <c r="M97" s="1138">
        <v>8500</v>
      </c>
      <c r="N97" s="1138"/>
      <c r="O97" s="1138"/>
      <c r="P97" s="1137"/>
      <c r="Q97" s="1137">
        <v>1</v>
      </c>
      <c r="R97" s="1137"/>
      <c r="S97" s="1138"/>
      <c r="T97" s="1138">
        <v>8500</v>
      </c>
      <c r="U97" s="1138"/>
      <c r="V97" s="1137">
        <v>1</v>
      </c>
      <c r="W97" s="1137"/>
      <c r="X97" s="1137"/>
      <c r="Y97" s="1138">
        <v>9100</v>
      </c>
      <c r="Z97" s="1138"/>
      <c r="AA97" s="1138"/>
      <c r="AB97" s="1137">
        <v>1</v>
      </c>
      <c r="AC97" s="1137"/>
      <c r="AD97" s="1137"/>
      <c r="AE97" s="1138">
        <v>8500</v>
      </c>
      <c r="AF97" s="1138"/>
      <c r="AG97" s="1138"/>
      <c r="AH97" s="1138">
        <f t="shared" si="146"/>
        <v>34600</v>
      </c>
      <c r="AI97" s="78">
        <f>MROUND('[1]POA 2021 DGFCR (2)'!AI104,5)</f>
        <v>22500</v>
      </c>
      <c r="AJ97" s="1138"/>
      <c r="AK97" s="1138"/>
      <c r="AL97" s="78">
        <f>MROUND('[1]POA 2021 DGFCR (2)'!AL104,5)</f>
        <v>12100</v>
      </c>
      <c r="AM97" s="1138"/>
      <c r="AN97" s="1138"/>
      <c r="AO97" s="1179" t="s">
        <v>465</v>
      </c>
      <c r="AP97" s="1140" t="s">
        <v>2258</v>
      </c>
      <c r="AQ97" s="1140"/>
    </row>
    <row r="98" spans="1:43" ht="30">
      <c r="A98" s="437" t="s">
        <v>2360</v>
      </c>
      <c r="B98" s="1176" t="s">
        <v>2361</v>
      </c>
      <c r="C98" s="1134">
        <f t="shared" si="145"/>
        <v>1</v>
      </c>
      <c r="D98" s="1177" t="s">
        <v>1021</v>
      </c>
      <c r="E98" s="1176" t="s">
        <v>2362</v>
      </c>
      <c r="F98" s="1177" t="s">
        <v>2359</v>
      </c>
      <c r="G98" s="1136">
        <f t="shared" si="121"/>
        <v>0.92121748102292</v>
      </c>
      <c r="H98" s="1136"/>
      <c r="I98" s="1136">
        <f t="shared" si="147"/>
        <v>13.472549680026946</v>
      </c>
      <c r="J98" s="1137"/>
      <c r="K98" s="1137"/>
      <c r="L98" s="1137"/>
      <c r="M98" s="1138"/>
      <c r="N98" s="1138"/>
      <c r="O98" s="1138"/>
      <c r="P98" s="1137"/>
      <c r="Q98" s="1137"/>
      <c r="R98" s="1137"/>
      <c r="S98" s="1138"/>
      <c r="T98" s="1138"/>
      <c r="U98" s="1138"/>
      <c r="V98" s="1137"/>
      <c r="W98" s="1137"/>
      <c r="X98" s="1137"/>
      <c r="Y98" s="1138"/>
      <c r="Z98" s="1138"/>
      <c r="AA98" s="1138"/>
      <c r="AB98" s="1137"/>
      <c r="AC98" s="1137"/>
      <c r="AD98" s="1137">
        <v>1</v>
      </c>
      <c r="AE98" s="1138">
        <v>20000</v>
      </c>
      <c r="AF98" s="1138"/>
      <c r="AG98" s="1138"/>
      <c r="AH98" s="1138">
        <f t="shared" si="146"/>
        <v>20000</v>
      </c>
      <c r="AI98" s="78">
        <f>MROUND('[1]POA 2021 DGFCR (2)'!AI105,5)</f>
        <v>20000</v>
      </c>
      <c r="AJ98" s="1138"/>
      <c r="AK98" s="1138"/>
      <c r="AL98" s="1138"/>
      <c r="AM98" s="1138"/>
      <c r="AN98" s="1138"/>
      <c r="AO98" s="1179" t="s">
        <v>465</v>
      </c>
      <c r="AP98" s="1140" t="s">
        <v>2258</v>
      </c>
      <c r="AQ98" s="1140"/>
    </row>
    <row r="99" spans="1:43" ht="90">
      <c r="A99" s="437" t="s">
        <v>2363</v>
      </c>
      <c r="B99" s="1176" t="s">
        <v>2364</v>
      </c>
      <c r="C99" s="1134">
        <f>+J99+K99+L99+P99+Q99+R99+S99+T99+V99+W99+X99+AB99+AC99+AD99</f>
        <v>17</v>
      </c>
      <c r="D99" s="1176" t="s">
        <v>252</v>
      </c>
      <c r="E99" s="1179" t="s">
        <v>2365</v>
      </c>
      <c r="F99" s="1177" t="s">
        <v>2366</v>
      </c>
      <c r="G99" s="1136">
        <f t="shared" si="121"/>
        <v>1.3127349104576607</v>
      </c>
      <c r="H99" s="1136"/>
      <c r="I99" s="1136">
        <f t="shared" si="147"/>
        <v>19.198383294038397</v>
      </c>
      <c r="J99" s="1137"/>
      <c r="K99" s="1137"/>
      <c r="L99" s="1178">
        <v>4</v>
      </c>
      <c r="M99" s="1183"/>
      <c r="N99" s="1183"/>
      <c r="O99" s="1183">
        <v>5000</v>
      </c>
      <c r="P99" s="1178"/>
      <c r="Q99" s="1178"/>
      <c r="R99" s="1178">
        <v>5</v>
      </c>
      <c r="S99" s="1183"/>
      <c r="T99" s="1183"/>
      <c r="U99" s="1183">
        <v>5000</v>
      </c>
      <c r="V99" s="1178"/>
      <c r="W99" s="1178">
        <v>2</v>
      </c>
      <c r="X99" s="1178">
        <v>5</v>
      </c>
      <c r="Y99" s="1183">
        <v>6500</v>
      </c>
      <c r="Z99" s="1183"/>
      <c r="AA99" s="1183"/>
      <c r="AB99" s="1178"/>
      <c r="AC99" s="1178"/>
      <c r="AD99" s="1178">
        <v>1</v>
      </c>
      <c r="AE99" s="1138"/>
      <c r="AF99" s="1138"/>
      <c r="AG99" s="1183">
        <f>5000+7000</f>
        <v>12000</v>
      </c>
      <c r="AH99" s="1138">
        <f t="shared" si="146"/>
        <v>28500</v>
      </c>
      <c r="AI99" s="78">
        <f>MROUND('[1]POA 2021 DGFCR (2)'!AI106,5)</f>
        <v>21500</v>
      </c>
      <c r="AJ99" s="1138"/>
      <c r="AK99" s="1138"/>
      <c r="AL99" s="78">
        <f>MROUND('[1]POA 2021 DGFCR (2)'!AL106,5)</f>
        <v>7000</v>
      </c>
      <c r="AM99" s="1138"/>
      <c r="AN99" s="1138"/>
      <c r="AO99" s="1179" t="s">
        <v>465</v>
      </c>
      <c r="AP99" s="1140" t="s">
        <v>2258</v>
      </c>
      <c r="AQ99" s="1179" t="s">
        <v>2367</v>
      </c>
    </row>
    <row r="100" spans="1:43" ht="45">
      <c r="A100" s="428" t="s">
        <v>2368</v>
      </c>
      <c r="B100" s="1173" t="s">
        <v>2369</v>
      </c>
      <c r="C100" s="1174"/>
      <c r="D100" s="1173"/>
      <c r="E100" s="1173"/>
      <c r="F100" s="1184"/>
      <c r="G100" s="1129">
        <f t="shared" si="121"/>
        <v>2.3030437025572996</v>
      </c>
      <c r="H100" s="1129"/>
      <c r="I100" s="1129"/>
      <c r="J100" s="1130"/>
      <c r="K100" s="1130"/>
      <c r="L100" s="1130"/>
      <c r="M100" s="1131">
        <f>+M101+M102</f>
        <v>0</v>
      </c>
      <c r="N100" s="1131">
        <f>+N101+N102</f>
        <v>0</v>
      </c>
      <c r="O100" s="1131">
        <f>+O101+O102</f>
        <v>0</v>
      </c>
      <c r="P100" s="1130"/>
      <c r="Q100" s="1130"/>
      <c r="R100" s="1130"/>
      <c r="S100" s="1131">
        <f>+S101+S102</f>
        <v>0</v>
      </c>
      <c r="T100" s="1131">
        <f>+T101+T102</f>
        <v>0</v>
      </c>
      <c r="U100" s="1131">
        <f>+U101+U102</f>
        <v>0</v>
      </c>
      <c r="V100" s="1130"/>
      <c r="W100" s="1130"/>
      <c r="X100" s="1130"/>
      <c r="Y100" s="1131">
        <f>+Y101+Y102</f>
        <v>0</v>
      </c>
      <c r="Z100" s="1131">
        <f>+Z101+Z102</f>
        <v>0</v>
      </c>
      <c r="AA100" s="1131">
        <f>+AA101+AA102</f>
        <v>12500</v>
      </c>
      <c r="AB100" s="1130"/>
      <c r="AC100" s="1130"/>
      <c r="AD100" s="1130"/>
      <c r="AE100" s="1131">
        <f>+AE101+AE102</f>
        <v>25000</v>
      </c>
      <c r="AF100" s="1131">
        <f>+AF101+AF102</f>
        <v>0</v>
      </c>
      <c r="AG100" s="1131">
        <f>+AG101+AG102</f>
        <v>12500</v>
      </c>
      <c r="AH100" s="1131">
        <f>+AH101+AH102</f>
        <v>50000</v>
      </c>
      <c r="AI100" s="1131">
        <f>+AI101+AI102</f>
        <v>50000</v>
      </c>
      <c r="AJ100" s="1131"/>
      <c r="AK100" s="1131"/>
      <c r="AL100" s="1131">
        <f>+AL101+AL102</f>
        <v>0</v>
      </c>
      <c r="AM100" s="1131"/>
      <c r="AN100" s="1131"/>
      <c r="AO100" s="1151"/>
      <c r="AP100" s="1151"/>
      <c r="AQ100" s="1151"/>
    </row>
    <row r="101" spans="1:43" ht="60">
      <c r="A101" s="437" t="s">
        <v>2370</v>
      </c>
      <c r="B101" s="1176" t="s">
        <v>2371</v>
      </c>
      <c r="C101" s="1134">
        <f t="shared" ref="C101:C102" si="148">SUM(J101,K101,L101,P101,Q101,R101,V101,W101,X101,AB101,AC101,AD101)</f>
        <v>2</v>
      </c>
      <c r="D101" s="1176" t="s">
        <v>57</v>
      </c>
      <c r="E101" s="1179" t="s">
        <v>2372</v>
      </c>
      <c r="F101" s="1177" t="s">
        <v>2373</v>
      </c>
      <c r="G101" s="1136">
        <f t="shared" si="121"/>
        <v>1.1515218512786498</v>
      </c>
      <c r="H101" s="1136"/>
      <c r="I101" s="1136">
        <f>AH101/AH$100*100</f>
        <v>50</v>
      </c>
      <c r="J101" s="1137"/>
      <c r="K101" s="1137"/>
      <c r="L101" s="1137"/>
      <c r="M101" s="1138"/>
      <c r="N101" s="1138"/>
      <c r="O101" s="1138"/>
      <c r="P101" s="1137"/>
      <c r="Q101" s="1137"/>
      <c r="R101" s="1137"/>
      <c r="S101" s="1138"/>
      <c r="T101" s="1138"/>
      <c r="U101" s="1138"/>
      <c r="V101" s="1137"/>
      <c r="W101" s="1137"/>
      <c r="X101" s="1137">
        <v>1</v>
      </c>
      <c r="Y101" s="1138"/>
      <c r="Z101" s="1138"/>
      <c r="AA101" s="1138">
        <v>12500</v>
      </c>
      <c r="AB101" s="1137"/>
      <c r="AC101" s="1137"/>
      <c r="AD101" s="1137">
        <v>1</v>
      </c>
      <c r="AE101" s="1138"/>
      <c r="AF101" s="1138"/>
      <c r="AG101" s="1138">
        <v>12500</v>
      </c>
      <c r="AH101" s="1138">
        <f t="shared" ref="AH101:AH102" si="149">SUM(AI101,AJ101,AK101,AL101,AM101,AN101)</f>
        <v>25000</v>
      </c>
      <c r="AI101" s="78">
        <f>MROUND('[1]POA 2021 DGFCR (2)'!AI108,5)</f>
        <v>25000</v>
      </c>
      <c r="AJ101" s="1138"/>
      <c r="AK101" s="1138"/>
      <c r="AL101" s="1138"/>
      <c r="AM101" s="1138"/>
      <c r="AN101" s="1138"/>
      <c r="AO101" s="1179" t="s">
        <v>465</v>
      </c>
      <c r="AP101" s="1179" t="s">
        <v>2374</v>
      </c>
      <c r="AQ101" s="1179" t="s">
        <v>2375</v>
      </c>
    </row>
    <row r="102" spans="1:43" ht="105">
      <c r="A102" s="437" t="s">
        <v>2376</v>
      </c>
      <c r="B102" s="1176" t="s">
        <v>2377</v>
      </c>
      <c r="C102" s="1134">
        <f t="shared" si="148"/>
        <v>1</v>
      </c>
      <c r="D102" s="1176" t="s">
        <v>57</v>
      </c>
      <c r="E102" s="1179" t="s">
        <v>2378</v>
      </c>
      <c r="F102" s="1177" t="s">
        <v>2379</v>
      </c>
      <c r="G102" s="1136">
        <f t="shared" si="121"/>
        <v>1.1515218512786498</v>
      </c>
      <c r="H102" s="1136"/>
      <c r="I102" s="1136">
        <f>AH102/AH$100*100</f>
        <v>50</v>
      </c>
      <c r="J102" s="1137"/>
      <c r="K102" s="1137"/>
      <c r="L102" s="1137"/>
      <c r="M102" s="1138"/>
      <c r="N102" s="1138"/>
      <c r="O102" s="1138"/>
      <c r="P102" s="1137"/>
      <c r="Q102" s="1137"/>
      <c r="R102" s="1137"/>
      <c r="S102" s="1138"/>
      <c r="T102" s="1138"/>
      <c r="U102" s="1138"/>
      <c r="V102" s="1137"/>
      <c r="W102" s="1137"/>
      <c r="X102" s="1137"/>
      <c r="Y102" s="1138"/>
      <c r="Z102" s="1138"/>
      <c r="AA102" s="1138"/>
      <c r="AB102" s="1137">
        <v>1</v>
      </c>
      <c r="AC102" s="1137"/>
      <c r="AD102" s="1137"/>
      <c r="AE102" s="1138">
        <v>25000</v>
      </c>
      <c r="AF102" s="1138"/>
      <c r="AG102" s="1138"/>
      <c r="AH102" s="1138">
        <f t="shared" si="149"/>
        <v>25000</v>
      </c>
      <c r="AI102" s="78">
        <f>MROUND('[1]POA 2021 DGFCR (2)'!AI109,5)</f>
        <v>25000</v>
      </c>
      <c r="AJ102" s="1138"/>
      <c r="AK102" s="1138"/>
      <c r="AL102" s="1138"/>
      <c r="AM102" s="1138"/>
      <c r="AN102" s="1138"/>
      <c r="AO102" s="1179" t="s">
        <v>465</v>
      </c>
      <c r="AP102" s="1179" t="s">
        <v>2374</v>
      </c>
      <c r="AQ102" s="1179" t="s">
        <v>2380</v>
      </c>
    </row>
    <row r="103" spans="1:43" ht="15">
      <c r="A103" s="1185"/>
      <c r="B103" s="1169"/>
      <c r="C103" s="1186"/>
      <c r="D103" s="1169"/>
      <c r="E103" s="1187" t="s">
        <v>1728</v>
      </c>
      <c r="F103" s="1188"/>
      <c r="G103" s="1124"/>
      <c r="H103" s="1124">
        <f>SUM(H10:H102)</f>
        <v>100.00000000000001</v>
      </c>
      <c r="I103" s="1124"/>
      <c r="J103" s="1125"/>
      <c r="K103" s="1125"/>
      <c r="L103" s="1125"/>
      <c r="M103" s="1126">
        <f>SUM(M77,M63,M58,M47,M10)</f>
        <v>20760</v>
      </c>
      <c r="N103" s="1126">
        <f t="shared" ref="N103:O103" si="150">SUM(N77,N63,N58,N47,N10)</f>
        <v>42672.272727272728</v>
      </c>
      <c r="O103" s="1126">
        <f t="shared" si="150"/>
        <v>125476.81818181818</v>
      </c>
      <c r="P103" s="1125"/>
      <c r="Q103" s="1125"/>
      <c r="R103" s="1125"/>
      <c r="S103" s="1126">
        <f t="shared" ref="S103:U103" si="151">SUM(S77,S63,S58,S47,S10)</f>
        <v>188636.36363636365</v>
      </c>
      <c r="T103" s="1126">
        <f t="shared" si="151"/>
        <v>157301.81818181818</v>
      </c>
      <c r="U103" s="1126">
        <f t="shared" si="151"/>
        <v>473542.27272727271</v>
      </c>
      <c r="V103" s="1125"/>
      <c r="W103" s="1125"/>
      <c r="X103" s="1125"/>
      <c r="Y103" s="1126">
        <f t="shared" ref="Y103:AA103" si="152">SUM(Y77,Y63,Y58,Y47,Y10)</f>
        <v>136145</v>
      </c>
      <c r="Z103" s="1126">
        <f t="shared" si="152"/>
        <v>136646.36363636365</v>
      </c>
      <c r="AA103" s="1126">
        <f t="shared" si="152"/>
        <v>299649.09090909094</v>
      </c>
      <c r="AB103" s="1125"/>
      <c r="AC103" s="1125"/>
      <c r="AD103" s="1125"/>
      <c r="AE103" s="1126">
        <f t="shared" ref="AE103:AI103" si="153">SUM(AE77,AE63,AE58,AE47,AE10)</f>
        <v>197580</v>
      </c>
      <c r="AF103" s="1126">
        <f t="shared" si="153"/>
        <v>206455</v>
      </c>
      <c r="AG103" s="1126">
        <f t="shared" si="153"/>
        <v>186175</v>
      </c>
      <c r="AH103" s="1126">
        <f t="shared" si="153"/>
        <v>2171040</v>
      </c>
      <c r="AI103" s="1126">
        <f t="shared" si="153"/>
        <v>1713810</v>
      </c>
      <c r="AJ103" s="1126"/>
      <c r="AK103" s="1126">
        <f t="shared" ref="AK103:AL103" si="154">SUM(AK77,AK63,AK58,AK47,AK10)</f>
        <v>360435</v>
      </c>
      <c r="AL103" s="1126">
        <f t="shared" si="154"/>
        <v>96795</v>
      </c>
      <c r="AM103" s="1126"/>
      <c r="AN103" s="1126"/>
      <c r="AO103" s="1149"/>
      <c r="AP103" s="1149"/>
      <c r="AQ103" s="1149"/>
    </row>
  </sheetData>
  <sheetProtection algorithmName="SHA-512" hashValue="Po904EreoFwtZjtlBBBGCXg3AV0D9vxVtI9PVZGHYsIIF5zEkbhY1x4UddT734sEDlzKKfYSaZe7QMJhznGoSQ==" saltValue="Y/mIzVxeX29S6hrQ6Al8ZA==" spinCount="100000" sheet="1" objects="1" scenarios="1"/>
  <mergeCells count="39">
    <mergeCell ref="A95:A96"/>
    <mergeCell ref="B95:B96"/>
    <mergeCell ref="E95:E96"/>
    <mergeCell ref="F95:F96"/>
    <mergeCell ref="AN7:AN9"/>
    <mergeCell ref="J8:L8"/>
    <mergeCell ref="M8:O8"/>
    <mergeCell ref="P8:R8"/>
    <mergeCell ref="S8:U8"/>
    <mergeCell ref="V8:X8"/>
    <mergeCell ref="Y8:AA8"/>
    <mergeCell ref="AB8:AD8"/>
    <mergeCell ref="AE8:AG8"/>
    <mergeCell ref="AH7:AH9"/>
    <mergeCell ref="AI7:AI9"/>
    <mergeCell ref="AJ7:AJ9"/>
    <mergeCell ref="AB7:AG7"/>
    <mergeCell ref="AK7:AK9"/>
    <mergeCell ref="AL7:AL9"/>
    <mergeCell ref="AM7:AM9"/>
    <mergeCell ref="I6:I9"/>
    <mergeCell ref="J6:AH6"/>
    <mergeCell ref="AI6:AN6"/>
    <mergeCell ref="A1:AQ1"/>
    <mergeCell ref="A2:AQ2"/>
    <mergeCell ref="A6:A9"/>
    <mergeCell ref="B6:B9"/>
    <mergeCell ref="C6:C9"/>
    <mergeCell ref="D6:D9"/>
    <mergeCell ref="E6:E9"/>
    <mergeCell ref="F6:F9"/>
    <mergeCell ref="G6:G9"/>
    <mergeCell ref="H6:H9"/>
    <mergeCell ref="AO6:AO9"/>
    <mergeCell ref="AP6:AP9"/>
    <mergeCell ref="AQ6:AQ9"/>
    <mergeCell ref="J7:O7"/>
    <mergeCell ref="P7:U7"/>
    <mergeCell ref="V7:AA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89"/>
  <sheetViews>
    <sheetView workbookViewId="0">
      <selection activeCell="D3" sqref="D3"/>
    </sheetView>
  </sheetViews>
  <sheetFormatPr baseColWidth="10" defaultRowHeight="14.4"/>
  <cols>
    <col min="1" max="1" width="20.5546875" customWidth="1"/>
    <col min="2" max="2" width="48.44140625" customWidth="1"/>
    <col min="3" max="3" width="10" bestFit="1" customWidth="1"/>
    <col min="4" max="4" width="18" customWidth="1"/>
    <col min="5" max="5" width="52.44140625" customWidth="1"/>
    <col min="6" max="6" width="39.6640625" customWidth="1"/>
    <col min="7" max="7" width="10.109375" customWidth="1"/>
    <col min="8" max="8" width="11.33203125" customWidth="1"/>
    <col min="9" max="9" width="9.44140625" customWidth="1"/>
    <col min="10" max="12" width="8.6640625" bestFit="1" customWidth="1"/>
    <col min="13" max="13" width="13.109375" bestFit="1" customWidth="1"/>
    <col min="14" max="14" width="12.6640625" bestFit="1" customWidth="1"/>
    <col min="15" max="15" width="13.109375" bestFit="1" customWidth="1"/>
    <col min="16" max="18" width="8.6640625" bestFit="1" customWidth="1"/>
    <col min="19" max="19" width="13.109375" bestFit="1" customWidth="1"/>
    <col min="20" max="20" width="12.6640625" bestFit="1" customWidth="1"/>
    <col min="21" max="21" width="13.109375" bestFit="1" customWidth="1"/>
    <col min="22" max="24" width="8.6640625" bestFit="1" customWidth="1"/>
    <col min="25" max="27" width="13.109375" bestFit="1" customWidth="1"/>
    <col min="28" max="29" width="8.6640625" bestFit="1" customWidth="1"/>
    <col min="30" max="30" width="8.33203125" bestFit="1" customWidth="1"/>
    <col min="31" max="33" width="13.109375" bestFit="1" customWidth="1"/>
    <col min="34" max="35" width="15" bestFit="1" customWidth="1"/>
    <col min="36" max="36" width="8.33203125" customWidth="1"/>
    <col min="37" max="37" width="12.6640625" bestFit="1" customWidth="1"/>
    <col min="38" max="38" width="15" bestFit="1" customWidth="1"/>
    <col min="39" max="39" width="11.44140625" customWidth="1"/>
    <col min="40" max="40" width="7.33203125" customWidth="1"/>
    <col min="41" max="41" width="14.44140625" customWidth="1"/>
    <col min="42" max="42" width="34.44140625" customWidth="1"/>
    <col min="43" max="43" width="33.44140625" customWidth="1"/>
  </cols>
  <sheetData>
    <row r="1" spans="1:43" ht="17.399999999999999">
      <c r="A1" s="2129" t="s">
        <v>393</v>
      </c>
      <c r="B1" s="2129"/>
      <c r="C1" s="2129"/>
      <c r="D1" s="2129"/>
      <c r="E1" s="2129"/>
      <c r="F1" s="2129"/>
      <c r="G1" s="2129"/>
      <c r="H1" s="2129"/>
      <c r="I1" s="2129"/>
      <c r="J1" s="2129"/>
      <c r="K1" s="2129"/>
      <c r="L1" s="2129"/>
      <c r="M1" s="2129"/>
      <c r="N1" s="2129"/>
      <c r="O1" s="2129"/>
      <c r="P1" s="2129"/>
      <c r="Q1" s="2129"/>
      <c r="R1" s="2129"/>
      <c r="S1" s="2129"/>
      <c r="T1" s="2129"/>
      <c r="U1" s="2129"/>
      <c r="V1" s="2129"/>
      <c r="W1" s="2129"/>
      <c r="X1" s="2129"/>
      <c r="Y1" s="2129"/>
      <c r="Z1" s="2129"/>
      <c r="AA1" s="2129"/>
      <c r="AB1" s="2129"/>
      <c r="AC1" s="2129"/>
      <c r="AD1" s="2129"/>
      <c r="AE1" s="2129"/>
      <c r="AF1" s="2129"/>
      <c r="AG1" s="2129"/>
      <c r="AH1" s="2129"/>
      <c r="AI1" s="2129"/>
      <c r="AJ1" s="2129"/>
      <c r="AK1" s="2129"/>
      <c r="AL1" s="2129"/>
      <c r="AM1" s="2129"/>
      <c r="AN1" s="2129"/>
      <c r="AO1" s="2129"/>
      <c r="AP1" s="2129"/>
      <c r="AQ1" s="2129"/>
    </row>
    <row r="2" spans="1:43" ht="17.399999999999999">
      <c r="A2" s="2129" t="s">
        <v>2381</v>
      </c>
      <c r="B2" s="2129"/>
      <c r="C2" s="2129"/>
      <c r="D2" s="2129"/>
      <c r="E2" s="2129"/>
      <c r="F2" s="2129"/>
      <c r="G2" s="2129"/>
      <c r="H2" s="2129"/>
      <c r="I2" s="2129"/>
      <c r="J2" s="2129"/>
      <c r="K2" s="2129"/>
      <c r="L2" s="2129"/>
      <c r="M2" s="2129"/>
      <c r="N2" s="2129"/>
      <c r="O2" s="2129"/>
      <c r="P2" s="2129"/>
      <c r="Q2" s="2129"/>
      <c r="R2" s="2129"/>
      <c r="S2" s="2129"/>
      <c r="T2" s="2129"/>
      <c r="U2" s="2129"/>
      <c r="V2" s="2129"/>
      <c r="W2" s="2129"/>
      <c r="X2" s="2129"/>
      <c r="Y2" s="2129"/>
      <c r="Z2" s="2129"/>
      <c r="AA2" s="2129"/>
      <c r="AB2" s="2129"/>
      <c r="AC2" s="2129"/>
      <c r="AD2" s="2129"/>
      <c r="AE2" s="2129"/>
      <c r="AF2" s="2129"/>
      <c r="AG2" s="2129"/>
      <c r="AH2" s="2129"/>
      <c r="AI2" s="2129"/>
      <c r="AJ2" s="2129"/>
      <c r="AK2" s="2129"/>
      <c r="AL2" s="2129"/>
      <c r="AM2" s="2129"/>
      <c r="AN2" s="2129"/>
      <c r="AO2" s="2129"/>
      <c r="AP2" s="2129"/>
      <c r="AQ2" s="2129"/>
    </row>
    <row r="3" spans="1:43" ht="17.399999999999999">
      <c r="A3" s="1190"/>
      <c r="B3" s="1191" t="s">
        <v>2</v>
      </c>
      <c r="C3" s="1192"/>
      <c r="D3" s="1192"/>
      <c r="E3" s="1193"/>
      <c r="F3" s="1194"/>
      <c r="G3" s="1195"/>
      <c r="H3" s="1196"/>
      <c r="I3" s="1196"/>
      <c r="J3" s="1197"/>
      <c r="K3" s="1197"/>
      <c r="L3" s="1197"/>
      <c r="M3" s="1198"/>
      <c r="N3" s="1198"/>
      <c r="O3" s="1198"/>
      <c r="P3" s="1197"/>
      <c r="Q3" s="1197"/>
      <c r="R3" s="1197"/>
      <c r="S3" s="1198"/>
      <c r="T3" s="1198"/>
      <c r="U3" s="1198"/>
      <c r="V3" s="1197"/>
      <c r="W3" s="1197"/>
      <c r="X3" s="1197"/>
      <c r="Y3" s="1198"/>
      <c r="Z3" s="1198"/>
      <c r="AA3" s="1198"/>
      <c r="AB3" s="1197"/>
      <c r="AC3" s="1197"/>
      <c r="AD3" s="1197"/>
      <c r="AE3" s="1198"/>
      <c r="AF3" s="1198"/>
      <c r="AG3" s="1198"/>
      <c r="AH3" s="1198"/>
      <c r="AI3" s="1198"/>
      <c r="AJ3" s="1198"/>
      <c r="AK3" s="1198"/>
      <c r="AL3" s="1199"/>
      <c r="AM3" s="1199"/>
      <c r="AN3" s="1199"/>
      <c r="AO3" s="1200"/>
      <c r="AP3" s="1193"/>
      <c r="AQ3" s="1193"/>
    </row>
    <row r="4" spans="1:43" ht="17.399999999999999">
      <c r="A4" s="1201"/>
      <c r="B4" s="1191" t="s">
        <v>2382</v>
      </c>
      <c r="C4" s="1192"/>
      <c r="D4" s="1192"/>
      <c r="E4" s="1193"/>
      <c r="F4" s="1194"/>
      <c r="G4" s="1195"/>
      <c r="H4" s="1196"/>
      <c r="I4" s="1196"/>
      <c r="J4" s="1197"/>
      <c r="K4" s="1197"/>
      <c r="L4" s="1197"/>
      <c r="M4" s="1198"/>
      <c r="N4" s="1198"/>
      <c r="O4" s="1198"/>
      <c r="P4" s="1197"/>
      <c r="Q4" s="1197"/>
      <c r="R4" s="1197"/>
      <c r="S4" s="1198"/>
      <c r="T4" s="1198"/>
      <c r="U4" s="1198"/>
      <c r="V4" s="1197"/>
      <c r="W4" s="1197"/>
      <c r="X4" s="1197"/>
      <c r="Y4" s="1198"/>
      <c r="Z4" s="1198"/>
      <c r="AA4" s="1198"/>
      <c r="AB4" s="1197"/>
      <c r="AC4" s="1197"/>
      <c r="AD4" s="1197"/>
      <c r="AE4" s="1198"/>
      <c r="AF4" s="1198"/>
      <c r="AG4" s="1198"/>
      <c r="AH4" s="1198"/>
      <c r="AI4" s="1198"/>
      <c r="AJ4" s="1198"/>
      <c r="AK4" s="1198"/>
      <c r="AL4" s="1199"/>
      <c r="AM4" s="1199"/>
      <c r="AN4" s="1199"/>
      <c r="AO4" s="1200"/>
      <c r="AP4" s="1193"/>
      <c r="AQ4" s="1193"/>
    </row>
    <row r="5" spans="1:43" ht="17.399999999999999">
      <c r="A5" s="1201"/>
      <c r="B5" s="1191" t="s">
        <v>4</v>
      </c>
      <c r="C5" s="1192"/>
      <c r="D5" s="1192"/>
      <c r="E5" s="1202"/>
      <c r="F5" s="1203"/>
      <c r="G5" s="1204"/>
      <c r="H5" s="1205"/>
      <c r="I5" s="1205"/>
      <c r="J5" s="1206"/>
      <c r="K5" s="1206"/>
      <c r="L5" s="1206"/>
      <c r="M5" s="1207"/>
      <c r="N5" s="1207"/>
      <c r="O5" s="1207"/>
      <c r="P5" s="1206"/>
      <c r="Q5" s="1206"/>
      <c r="R5" s="1206"/>
      <c r="S5" s="1207"/>
      <c r="T5" s="1207"/>
      <c r="U5" s="1207"/>
      <c r="V5" s="1206"/>
      <c r="W5" s="1206"/>
      <c r="X5" s="1206"/>
      <c r="Y5" s="1207"/>
      <c r="Z5" s="1207"/>
      <c r="AA5" s="1207"/>
      <c r="AB5" s="1206"/>
      <c r="AC5" s="1206"/>
      <c r="AD5" s="1206"/>
      <c r="AE5" s="1207"/>
      <c r="AF5" s="1207"/>
      <c r="AG5" s="1207"/>
      <c r="AH5" s="1207"/>
      <c r="AI5" s="1207"/>
      <c r="AJ5" s="1207"/>
      <c r="AK5" s="1207"/>
      <c r="AL5" s="1208"/>
      <c r="AM5" s="1208"/>
      <c r="AN5" s="1208"/>
      <c r="AO5" s="1200"/>
      <c r="AP5" s="1209"/>
      <c r="AQ5" s="1209"/>
    </row>
    <row r="6" spans="1:43" ht="15.6">
      <c r="A6" s="80" t="s">
        <v>5</v>
      </c>
      <c r="B6" s="2040" t="s">
        <v>1393</v>
      </c>
      <c r="C6" s="2042" t="s">
        <v>7</v>
      </c>
      <c r="D6" s="1957" t="s">
        <v>8</v>
      </c>
      <c r="E6" s="1957" t="s">
        <v>9</v>
      </c>
      <c r="F6" s="1957" t="s">
        <v>10</v>
      </c>
      <c r="G6" s="1954" t="s">
        <v>11</v>
      </c>
      <c r="H6" s="2044" t="s">
        <v>12</v>
      </c>
      <c r="I6" s="1954" t="s">
        <v>401</v>
      </c>
      <c r="J6" s="2042" t="s">
        <v>14</v>
      </c>
      <c r="K6" s="2042"/>
      <c r="L6" s="2042"/>
      <c r="M6" s="2042"/>
      <c r="N6" s="2042"/>
      <c r="O6" s="2042"/>
      <c r="P6" s="2042"/>
      <c r="Q6" s="2042"/>
      <c r="R6" s="2042"/>
      <c r="S6" s="2042"/>
      <c r="T6" s="2042"/>
      <c r="U6" s="2042"/>
      <c r="V6" s="2042"/>
      <c r="W6" s="2042"/>
      <c r="X6" s="2042"/>
      <c r="Y6" s="2042"/>
      <c r="Z6" s="2042"/>
      <c r="AA6" s="2042"/>
      <c r="AB6" s="2042"/>
      <c r="AC6" s="2042"/>
      <c r="AD6" s="2042"/>
      <c r="AE6" s="2042"/>
      <c r="AF6" s="2042"/>
      <c r="AG6" s="2042"/>
      <c r="AH6" s="2042"/>
      <c r="AI6" s="1957" t="s">
        <v>15</v>
      </c>
      <c r="AJ6" s="1957"/>
      <c r="AK6" s="1957"/>
      <c r="AL6" s="1957"/>
      <c r="AM6" s="1957"/>
      <c r="AN6" s="1957"/>
      <c r="AO6" s="1957" t="s">
        <v>16</v>
      </c>
      <c r="AP6" s="1957" t="s">
        <v>17</v>
      </c>
      <c r="AQ6" s="1958" t="s">
        <v>18</v>
      </c>
    </row>
    <row r="7" spans="1:43" ht="15.6">
      <c r="A7" s="2046" t="s">
        <v>1395</v>
      </c>
      <c r="B7" s="2040"/>
      <c r="C7" s="2042"/>
      <c r="D7" s="1957"/>
      <c r="E7" s="1957"/>
      <c r="F7" s="1957"/>
      <c r="G7" s="1955"/>
      <c r="H7" s="2044"/>
      <c r="I7" s="1955"/>
      <c r="J7" s="2048" t="s">
        <v>19</v>
      </c>
      <c r="K7" s="2048"/>
      <c r="L7" s="2048"/>
      <c r="M7" s="2048"/>
      <c r="N7" s="2048"/>
      <c r="O7" s="2048"/>
      <c r="P7" s="2048" t="s">
        <v>20</v>
      </c>
      <c r="Q7" s="2048"/>
      <c r="R7" s="2048"/>
      <c r="S7" s="2048"/>
      <c r="T7" s="2048"/>
      <c r="U7" s="2048"/>
      <c r="V7" s="2049" t="s">
        <v>21</v>
      </c>
      <c r="W7" s="2049"/>
      <c r="X7" s="2049"/>
      <c r="Y7" s="2049"/>
      <c r="Z7" s="2049"/>
      <c r="AA7" s="2049"/>
      <c r="AB7" s="2048" t="s">
        <v>22</v>
      </c>
      <c r="AC7" s="2048"/>
      <c r="AD7" s="2048"/>
      <c r="AE7" s="2048"/>
      <c r="AF7" s="2048"/>
      <c r="AG7" s="2048"/>
      <c r="AH7" s="2042" t="s">
        <v>403</v>
      </c>
      <c r="AI7" s="1957" t="s">
        <v>24</v>
      </c>
      <c r="AJ7" s="1954" t="s">
        <v>2383</v>
      </c>
      <c r="AK7" s="2131" t="s">
        <v>916</v>
      </c>
      <c r="AL7" s="1957" t="s">
        <v>27</v>
      </c>
      <c r="AM7" s="1954" t="s">
        <v>28</v>
      </c>
      <c r="AN7" s="1954" t="s">
        <v>29</v>
      </c>
      <c r="AO7" s="1957"/>
      <c r="AP7" s="1957"/>
      <c r="AQ7" s="1959"/>
    </row>
    <row r="8" spans="1:43" ht="15.6">
      <c r="A8" s="2047"/>
      <c r="B8" s="2040"/>
      <c r="C8" s="2042"/>
      <c r="D8" s="1957"/>
      <c r="E8" s="1957"/>
      <c r="F8" s="1957"/>
      <c r="G8" s="1955"/>
      <c r="H8" s="2044"/>
      <c r="I8" s="1955"/>
      <c r="J8" s="2048" t="s">
        <v>1396</v>
      </c>
      <c r="K8" s="2048"/>
      <c r="L8" s="2048"/>
      <c r="M8" s="2048" t="s">
        <v>31</v>
      </c>
      <c r="N8" s="2048"/>
      <c r="O8" s="2048"/>
      <c r="P8" s="2048" t="s">
        <v>1396</v>
      </c>
      <c r="Q8" s="2048"/>
      <c r="R8" s="2048"/>
      <c r="S8" s="2048" t="s">
        <v>31</v>
      </c>
      <c r="T8" s="2048"/>
      <c r="U8" s="2048"/>
      <c r="V8" s="2048" t="s">
        <v>1396</v>
      </c>
      <c r="W8" s="2048"/>
      <c r="X8" s="2048"/>
      <c r="Y8" s="2048" t="s">
        <v>31</v>
      </c>
      <c r="Z8" s="2048"/>
      <c r="AA8" s="2048"/>
      <c r="AB8" s="2048" t="s">
        <v>1396</v>
      </c>
      <c r="AC8" s="2048"/>
      <c r="AD8" s="2048"/>
      <c r="AE8" s="2048" t="s">
        <v>31</v>
      </c>
      <c r="AF8" s="2048"/>
      <c r="AG8" s="2048"/>
      <c r="AH8" s="2042"/>
      <c r="AI8" s="1957"/>
      <c r="AJ8" s="1955"/>
      <c r="AK8" s="2132"/>
      <c r="AL8" s="1957"/>
      <c r="AM8" s="1955"/>
      <c r="AN8" s="1955"/>
      <c r="AO8" s="1957"/>
      <c r="AP8" s="1957"/>
      <c r="AQ8" s="1959"/>
    </row>
    <row r="9" spans="1:43" ht="15.6">
      <c r="A9" s="2130"/>
      <c r="B9" s="2040"/>
      <c r="C9" s="2042"/>
      <c r="D9" s="1957"/>
      <c r="E9" s="1957"/>
      <c r="F9" s="1957"/>
      <c r="G9" s="1956"/>
      <c r="H9" s="2044"/>
      <c r="I9" s="1956"/>
      <c r="J9" s="1210" t="s">
        <v>32</v>
      </c>
      <c r="K9" s="1210" t="s">
        <v>33</v>
      </c>
      <c r="L9" s="1210" t="s">
        <v>34</v>
      </c>
      <c r="M9" s="1210" t="s">
        <v>32</v>
      </c>
      <c r="N9" s="1210" t="s">
        <v>33</v>
      </c>
      <c r="O9" s="1210" t="s">
        <v>34</v>
      </c>
      <c r="P9" s="1210" t="s">
        <v>35</v>
      </c>
      <c r="Q9" s="1210" t="s">
        <v>34</v>
      </c>
      <c r="R9" s="1210" t="s">
        <v>36</v>
      </c>
      <c r="S9" s="1210" t="s">
        <v>35</v>
      </c>
      <c r="T9" s="1210" t="s">
        <v>34</v>
      </c>
      <c r="U9" s="1210" t="s">
        <v>36</v>
      </c>
      <c r="V9" s="1210" t="s">
        <v>36</v>
      </c>
      <c r="W9" s="1210" t="s">
        <v>35</v>
      </c>
      <c r="X9" s="1210" t="s">
        <v>37</v>
      </c>
      <c r="Y9" s="1210" t="s">
        <v>36</v>
      </c>
      <c r="Z9" s="1210" t="s">
        <v>35</v>
      </c>
      <c r="AA9" s="1210" t="s">
        <v>37</v>
      </c>
      <c r="AB9" s="1210" t="s">
        <v>38</v>
      </c>
      <c r="AC9" s="1210" t="s">
        <v>39</v>
      </c>
      <c r="AD9" s="1210" t="s">
        <v>40</v>
      </c>
      <c r="AE9" s="1210" t="s">
        <v>38</v>
      </c>
      <c r="AF9" s="1210" t="s">
        <v>39</v>
      </c>
      <c r="AG9" s="1210" t="s">
        <v>40</v>
      </c>
      <c r="AH9" s="2042"/>
      <c r="AI9" s="1957"/>
      <c r="AJ9" s="1956"/>
      <c r="AK9" s="2133"/>
      <c r="AL9" s="1957"/>
      <c r="AM9" s="1956"/>
      <c r="AN9" s="1956"/>
      <c r="AO9" s="1957"/>
      <c r="AP9" s="1957"/>
      <c r="AQ9" s="2045"/>
    </row>
    <row r="10" spans="1:43" ht="30">
      <c r="A10" s="6" t="s">
        <v>41</v>
      </c>
      <c r="B10" s="6" t="s">
        <v>42</v>
      </c>
      <c r="C10" s="7"/>
      <c r="D10" s="6"/>
      <c r="E10" s="6"/>
      <c r="F10" s="6"/>
      <c r="G10" s="1211">
        <f t="shared" ref="G10:G73" si="0">+AH10/AH$289*100</f>
        <v>42.104235785538101</v>
      </c>
      <c r="H10" s="6"/>
      <c r="I10" s="6"/>
      <c r="J10" s="1212"/>
      <c r="K10" s="1212"/>
      <c r="L10" s="1212"/>
      <c r="M10" s="1213">
        <f t="shared" ref="M10:O10" si="1">M11</f>
        <v>126354</v>
      </c>
      <c r="N10" s="1213">
        <f t="shared" si="1"/>
        <v>157334</v>
      </c>
      <c r="O10" s="1213">
        <f t="shared" si="1"/>
        <v>355374</v>
      </c>
      <c r="P10" s="1212"/>
      <c r="Q10" s="1212"/>
      <c r="R10" s="1212"/>
      <c r="S10" s="1213">
        <f t="shared" ref="S10:U10" si="2">S11</f>
        <v>177374</v>
      </c>
      <c r="T10" s="1213">
        <f t="shared" si="2"/>
        <v>155695</v>
      </c>
      <c r="U10" s="1213">
        <f t="shared" si="2"/>
        <v>387630</v>
      </c>
      <c r="V10" s="1212"/>
      <c r="W10" s="1212"/>
      <c r="X10" s="1212"/>
      <c r="Y10" s="1213">
        <f t="shared" ref="Y10:AA10" si="3">Y11</f>
        <v>179209</v>
      </c>
      <c r="Z10" s="1213">
        <f t="shared" si="3"/>
        <v>172804</v>
      </c>
      <c r="AA10" s="1213">
        <f t="shared" si="3"/>
        <v>200054</v>
      </c>
      <c r="AB10" s="1212"/>
      <c r="AC10" s="1212"/>
      <c r="AD10" s="1212"/>
      <c r="AE10" s="1213">
        <f t="shared" ref="AE10:AG10" si="4">AE11</f>
        <v>226284</v>
      </c>
      <c r="AF10" s="1213">
        <f t="shared" si="4"/>
        <v>139134</v>
      </c>
      <c r="AG10" s="1213">
        <f t="shared" si="4"/>
        <v>224409</v>
      </c>
      <c r="AH10" s="1213">
        <f>AH11</f>
        <v>2501655</v>
      </c>
      <c r="AI10" s="1213">
        <f>AI11</f>
        <v>850870</v>
      </c>
      <c r="AJ10" s="1213"/>
      <c r="AK10" s="1213">
        <f>AK11</f>
        <v>472510</v>
      </c>
      <c r="AL10" s="1213">
        <f>AL11</f>
        <v>1178275</v>
      </c>
      <c r="AM10" s="1213"/>
      <c r="AN10" s="1213"/>
      <c r="AO10" s="1214" t="s">
        <v>2384</v>
      </c>
      <c r="AP10" s="1214" t="s">
        <v>2385</v>
      </c>
      <c r="AQ10" s="1214"/>
    </row>
    <row r="11" spans="1:43" ht="45">
      <c r="A11" s="10" t="s">
        <v>44</v>
      </c>
      <c r="B11" s="10" t="s">
        <v>45</v>
      </c>
      <c r="C11" s="11"/>
      <c r="D11" s="10"/>
      <c r="E11" s="10"/>
      <c r="F11" s="10"/>
      <c r="G11" s="1215">
        <f t="shared" si="0"/>
        <v>42.104235785538101</v>
      </c>
      <c r="H11" s="1215"/>
      <c r="I11" s="1215"/>
      <c r="J11" s="1216"/>
      <c r="K11" s="1216"/>
      <c r="L11" s="1216"/>
      <c r="M11" s="1217">
        <f>+M12+M52+M58+M67+M79+M89+M96+M99+M116+M121+M124+M131+M137+M140</f>
        <v>126354</v>
      </c>
      <c r="N11" s="1217">
        <f>+N12+N52+N58+N67+N79+N89+N96+N99+N116+N121+N124+N131+N137+N140</f>
        <v>157334</v>
      </c>
      <c r="O11" s="1217">
        <f>+O12+O52+O58+O67+O79+O89+O96+O99+O116+O121+O124+O131+O137+O140</f>
        <v>355374</v>
      </c>
      <c r="P11" s="1216"/>
      <c r="Q11" s="1216"/>
      <c r="R11" s="1216"/>
      <c r="S11" s="1217">
        <f>+S12+S52+S58+S67+S79+S89+S96+S99+S116+S121+S124+S131+S137+S140</f>
        <v>177374</v>
      </c>
      <c r="T11" s="1217">
        <f>+T12+T52+T58+T67+T79+T89+T96+T99+T116+T121+T124+T131+T137+T140</f>
        <v>155695</v>
      </c>
      <c r="U11" s="1217">
        <f>+U12+U52+U58+U67+U79+U89+U96+U99+U116+U121+U124+U131+U137+U140</f>
        <v>387630</v>
      </c>
      <c r="V11" s="1216"/>
      <c r="W11" s="1216"/>
      <c r="X11" s="1216"/>
      <c r="Y11" s="1217">
        <f>+Y12+Y52+Y58+Y67+Y79+Y89+Y96+Y99+Y116+Y121+Y124+Y131+Y137+Y140</f>
        <v>179209</v>
      </c>
      <c r="Z11" s="1217">
        <f>+Z12+Z52+Z58+Z67+Z79+Z89+Z96+Z99+Z116+Z121+Z124+Z131+Z137+Z140</f>
        <v>172804</v>
      </c>
      <c r="AA11" s="1217">
        <f>+AA12+AA52+AA58+AA67+AA79+AA89+AA96+AA99+AA116+AA121+AA124+AA131+AA137+AA140</f>
        <v>200054</v>
      </c>
      <c r="AB11" s="1216"/>
      <c r="AC11" s="1216"/>
      <c r="AD11" s="1216"/>
      <c r="AE11" s="1217">
        <f>+AE12+AE52+AE58+AE67+AE79+AE89+AE96+AE99+AE116+AE121+AE124+AE131+AE137+AE140</f>
        <v>226284</v>
      </c>
      <c r="AF11" s="1217">
        <f>+AF12+AF52+AF58+AF67+AF79+AF89+AF96+AF99+AF116+AF121+AF124+AF131+AF137+AF140</f>
        <v>139134</v>
      </c>
      <c r="AG11" s="1217">
        <f>+AG12+AG52+AG58+AG67+AG79+AG89+AG96+AG99+AG116+AG121+AG124+AG131+AG137+AG140</f>
        <v>224409</v>
      </c>
      <c r="AH11" s="1217">
        <f>+AH12+AH52+AH58+AH67+AH79+AH89+AH96+AH99+AH116+AH121+AH124+AH131+AH137+AH140</f>
        <v>2501655</v>
      </c>
      <c r="AI11" s="1217">
        <f>+AI12+AI52+AI58+AI67+AI79+AI89+AI96+AI99+AI116+AI121+AI124+AI131+AI137+AI140</f>
        <v>850870</v>
      </c>
      <c r="AJ11" s="1217"/>
      <c r="AK11" s="1217">
        <f>+AK12+AK52+AK58+AK67+AK79+AK89+AK96+AK99+AK116+AK121+AK124+AK131+AK137+AK140</f>
        <v>472510</v>
      </c>
      <c r="AL11" s="1217">
        <f>+AL12+AL52+AL58+AL67+AL79+AL89+AL96+AL99+AL116+AL121+AL124+AL131+AL137+AL140</f>
        <v>1178275</v>
      </c>
      <c r="AM11" s="1217"/>
      <c r="AN11" s="1217"/>
      <c r="AO11" s="1218" t="s">
        <v>2384</v>
      </c>
      <c r="AP11" s="1218" t="s">
        <v>2385</v>
      </c>
      <c r="AQ11" s="1218"/>
    </row>
    <row r="12" spans="1:43" ht="30">
      <c r="A12" s="14" t="s">
        <v>1414</v>
      </c>
      <c r="B12" s="14" t="s">
        <v>534</v>
      </c>
      <c r="C12" s="15"/>
      <c r="D12" s="14"/>
      <c r="E12" s="14"/>
      <c r="F12" s="14"/>
      <c r="G12" s="683">
        <f t="shared" si="0"/>
        <v>12.787012253113467</v>
      </c>
      <c r="H12" s="683">
        <f>+G12</f>
        <v>12.787012253113467</v>
      </c>
      <c r="I12" s="683"/>
      <c r="J12" s="684"/>
      <c r="K12" s="684"/>
      <c r="L12" s="684"/>
      <c r="M12" s="685">
        <f>+M13+M16+M19+M23+M25+M34+M37+M39+M41+M48</f>
        <v>40049</v>
      </c>
      <c r="N12" s="685">
        <f t="shared" ref="N12:O12" si="5">+N13+N16+N19+N23+N25+N34+N37+N39+N41+N48</f>
        <v>53279</v>
      </c>
      <c r="O12" s="685">
        <f t="shared" si="5"/>
        <v>54674</v>
      </c>
      <c r="P12" s="684"/>
      <c r="Q12" s="684"/>
      <c r="R12" s="684"/>
      <c r="S12" s="685">
        <f t="shared" ref="S12:U12" si="6">+S13+S16+S19+S23+S25+S34+S37+S39+S41+S48</f>
        <v>52494</v>
      </c>
      <c r="T12" s="685">
        <f t="shared" si="6"/>
        <v>48150</v>
      </c>
      <c r="U12" s="685">
        <f t="shared" si="6"/>
        <v>64830</v>
      </c>
      <c r="V12" s="684"/>
      <c r="W12" s="684"/>
      <c r="X12" s="684"/>
      <c r="Y12" s="685">
        <f t="shared" ref="Y12:AA12" si="7">+Y13+Y16+Y19+Y23+Y25+Y34+Y37+Y39+Y41+Y48</f>
        <v>59874</v>
      </c>
      <c r="Z12" s="685">
        <f t="shared" si="7"/>
        <v>83904</v>
      </c>
      <c r="AA12" s="685">
        <f t="shared" si="7"/>
        <v>80514</v>
      </c>
      <c r="AB12" s="684"/>
      <c r="AC12" s="684"/>
      <c r="AD12" s="684"/>
      <c r="AE12" s="685">
        <f t="shared" ref="AE12:AG12" si="8">+AE13+AE16+AE19+AE23+AE25+AE34+AE37+AE39+AE41+AE48</f>
        <v>57104</v>
      </c>
      <c r="AF12" s="685">
        <f t="shared" si="8"/>
        <v>41864</v>
      </c>
      <c r="AG12" s="685">
        <f t="shared" si="8"/>
        <v>123014</v>
      </c>
      <c r="AH12" s="685">
        <f>AH13+AH16+AH19+AH23+AH25+AH34+AH37+AH39+AH41+AH48</f>
        <v>759750</v>
      </c>
      <c r="AI12" s="685">
        <f>AI13+AI16+AI19+AI23+AI25+AI34+AI37+AI39+AI41+AI48</f>
        <v>308420</v>
      </c>
      <c r="AJ12" s="685"/>
      <c r="AK12" s="685"/>
      <c r="AL12" s="685">
        <f>AL13+AL16+AL19+AL23+AL25+AL34+AL37+AL39+AL41+AL48</f>
        <v>451330</v>
      </c>
      <c r="AM12" s="685"/>
      <c r="AN12" s="685"/>
      <c r="AO12" s="1219" t="s">
        <v>2384</v>
      </c>
      <c r="AP12" s="1219" t="s">
        <v>2385</v>
      </c>
      <c r="AQ12" s="1219"/>
    </row>
    <row r="13" spans="1:43" ht="30">
      <c r="A13" s="18" t="s">
        <v>2386</v>
      </c>
      <c r="B13" s="18" t="s">
        <v>2387</v>
      </c>
      <c r="C13" s="642"/>
      <c r="D13" s="554" t="s">
        <v>2388</v>
      </c>
      <c r="E13" s="18" t="s">
        <v>2389</v>
      </c>
      <c r="F13" s="18" t="s">
        <v>2390</v>
      </c>
      <c r="G13" s="804">
        <f t="shared" si="0"/>
        <v>1.1450666385529118</v>
      </c>
      <c r="H13" s="804"/>
      <c r="I13" s="804"/>
      <c r="J13" s="805"/>
      <c r="K13" s="805"/>
      <c r="L13" s="805"/>
      <c r="M13" s="806"/>
      <c r="N13" s="806">
        <f t="shared" ref="N13:O13" si="9">+N14+N15</f>
        <v>5160</v>
      </c>
      <c r="O13" s="806">
        <f t="shared" si="9"/>
        <v>5160</v>
      </c>
      <c r="P13" s="805"/>
      <c r="Q13" s="805"/>
      <c r="R13" s="805"/>
      <c r="S13" s="806">
        <f t="shared" ref="S13:U13" si="10">+S14+S15</f>
        <v>2580</v>
      </c>
      <c r="T13" s="806">
        <f t="shared" si="10"/>
        <v>5160</v>
      </c>
      <c r="U13" s="806">
        <f t="shared" si="10"/>
        <v>5160</v>
      </c>
      <c r="V13" s="805"/>
      <c r="W13" s="805"/>
      <c r="X13" s="805"/>
      <c r="Y13" s="806">
        <f t="shared" ref="Y13:AA13" si="11">+Y14+Y15</f>
        <v>7740</v>
      </c>
      <c r="Z13" s="806">
        <f t="shared" si="11"/>
        <v>2580</v>
      </c>
      <c r="AA13" s="806">
        <f t="shared" si="11"/>
        <v>5160</v>
      </c>
      <c r="AB13" s="805"/>
      <c r="AC13" s="805"/>
      <c r="AD13" s="805"/>
      <c r="AE13" s="806">
        <f t="shared" ref="AE13:AG13" si="12">+AE14+AE15</f>
        <v>5160</v>
      </c>
      <c r="AF13" s="806">
        <f t="shared" si="12"/>
        <v>5160</v>
      </c>
      <c r="AG13" s="806">
        <f t="shared" si="12"/>
        <v>19015</v>
      </c>
      <c r="AH13" s="806">
        <f>AH14+AH15</f>
        <v>68035</v>
      </c>
      <c r="AI13" s="806">
        <f>AI14+AI15</f>
        <v>32970</v>
      </c>
      <c r="AJ13" s="806"/>
      <c r="AK13" s="806"/>
      <c r="AL13" s="806">
        <f>AL14+AL15</f>
        <v>35065</v>
      </c>
      <c r="AM13" s="806"/>
      <c r="AN13" s="806"/>
      <c r="AO13" s="1073" t="s">
        <v>2384</v>
      </c>
      <c r="AP13" s="1073" t="s">
        <v>2385</v>
      </c>
      <c r="AQ13" s="1073"/>
    </row>
    <row r="14" spans="1:43" ht="45">
      <c r="A14" s="22" t="s">
        <v>2391</v>
      </c>
      <c r="B14" s="22" t="s">
        <v>2392</v>
      </c>
      <c r="C14" s="1220">
        <f>+J14+K14+L14+P14+Q14+R14+V14+W14+X14+AB14+AC14+AD14</f>
        <v>1</v>
      </c>
      <c r="D14" s="1221" t="s">
        <v>159</v>
      </c>
      <c r="E14" s="22" t="s">
        <v>2393</v>
      </c>
      <c r="F14" s="22" t="s">
        <v>2394</v>
      </c>
      <c r="G14" s="824">
        <f t="shared" si="0"/>
        <v>0.27644182462308486</v>
      </c>
      <c r="H14" s="824"/>
      <c r="I14" s="824">
        <f>+AH14/AH$13*100</f>
        <v>24.141985742632468</v>
      </c>
      <c r="J14" s="1222"/>
      <c r="K14" s="1222"/>
      <c r="L14" s="1222"/>
      <c r="M14" s="1223"/>
      <c r="N14" s="1223"/>
      <c r="O14" s="1223"/>
      <c r="P14" s="1222"/>
      <c r="Q14" s="1222"/>
      <c r="R14" s="1222"/>
      <c r="S14" s="1223"/>
      <c r="T14" s="1223"/>
      <c r="U14" s="1223"/>
      <c r="V14" s="1222"/>
      <c r="W14" s="1222"/>
      <c r="X14" s="1222"/>
      <c r="Y14" s="1223"/>
      <c r="Z14" s="1223"/>
      <c r="AA14" s="1223"/>
      <c r="AB14" s="1222"/>
      <c r="AC14" s="1222"/>
      <c r="AD14" s="1222">
        <v>1</v>
      </c>
      <c r="AE14" s="1223"/>
      <c r="AF14" s="1223"/>
      <c r="AG14" s="1223">
        <v>16425</v>
      </c>
      <c r="AH14" s="1223">
        <f>M14+N14+O14+S14+T14+U14+Y14+Z14+AA14+AE14+AF14+AG14</f>
        <v>16425</v>
      </c>
      <c r="AI14" s="1223">
        <v>7960</v>
      </c>
      <c r="AJ14" s="1223"/>
      <c r="AK14" s="1223"/>
      <c r="AL14" s="1223">
        <v>8465</v>
      </c>
      <c r="AM14" s="1223"/>
      <c r="AN14" s="1223"/>
      <c r="AO14" s="1066" t="s">
        <v>2395</v>
      </c>
      <c r="AP14" s="1066" t="s">
        <v>2396</v>
      </c>
      <c r="AQ14" s="1066"/>
    </row>
    <row r="15" spans="1:43" ht="45">
      <c r="A15" s="22" t="s">
        <v>2397</v>
      </c>
      <c r="B15" s="22" t="s">
        <v>2398</v>
      </c>
      <c r="C15" s="1220">
        <f>+J15+K15+L15+P15+Q15+R15+V15+W15+X15+AB15+AC15+AD15</f>
        <v>22</v>
      </c>
      <c r="D15" s="1221" t="s">
        <v>944</v>
      </c>
      <c r="E15" s="22" t="s">
        <v>2399</v>
      </c>
      <c r="F15" s="22" t="s">
        <v>2400</v>
      </c>
      <c r="G15" s="824">
        <f t="shared" si="0"/>
        <v>0.86862481392982693</v>
      </c>
      <c r="H15" s="824"/>
      <c r="I15" s="824">
        <f>+AH15/AH$13*100</f>
        <v>75.858014257367529</v>
      </c>
      <c r="J15" s="1222"/>
      <c r="K15" s="1222">
        <v>3</v>
      </c>
      <c r="L15" s="1222">
        <v>2</v>
      </c>
      <c r="M15" s="1223"/>
      <c r="N15" s="1223">
        <v>5160</v>
      </c>
      <c r="O15" s="1223">
        <v>5160</v>
      </c>
      <c r="P15" s="1222">
        <v>1</v>
      </c>
      <c r="Q15" s="1222">
        <v>2</v>
      </c>
      <c r="R15" s="1222">
        <v>2</v>
      </c>
      <c r="S15" s="1223">
        <v>2580</v>
      </c>
      <c r="T15" s="1223">
        <v>5160</v>
      </c>
      <c r="U15" s="1223">
        <v>5160</v>
      </c>
      <c r="V15" s="1222">
        <v>3</v>
      </c>
      <c r="W15" s="1222">
        <v>1</v>
      </c>
      <c r="X15" s="1222">
        <v>1</v>
      </c>
      <c r="Y15" s="1223">
        <v>7740</v>
      </c>
      <c r="Z15" s="1223">
        <v>2580</v>
      </c>
      <c r="AA15" s="1223">
        <v>5160</v>
      </c>
      <c r="AB15" s="1222">
        <v>4</v>
      </c>
      <c r="AC15" s="1222">
        <v>2</v>
      </c>
      <c r="AD15" s="1222">
        <v>1</v>
      </c>
      <c r="AE15" s="1223">
        <v>5160</v>
      </c>
      <c r="AF15" s="1223">
        <v>5160</v>
      </c>
      <c r="AG15" s="1223">
        <v>2590</v>
      </c>
      <c r="AH15" s="1223">
        <f>M15+N15+O15+S15+T15+U15+Y15+Z15+AA15+AE15+AF15+AG15</f>
        <v>51610</v>
      </c>
      <c r="AI15" s="1223">
        <v>25010</v>
      </c>
      <c r="AJ15" s="1223"/>
      <c r="AK15" s="1223"/>
      <c r="AL15" s="1223">
        <v>26600</v>
      </c>
      <c r="AM15" s="1223"/>
      <c r="AN15" s="1223"/>
      <c r="AO15" s="1066" t="s">
        <v>2395</v>
      </c>
      <c r="AP15" s="1066" t="s">
        <v>2396</v>
      </c>
      <c r="AQ15" s="1066"/>
    </row>
    <row r="16" spans="1:43" ht="45">
      <c r="A16" s="18" t="s">
        <v>2401</v>
      </c>
      <c r="B16" s="18" t="s">
        <v>2402</v>
      </c>
      <c r="C16" s="642"/>
      <c r="D16" s="554" t="s">
        <v>2403</v>
      </c>
      <c r="E16" s="18" t="s">
        <v>2404</v>
      </c>
      <c r="F16" s="18" t="s">
        <v>2405</v>
      </c>
      <c r="G16" s="804">
        <f t="shared" si="0"/>
        <v>0.9475601051007414</v>
      </c>
      <c r="H16" s="804"/>
      <c r="I16" s="804"/>
      <c r="J16" s="805"/>
      <c r="K16" s="805"/>
      <c r="L16" s="805"/>
      <c r="M16" s="806">
        <f t="shared" ref="M16:O16" si="13">M17+M18</f>
        <v>4690</v>
      </c>
      <c r="N16" s="806">
        <f t="shared" si="13"/>
        <v>4690</v>
      </c>
      <c r="O16" s="806">
        <f t="shared" si="13"/>
        <v>4690</v>
      </c>
      <c r="P16" s="805"/>
      <c r="Q16" s="805"/>
      <c r="R16" s="805"/>
      <c r="S16" s="806">
        <f t="shared" ref="S16:U16" si="14">S17+S18</f>
        <v>4690</v>
      </c>
      <c r="T16" s="806">
        <f t="shared" si="14"/>
        <v>4690</v>
      </c>
      <c r="U16" s="806">
        <f t="shared" si="14"/>
        <v>4690</v>
      </c>
      <c r="V16" s="805"/>
      <c r="W16" s="805"/>
      <c r="X16" s="805"/>
      <c r="Y16" s="806">
        <f t="shared" ref="Y16:AA16" si="15">Y17+Y18</f>
        <v>4690</v>
      </c>
      <c r="Z16" s="806">
        <f t="shared" si="15"/>
        <v>4690</v>
      </c>
      <c r="AA16" s="806">
        <f t="shared" si="15"/>
        <v>4690</v>
      </c>
      <c r="AB16" s="805"/>
      <c r="AC16" s="805"/>
      <c r="AD16" s="805"/>
      <c r="AE16" s="806">
        <f t="shared" ref="AE16:AG16" si="16">AE17+AE18</f>
        <v>4690</v>
      </c>
      <c r="AF16" s="806">
        <f t="shared" si="16"/>
        <v>4690</v>
      </c>
      <c r="AG16" s="806">
        <f t="shared" si="16"/>
        <v>4710</v>
      </c>
      <c r="AH16" s="806">
        <f>AH17+AH18</f>
        <v>56300</v>
      </c>
      <c r="AI16" s="806">
        <f>AI17+AI18</f>
        <v>27280</v>
      </c>
      <c r="AJ16" s="806"/>
      <c r="AK16" s="806"/>
      <c r="AL16" s="806">
        <f>AL17+AL18</f>
        <v>29020</v>
      </c>
      <c r="AM16" s="806"/>
      <c r="AN16" s="806"/>
      <c r="AO16" s="1073" t="s">
        <v>2384</v>
      </c>
      <c r="AP16" s="1073" t="s">
        <v>2385</v>
      </c>
      <c r="AQ16" s="1073"/>
    </row>
    <row r="17" spans="1:43" ht="45">
      <c r="A17" s="22" t="s">
        <v>2406</v>
      </c>
      <c r="B17" s="22" t="s">
        <v>2407</v>
      </c>
      <c r="C17" s="1220">
        <f>+J17+K17+L17+P17+Q17+R17+V17+W17+X17+AB17+AC17+AD17</f>
        <v>3173</v>
      </c>
      <c r="D17" s="1221" t="s">
        <v>2403</v>
      </c>
      <c r="E17" s="22" t="s">
        <v>2408</v>
      </c>
      <c r="F17" s="22" t="s">
        <v>2405</v>
      </c>
      <c r="G17" s="824">
        <f t="shared" si="0"/>
        <v>0.4737800525503707</v>
      </c>
      <c r="H17" s="824"/>
      <c r="I17" s="824">
        <f>+AH17/AH$16*100</f>
        <v>50</v>
      </c>
      <c r="J17" s="1222">
        <v>219</v>
      </c>
      <c r="K17" s="1222">
        <v>292</v>
      </c>
      <c r="L17" s="1222">
        <v>277</v>
      </c>
      <c r="M17" s="1223">
        <v>2345</v>
      </c>
      <c r="N17" s="1223">
        <v>2345</v>
      </c>
      <c r="O17" s="1223">
        <v>2345</v>
      </c>
      <c r="P17" s="1222">
        <v>236</v>
      </c>
      <c r="Q17" s="1222">
        <v>272</v>
      </c>
      <c r="R17" s="1222">
        <v>343</v>
      </c>
      <c r="S17" s="1223">
        <v>2345</v>
      </c>
      <c r="T17" s="1223">
        <v>2345</v>
      </c>
      <c r="U17" s="1223">
        <v>2345</v>
      </c>
      <c r="V17" s="1222">
        <v>285</v>
      </c>
      <c r="W17" s="1222">
        <v>245</v>
      </c>
      <c r="X17" s="1222">
        <v>319</v>
      </c>
      <c r="Y17" s="1223">
        <v>2345</v>
      </c>
      <c r="Z17" s="1223">
        <v>2345</v>
      </c>
      <c r="AA17" s="1223">
        <v>2345</v>
      </c>
      <c r="AB17" s="1222">
        <v>185</v>
      </c>
      <c r="AC17" s="1222">
        <v>250</v>
      </c>
      <c r="AD17" s="1222">
        <v>250</v>
      </c>
      <c r="AE17" s="1223">
        <v>2345</v>
      </c>
      <c r="AF17" s="1223">
        <v>2345</v>
      </c>
      <c r="AG17" s="1223">
        <v>2355</v>
      </c>
      <c r="AH17" s="1223">
        <f t="shared" ref="AH17:AH18" si="17">M17+N17+O17+S17+T17+U17+Y17+Z17+AA17+AE17+AF17+AG17</f>
        <v>28150</v>
      </c>
      <c r="AI17" s="1223">
        <v>13640</v>
      </c>
      <c r="AJ17" s="1223"/>
      <c r="AK17" s="1223"/>
      <c r="AL17" s="1223">
        <v>14510</v>
      </c>
      <c r="AM17" s="1223"/>
      <c r="AN17" s="1223"/>
      <c r="AO17" s="1066" t="s">
        <v>2384</v>
      </c>
      <c r="AP17" s="1066" t="s">
        <v>2409</v>
      </c>
      <c r="AQ17" s="1066"/>
    </row>
    <row r="18" spans="1:43" ht="30">
      <c r="A18" s="22" t="s">
        <v>2410</v>
      </c>
      <c r="B18" s="22" t="s">
        <v>2411</v>
      </c>
      <c r="C18" s="1220">
        <f>+J18+K18+L18+P18+Q18+R18+V18+W18+X18+AB18+AC18+AD18</f>
        <v>603</v>
      </c>
      <c r="D18" s="1221" t="s">
        <v>2412</v>
      </c>
      <c r="E18" s="22" t="s">
        <v>2413</v>
      </c>
      <c r="F18" s="22" t="s">
        <v>2414</v>
      </c>
      <c r="G18" s="824">
        <f t="shared" si="0"/>
        <v>0.4737800525503707</v>
      </c>
      <c r="H18" s="824"/>
      <c r="I18" s="824">
        <f>+AH18/AH$16*100</f>
        <v>50</v>
      </c>
      <c r="J18" s="1222">
        <v>37</v>
      </c>
      <c r="K18" s="1222">
        <v>46</v>
      </c>
      <c r="L18" s="1222">
        <v>38</v>
      </c>
      <c r="M18" s="1223">
        <v>2345</v>
      </c>
      <c r="N18" s="1223">
        <v>2345</v>
      </c>
      <c r="O18" s="1223">
        <v>2345</v>
      </c>
      <c r="P18" s="1222">
        <v>56</v>
      </c>
      <c r="Q18" s="1222">
        <v>33</v>
      </c>
      <c r="R18" s="1222">
        <v>60</v>
      </c>
      <c r="S18" s="1223">
        <v>2345</v>
      </c>
      <c r="T18" s="1223">
        <v>2345</v>
      </c>
      <c r="U18" s="1223">
        <v>2345</v>
      </c>
      <c r="V18" s="1222">
        <v>45</v>
      </c>
      <c r="W18" s="1222">
        <v>57</v>
      </c>
      <c r="X18" s="1222">
        <v>82</v>
      </c>
      <c r="Y18" s="1223">
        <v>2345</v>
      </c>
      <c r="Z18" s="1223">
        <v>2345</v>
      </c>
      <c r="AA18" s="1223">
        <v>2345</v>
      </c>
      <c r="AB18" s="1222">
        <v>69</v>
      </c>
      <c r="AC18" s="1222">
        <v>40</v>
      </c>
      <c r="AD18" s="1222">
        <v>40</v>
      </c>
      <c r="AE18" s="1223">
        <v>2345</v>
      </c>
      <c r="AF18" s="1223">
        <v>2345</v>
      </c>
      <c r="AG18" s="1223">
        <v>2355</v>
      </c>
      <c r="AH18" s="1223">
        <f t="shared" si="17"/>
        <v>28150</v>
      </c>
      <c r="AI18" s="1223">
        <v>13640</v>
      </c>
      <c r="AJ18" s="1223"/>
      <c r="AK18" s="1223"/>
      <c r="AL18" s="1223">
        <v>14510</v>
      </c>
      <c r="AM18" s="1223"/>
      <c r="AN18" s="1223"/>
      <c r="AO18" s="1066" t="s">
        <v>2384</v>
      </c>
      <c r="AP18" s="1066" t="s">
        <v>2409</v>
      </c>
      <c r="AQ18" s="1066"/>
    </row>
    <row r="19" spans="1:43" ht="60">
      <c r="A19" s="18" t="s">
        <v>2415</v>
      </c>
      <c r="B19" s="18" t="s">
        <v>2416</v>
      </c>
      <c r="C19" s="642"/>
      <c r="D19" s="554" t="s">
        <v>944</v>
      </c>
      <c r="E19" s="18" t="s">
        <v>2417</v>
      </c>
      <c r="F19" s="18" t="s">
        <v>2418</v>
      </c>
      <c r="G19" s="804">
        <f t="shared" si="0"/>
        <v>0.89143021255170107</v>
      </c>
      <c r="H19" s="804"/>
      <c r="I19" s="804"/>
      <c r="J19" s="805"/>
      <c r="K19" s="805"/>
      <c r="L19" s="805"/>
      <c r="M19" s="806">
        <f t="shared" ref="M19:O19" si="18">M20+M21+M22</f>
        <v>5499</v>
      </c>
      <c r="N19" s="806">
        <f t="shared" si="18"/>
        <v>5499</v>
      </c>
      <c r="O19" s="806">
        <f t="shared" si="18"/>
        <v>5499</v>
      </c>
      <c r="P19" s="805"/>
      <c r="Q19" s="805"/>
      <c r="R19" s="805"/>
      <c r="S19" s="806">
        <f t="shared" ref="S19" si="19">S20+S21+S22</f>
        <v>5499</v>
      </c>
      <c r="T19" s="806"/>
      <c r="U19" s="806"/>
      <c r="V19" s="805"/>
      <c r="W19" s="805"/>
      <c r="X19" s="805"/>
      <c r="Y19" s="806">
        <f t="shared" ref="Y19:AA19" si="20">Y20+Y21+Y22</f>
        <v>5499</v>
      </c>
      <c r="Z19" s="806">
        <f t="shared" si="20"/>
        <v>5499</v>
      </c>
      <c r="AA19" s="806">
        <f t="shared" si="20"/>
        <v>5499</v>
      </c>
      <c r="AB19" s="805"/>
      <c r="AC19" s="805"/>
      <c r="AD19" s="805"/>
      <c r="AE19" s="806">
        <f t="shared" ref="AE19:AG19" si="21">AE20+AE21+AE22</f>
        <v>3469</v>
      </c>
      <c r="AF19" s="806">
        <f t="shared" si="21"/>
        <v>5499</v>
      </c>
      <c r="AG19" s="806">
        <f t="shared" si="21"/>
        <v>5504</v>
      </c>
      <c r="AH19" s="806">
        <f>AH20+AH21+AH22</f>
        <v>52965</v>
      </c>
      <c r="AI19" s="806">
        <f>AI20+AI21+AI22</f>
        <v>14780</v>
      </c>
      <c r="AJ19" s="806"/>
      <c r="AK19" s="806"/>
      <c r="AL19" s="806">
        <f>AL20+AL21+AL22</f>
        <v>38185</v>
      </c>
      <c r="AM19" s="806"/>
      <c r="AN19" s="806"/>
      <c r="AO19" s="1073" t="s">
        <v>2384</v>
      </c>
      <c r="AP19" s="1073" t="s">
        <v>2385</v>
      </c>
      <c r="AQ19" s="1073"/>
    </row>
    <row r="20" spans="1:43" ht="45">
      <c r="A20" s="1224" t="s">
        <v>2419</v>
      </c>
      <c r="B20" s="1224" t="s">
        <v>2420</v>
      </c>
      <c r="C20" s="1220">
        <f>+J20+K20+L20+P20+Q20+R20+V20+W20+X20+AB20+AC20+AD20</f>
        <v>124</v>
      </c>
      <c r="D20" s="1221" t="s">
        <v>419</v>
      </c>
      <c r="E20" s="1224" t="s">
        <v>2417</v>
      </c>
      <c r="F20" s="1224" t="s">
        <v>2421</v>
      </c>
      <c r="G20" s="824">
        <f t="shared" si="0"/>
        <v>0.11848708951881384</v>
      </c>
      <c r="H20" s="824"/>
      <c r="I20" s="824">
        <f>+AH20/AH$19*100</f>
        <v>13.291796469366563</v>
      </c>
      <c r="J20" s="1222">
        <v>18</v>
      </c>
      <c r="K20" s="1222">
        <v>7</v>
      </c>
      <c r="L20" s="1222">
        <v>31</v>
      </c>
      <c r="M20" s="1223">
        <v>704</v>
      </c>
      <c r="N20" s="1223">
        <v>704</v>
      </c>
      <c r="O20" s="1223">
        <v>704</v>
      </c>
      <c r="P20" s="1222">
        <v>1</v>
      </c>
      <c r="Q20" s="1222"/>
      <c r="R20" s="1222"/>
      <c r="S20" s="1223">
        <v>704</v>
      </c>
      <c r="T20" s="1223"/>
      <c r="U20" s="1223"/>
      <c r="V20" s="1222">
        <v>11</v>
      </c>
      <c r="W20" s="1222">
        <v>1</v>
      </c>
      <c r="X20" s="1222">
        <v>30</v>
      </c>
      <c r="Y20" s="1223">
        <v>704</v>
      </c>
      <c r="Z20" s="1223">
        <v>704</v>
      </c>
      <c r="AA20" s="1223">
        <v>704</v>
      </c>
      <c r="AB20" s="1222">
        <v>5</v>
      </c>
      <c r="AC20" s="1222">
        <v>10</v>
      </c>
      <c r="AD20" s="1222">
        <v>10</v>
      </c>
      <c r="AE20" s="1223">
        <v>704</v>
      </c>
      <c r="AF20" s="1223">
        <v>704</v>
      </c>
      <c r="AG20" s="1223">
        <v>704</v>
      </c>
      <c r="AH20" s="1223">
        <f t="shared" ref="AH20:AH22" si="22">M20+N20+O20+S20+T20+U20+Y20+Z20+AA20+AE20+AF20+AG20</f>
        <v>7040</v>
      </c>
      <c r="AI20" s="1223">
        <v>3410</v>
      </c>
      <c r="AJ20" s="1223"/>
      <c r="AK20" s="1223"/>
      <c r="AL20" s="1223">
        <v>3630</v>
      </c>
      <c r="AM20" s="1223"/>
      <c r="AN20" s="1223"/>
      <c r="AO20" s="1066" t="s">
        <v>2384</v>
      </c>
      <c r="AP20" s="1066" t="s">
        <v>2409</v>
      </c>
      <c r="AQ20" s="1066"/>
    </row>
    <row r="21" spans="1:43" ht="45">
      <c r="A21" s="1224" t="s">
        <v>2422</v>
      </c>
      <c r="B21" s="1224" t="s">
        <v>2420</v>
      </c>
      <c r="C21" s="1220">
        <f>+J21+K21+L21+P21+Q21+R21+V21+W21+X21+AB21+AC21+AD21</f>
        <v>93</v>
      </c>
      <c r="D21" s="1221" t="s">
        <v>424</v>
      </c>
      <c r="E21" s="1224" t="s">
        <v>2417</v>
      </c>
      <c r="F21" s="1224" t="s">
        <v>2421</v>
      </c>
      <c r="G21" s="824">
        <f t="shared" si="0"/>
        <v>0.30749419396430805</v>
      </c>
      <c r="H21" s="824"/>
      <c r="I21" s="824">
        <f t="shared" ref="I21:I22" si="23">+AH21/AH$19*100</f>
        <v>34.494477485131689</v>
      </c>
      <c r="J21" s="1222">
        <v>6</v>
      </c>
      <c r="K21" s="1222">
        <v>7</v>
      </c>
      <c r="L21" s="1222">
        <v>17</v>
      </c>
      <c r="M21" s="1223">
        <v>2030</v>
      </c>
      <c r="N21" s="1223">
        <v>2030</v>
      </c>
      <c r="O21" s="1223">
        <v>2030</v>
      </c>
      <c r="P21" s="1222">
        <v>11</v>
      </c>
      <c r="Q21" s="1222"/>
      <c r="R21" s="1222"/>
      <c r="S21" s="1223">
        <v>2030</v>
      </c>
      <c r="T21" s="1223"/>
      <c r="U21" s="1223"/>
      <c r="V21" s="1222">
        <v>22</v>
      </c>
      <c r="W21" s="1222">
        <v>8</v>
      </c>
      <c r="X21" s="1222">
        <v>12</v>
      </c>
      <c r="Y21" s="1223">
        <v>2030</v>
      </c>
      <c r="Z21" s="1223">
        <v>2030</v>
      </c>
      <c r="AA21" s="1223">
        <v>2030</v>
      </c>
      <c r="AB21" s="1222"/>
      <c r="AC21" s="1222">
        <v>5</v>
      </c>
      <c r="AD21" s="1222">
        <v>5</v>
      </c>
      <c r="AE21" s="1223"/>
      <c r="AF21" s="1223">
        <v>2030</v>
      </c>
      <c r="AG21" s="1223">
        <v>2030</v>
      </c>
      <c r="AH21" s="1223">
        <f t="shared" si="22"/>
        <v>18270</v>
      </c>
      <c r="AI21" s="1223">
        <v>3410</v>
      </c>
      <c r="AJ21" s="1223"/>
      <c r="AK21" s="1223"/>
      <c r="AL21" s="1223">
        <v>14860</v>
      </c>
      <c r="AM21" s="1223"/>
      <c r="AN21" s="1223"/>
      <c r="AO21" s="1066" t="s">
        <v>2384</v>
      </c>
      <c r="AP21" s="1066" t="s">
        <v>2409</v>
      </c>
      <c r="AQ21" s="1066"/>
    </row>
    <row r="22" spans="1:43" ht="45">
      <c r="A22" s="1224" t="s">
        <v>2423</v>
      </c>
      <c r="B22" s="1224" t="s">
        <v>2420</v>
      </c>
      <c r="C22" s="1220">
        <f>+J22+K22+L22+P22+Q22+R22+V22+W22+X22+AB22+AC22+AD22</f>
        <v>19</v>
      </c>
      <c r="D22" s="1221" t="s">
        <v>944</v>
      </c>
      <c r="E22" s="1224" t="s">
        <v>2417</v>
      </c>
      <c r="F22" s="1224" t="s">
        <v>2421</v>
      </c>
      <c r="G22" s="824">
        <f t="shared" si="0"/>
        <v>0.4654489290685791</v>
      </c>
      <c r="H22" s="824"/>
      <c r="I22" s="824">
        <f t="shared" si="23"/>
        <v>52.213726045501751</v>
      </c>
      <c r="J22" s="1222">
        <v>3</v>
      </c>
      <c r="K22" s="1222">
        <v>1</v>
      </c>
      <c r="L22" s="1222">
        <v>3</v>
      </c>
      <c r="M22" s="1223">
        <v>2765</v>
      </c>
      <c r="N22" s="1223">
        <v>2765</v>
      </c>
      <c r="O22" s="1223">
        <v>2765</v>
      </c>
      <c r="P22" s="1222">
        <v>1</v>
      </c>
      <c r="Q22" s="1222"/>
      <c r="R22" s="1222"/>
      <c r="S22" s="1223">
        <v>2765</v>
      </c>
      <c r="T22" s="1223"/>
      <c r="U22" s="1223"/>
      <c r="V22" s="1222">
        <v>3</v>
      </c>
      <c r="W22" s="1222">
        <v>1</v>
      </c>
      <c r="X22" s="1222">
        <v>4</v>
      </c>
      <c r="Y22" s="1223">
        <v>2765</v>
      </c>
      <c r="Z22" s="1223">
        <v>2765</v>
      </c>
      <c r="AA22" s="1223">
        <v>2765</v>
      </c>
      <c r="AB22" s="1222">
        <v>1</v>
      </c>
      <c r="AC22" s="1222">
        <v>1</v>
      </c>
      <c r="AD22" s="1222">
        <v>1</v>
      </c>
      <c r="AE22" s="1223">
        <v>2765</v>
      </c>
      <c r="AF22" s="1223">
        <v>2765</v>
      </c>
      <c r="AG22" s="1223">
        <v>2770</v>
      </c>
      <c r="AH22" s="1223">
        <f t="shared" si="22"/>
        <v>27655</v>
      </c>
      <c r="AI22" s="1223">
        <v>7960</v>
      </c>
      <c r="AJ22" s="1223"/>
      <c r="AK22" s="1223"/>
      <c r="AL22" s="1223">
        <v>19695</v>
      </c>
      <c r="AM22" s="1223"/>
      <c r="AN22" s="1223"/>
      <c r="AO22" s="1066" t="s">
        <v>2384</v>
      </c>
      <c r="AP22" s="1066" t="s">
        <v>2409</v>
      </c>
      <c r="AQ22" s="1066"/>
    </row>
    <row r="23" spans="1:43" ht="30">
      <c r="A23" s="18" t="s">
        <v>2424</v>
      </c>
      <c r="B23" s="18" t="s">
        <v>2425</v>
      </c>
      <c r="C23" s="642"/>
      <c r="D23" s="554" t="s">
        <v>2426</v>
      </c>
      <c r="E23" s="18" t="s">
        <v>2427</v>
      </c>
      <c r="F23" s="18" t="s">
        <v>2428</v>
      </c>
      <c r="G23" s="804">
        <f t="shared" si="0"/>
        <v>0.89976133603349262</v>
      </c>
      <c r="H23" s="804"/>
      <c r="I23" s="804"/>
      <c r="J23" s="805"/>
      <c r="K23" s="805"/>
      <c r="L23" s="805"/>
      <c r="M23" s="806">
        <f t="shared" ref="M23:O23" si="24">M24</f>
        <v>5345</v>
      </c>
      <c r="N23" s="806">
        <f t="shared" si="24"/>
        <v>5345</v>
      </c>
      <c r="O23" s="806">
        <f t="shared" si="24"/>
        <v>5345</v>
      </c>
      <c r="P23" s="805"/>
      <c r="Q23" s="805"/>
      <c r="R23" s="805"/>
      <c r="S23" s="806">
        <f t="shared" ref="S23:U23" si="25">S24</f>
        <v>5345</v>
      </c>
      <c r="T23" s="806">
        <f t="shared" si="25"/>
        <v>5345</v>
      </c>
      <c r="U23" s="806">
        <f t="shared" si="25"/>
        <v>5345</v>
      </c>
      <c r="V23" s="805"/>
      <c r="W23" s="805"/>
      <c r="X23" s="805"/>
      <c r="Y23" s="806">
        <f t="shared" ref="Y23:AA23" si="26">Y24</f>
        <v>5345</v>
      </c>
      <c r="Z23" s="806">
        <f t="shared" si="26"/>
        <v>5345</v>
      </c>
      <c r="AA23" s="806">
        <f t="shared" si="26"/>
        <v>5345</v>
      </c>
      <c r="AB23" s="805"/>
      <c r="AC23" s="805"/>
      <c r="AD23" s="805"/>
      <c r="AE23" s="806"/>
      <c r="AF23" s="806">
        <f t="shared" ref="AF23" si="27">AF24</f>
        <v>5355</v>
      </c>
      <c r="AG23" s="806"/>
      <c r="AH23" s="806">
        <f>AH24</f>
        <v>53460</v>
      </c>
      <c r="AI23" s="806">
        <f>AI24</f>
        <v>20465</v>
      </c>
      <c r="AJ23" s="806"/>
      <c r="AK23" s="806"/>
      <c r="AL23" s="806">
        <f>AL24</f>
        <v>32995</v>
      </c>
      <c r="AM23" s="806"/>
      <c r="AN23" s="806"/>
      <c r="AO23" s="1073" t="s">
        <v>2384</v>
      </c>
      <c r="AP23" s="1073" t="s">
        <v>2385</v>
      </c>
      <c r="AQ23" s="1073"/>
    </row>
    <row r="24" spans="1:43" ht="45">
      <c r="A24" s="22" t="s">
        <v>2429</v>
      </c>
      <c r="B24" s="22" t="s">
        <v>2430</v>
      </c>
      <c r="C24" s="1220">
        <f>+J24+K24+L24+P24+Q24+R24+V24+W24+X24+AB24+AC24+AD24</f>
        <v>33293</v>
      </c>
      <c r="D24" s="1221" t="s">
        <v>2426</v>
      </c>
      <c r="E24" s="22" t="s">
        <v>2427</v>
      </c>
      <c r="F24" s="22" t="s">
        <v>2428</v>
      </c>
      <c r="G24" s="824">
        <f t="shared" si="0"/>
        <v>0.89976133603349262</v>
      </c>
      <c r="H24" s="824"/>
      <c r="I24" s="824">
        <f>+AH24/AH23*100</f>
        <v>100</v>
      </c>
      <c r="J24" s="1222">
        <v>2271</v>
      </c>
      <c r="K24" s="1222">
        <v>2127</v>
      </c>
      <c r="L24" s="1222">
        <v>15439</v>
      </c>
      <c r="M24" s="1223">
        <v>5345</v>
      </c>
      <c r="N24" s="1223">
        <v>5345</v>
      </c>
      <c r="O24" s="1223">
        <v>5345</v>
      </c>
      <c r="P24" s="1222">
        <v>3380</v>
      </c>
      <c r="Q24" s="1222">
        <v>966</v>
      </c>
      <c r="R24" s="1222">
        <v>2599</v>
      </c>
      <c r="S24" s="1223">
        <v>5345</v>
      </c>
      <c r="T24" s="1223">
        <v>5345</v>
      </c>
      <c r="U24" s="1223">
        <v>5345</v>
      </c>
      <c r="V24" s="1222">
        <v>894</v>
      </c>
      <c r="W24" s="1222">
        <v>2847</v>
      </c>
      <c r="X24" s="1222">
        <v>770</v>
      </c>
      <c r="Y24" s="1223">
        <v>5345</v>
      </c>
      <c r="Z24" s="1223">
        <v>5345</v>
      </c>
      <c r="AA24" s="1223">
        <v>5345</v>
      </c>
      <c r="AB24" s="1222"/>
      <c r="AC24" s="1222">
        <v>2000</v>
      </c>
      <c r="AD24" s="1222"/>
      <c r="AE24" s="1223"/>
      <c r="AF24" s="1223">
        <v>5355</v>
      </c>
      <c r="AG24" s="1223"/>
      <c r="AH24" s="1223">
        <f>M24+N24+O24+S24+T24+U24+Y24+Z24+AA24+AE24+AF24+AG24</f>
        <v>53460</v>
      </c>
      <c r="AI24" s="1223">
        <v>20465</v>
      </c>
      <c r="AJ24" s="1223"/>
      <c r="AK24" s="1223"/>
      <c r="AL24" s="1223">
        <v>32995</v>
      </c>
      <c r="AM24" s="1223"/>
      <c r="AN24" s="1223"/>
      <c r="AO24" s="1066" t="s">
        <v>2384</v>
      </c>
      <c r="AP24" s="1066" t="s">
        <v>2431</v>
      </c>
      <c r="AQ24" s="1066"/>
    </row>
    <row r="25" spans="1:43" ht="60">
      <c r="A25" s="18" t="s">
        <v>2432</v>
      </c>
      <c r="B25" s="18" t="s">
        <v>2433</v>
      </c>
      <c r="C25" s="642"/>
      <c r="D25" s="554" t="s">
        <v>1950</v>
      </c>
      <c r="E25" s="18" t="s">
        <v>2434</v>
      </c>
      <c r="F25" s="18" t="s">
        <v>2435</v>
      </c>
      <c r="G25" s="804">
        <f t="shared" si="0"/>
        <v>4.6002949116729246</v>
      </c>
      <c r="H25" s="804"/>
      <c r="I25" s="804"/>
      <c r="J25" s="805"/>
      <c r="K25" s="805"/>
      <c r="L25" s="805"/>
      <c r="M25" s="806">
        <f t="shared" ref="M25:O25" si="28">M26+M27+M28+M29+M30+M31+M32+M33</f>
        <v>16640</v>
      </c>
      <c r="N25" s="806">
        <f t="shared" si="28"/>
        <v>24765</v>
      </c>
      <c r="O25" s="806">
        <f t="shared" si="28"/>
        <v>17370</v>
      </c>
      <c r="P25" s="805"/>
      <c r="Q25" s="805"/>
      <c r="R25" s="805"/>
      <c r="S25" s="806">
        <f t="shared" ref="S25:U25" si="29">S26+S27+S28+S29+S30+S31+S32+S33</f>
        <v>22800</v>
      </c>
      <c r="T25" s="806">
        <f t="shared" si="29"/>
        <v>23720</v>
      </c>
      <c r="U25" s="806">
        <f t="shared" si="29"/>
        <v>21220</v>
      </c>
      <c r="V25" s="805"/>
      <c r="W25" s="805"/>
      <c r="X25" s="805"/>
      <c r="Y25" s="806">
        <f t="shared" ref="Y25:AA25" si="30">Y26+Y27+Y28+Y29+Y30+Y31+Y32+Y33</f>
        <v>16290</v>
      </c>
      <c r="Z25" s="806">
        <f t="shared" si="30"/>
        <v>23880</v>
      </c>
      <c r="AA25" s="806">
        <f t="shared" si="30"/>
        <v>23825</v>
      </c>
      <c r="AB25" s="805"/>
      <c r="AC25" s="805"/>
      <c r="AD25" s="805"/>
      <c r="AE25" s="806">
        <f t="shared" ref="AE25:AG25" si="31">AE26+AE27+AE28+AE29+AE30+AE31+AE32+AE33</f>
        <v>27600</v>
      </c>
      <c r="AF25" s="806">
        <f t="shared" si="31"/>
        <v>12255</v>
      </c>
      <c r="AG25" s="806">
        <f t="shared" si="31"/>
        <v>42965</v>
      </c>
      <c r="AH25" s="806">
        <f>AH26+AH27+AH28+AH29+AH30+AH31+AH32+AH33</f>
        <v>273330</v>
      </c>
      <c r="AI25" s="806">
        <f>AI26+AI27+AI28+AI29+AI30+AI31+AI32+AI33</f>
        <v>94360</v>
      </c>
      <c r="AJ25" s="806"/>
      <c r="AK25" s="806"/>
      <c r="AL25" s="806">
        <f>AL26+AL27+AL28+AL29+AL30+AL31+AL32+AL33</f>
        <v>178970</v>
      </c>
      <c r="AM25" s="806"/>
      <c r="AN25" s="806"/>
      <c r="AO25" s="1073" t="s">
        <v>2384</v>
      </c>
      <c r="AP25" s="1073" t="s">
        <v>2385</v>
      </c>
      <c r="AQ25" s="1073"/>
    </row>
    <row r="26" spans="1:43" ht="60">
      <c r="A26" s="22" t="s">
        <v>2436</v>
      </c>
      <c r="B26" s="22" t="s">
        <v>2437</v>
      </c>
      <c r="C26" s="1220">
        <f t="shared" ref="C26:C33" si="32">+J26+K26+L26+P26+Q26+R26+V26+W26+X26+AB26+AC26+AD26</f>
        <v>233</v>
      </c>
      <c r="D26" s="1221" t="s">
        <v>1950</v>
      </c>
      <c r="E26" s="22" t="s">
        <v>2438</v>
      </c>
      <c r="F26" s="22" t="s">
        <v>2435</v>
      </c>
      <c r="G26" s="824">
        <f t="shared" si="0"/>
        <v>0.99443319378112438</v>
      </c>
      <c r="H26" s="824"/>
      <c r="I26" s="824">
        <f>+AH26/AH$25*100</f>
        <v>21.616727033256502</v>
      </c>
      <c r="J26" s="1222">
        <v>3</v>
      </c>
      <c r="K26" s="1222">
        <v>3</v>
      </c>
      <c r="L26" s="1222">
        <v>3</v>
      </c>
      <c r="M26" s="1223">
        <v>5370</v>
      </c>
      <c r="N26" s="1223">
        <v>5370</v>
      </c>
      <c r="O26" s="1223">
        <v>5370</v>
      </c>
      <c r="P26" s="1222">
        <v>27</v>
      </c>
      <c r="Q26" s="1222">
        <v>20</v>
      </c>
      <c r="R26" s="1222">
        <v>49</v>
      </c>
      <c r="S26" s="1223">
        <v>5370</v>
      </c>
      <c r="T26" s="1223">
        <v>5370</v>
      </c>
      <c r="U26" s="1223">
        <v>5370</v>
      </c>
      <c r="V26" s="1222">
        <v>37</v>
      </c>
      <c r="W26" s="1222">
        <v>20</v>
      </c>
      <c r="X26" s="1222">
        <v>21</v>
      </c>
      <c r="Y26" s="1223">
        <v>5370</v>
      </c>
      <c r="Z26" s="1223">
        <v>5370</v>
      </c>
      <c r="AA26" s="1223">
        <v>5370</v>
      </c>
      <c r="AB26" s="1222">
        <v>30</v>
      </c>
      <c r="AC26" s="1222">
        <v>20</v>
      </c>
      <c r="AD26" s="1222"/>
      <c r="AE26" s="1223">
        <v>5370</v>
      </c>
      <c r="AF26" s="1223">
        <v>5385</v>
      </c>
      <c r="AG26" s="1223"/>
      <c r="AH26" s="1223">
        <f t="shared" ref="AH26:AH33" si="33">M26+N26+O26+S26+T26+U26+Y26+Z26+AA26+AE26+AF26+AG26</f>
        <v>59085</v>
      </c>
      <c r="AI26" s="1223">
        <v>23190</v>
      </c>
      <c r="AJ26" s="1223"/>
      <c r="AK26" s="1223"/>
      <c r="AL26" s="1223">
        <v>35895</v>
      </c>
      <c r="AM26" s="1223"/>
      <c r="AN26" s="1223"/>
      <c r="AO26" s="1066" t="s">
        <v>2384</v>
      </c>
      <c r="AP26" s="1066" t="s">
        <v>2431</v>
      </c>
      <c r="AQ26" s="1066"/>
    </row>
    <row r="27" spans="1:43" ht="30">
      <c r="A27" s="22" t="s">
        <v>2439</v>
      </c>
      <c r="B27" s="22" t="s">
        <v>2440</v>
      </c>
      <c r="C27" s="1220">
        <f t="shared" si="32"/>
        <v>29</v>
      </c>
      <c r="D27" s="1221" t="s">
        <v>2441</v>
      </c>
      <c r="E27" s="22" t="s">
        <v>2442</v>
      </c>
      <c r="F27" s="22" t="s">
        <v>2443</v>
      </c>
      <c r="G27" s="824">
        <f t="shared" si="0"/>
        <v>0.55229457990907338</v>
      </c>
      <c r="H27" s="824"/>
      <c r="I27" s="824">
        <f t="shared" ref="I27:I33" si="34">+AH27/AH$25*100</f>
        <v>12.005634215051403</v>
      </c>
      <c r="J27" s="1222"/>
      <c r="K27" s="1222"/>
      <c r="L27" s="1222"/>
      <c r="M27" s="1223"/>
      <c r="N27" s="1223"/>
      <c r="O27" s="1223"/>
      <c r="P27" s="1222"/>
      <c r="Q27" s="1222"/>
      <c r="R27" s="1222"/>
      <c r="S27" s="1223"/>
      <c r="T27" s="1223"/>
      <c r="U27" s="1223"/>
      <c r="V27" s="1222"/>
      <c r="W27" s="1222"/>
      <c r="X27" s="1222"/>
      <c r="Y27" s="1223"/>
      <c r="Z27" s="1223"/>
      <c r="AA27" s="1223"/>
      <c r="AB27" s="1222">
        <v>5</v>
      </c>
      <c r="AC27" s="1222"/>
      <c r="AD27" s="1222">
        <v>24</v>
      </c>
      <c r="AE27" s="1223">
        <f>1130*AB27</f>
        <v>5650</v>
      </c>
      <c r="AF27" s="1223"/>
      <c r="AG27" s="1223">
        <f>AD27*1130+45</f>
        <v>27165</v>
      </c>
      <c r="AH27" s="1223">
        <f t="shared" si="33"/>
        <v>32815</v>
      </c>
      <c r="AI27" s="1223">
        <v>10460</v>
      </c>
      <c r="AJ27" s="1223"/>
      <c r="AK27" s="1223"/>
      <c r="AL27" s="1223">
        <v>22355</v>
      </c>
      <c r="AM27" s="1223"/>
      <c r="AN27" s="1223"/>
      <c r="AO27" s="1066" t="s">
        <v>2384</v>
      </c>
      <c r="AP27" s="1066" t="s">
        <v>2431</v>
      </c>
      <c r="AQ27" s="1066"/>
    </row>
    <row r="28" spans="1:43" ht="90">
      <c r="A28" s="22" t="s">
        <v>2444</v>
      </c>
      <c r="B28" s="22" t="s">
        <v>2445</v>
      </c>
      <c r="C28" s="1220">
        <f t="shared" si="32"/>
        <v>20</v>
      </c>
      <c r="D28" s="1221" t="s">
        <v>2446</v>
      </c>
      <c r="E28" s="22" t="s">
        <v>2447</v>
      </c>
      <c r="F28" s="22" t="s">
        <v>2448</v>
      </c>
      <c r="G28" s="824">
        <f t="shared" si="0"/>
        <v>0.18160166135056838</v>
      </c>
      <c r="H28" s="824"/>
      <c r="I28" s="824">
        <f t="shared" si="34"/>
        <v>3.9476091171843559</v>
      </c>
      <c r="J28" s="1222"/>
      <c r="K28" s="1222"/>
      <c r="L28" s="1222"/>
      <c r="M28" s="1223"/>
      <c r="N28" s="1223"/>
      <c r="O28" s="1223"/>
      <c r="P28" s="1222"/>
      <c r="Q28" s="1222"/>
      <c r="R28" s="1222"/>
      <c r="S28" s="1223"/>
      <c r="T28" s="1223"/>
      <c r="U28" s="1223"/>
      <c r="V28" s="1222"/>
      <c r="W28" s="1222"/>
      <c r="X28" s="1222"/>
      <c r="Y28" s="1223"/>
      <c r="Z28" s="1223"/>
      <c r="AA28" s="1223"/>
      <c r="AB28" s="1222"/>
      <c r="AC28" s="1222"/>
      <c r="AD28" s="1222">
        <v>20</v>
      </c>
      <c r="AE28" s="1223"/>
      <c r="AF28" s="1223"/>
      <c r="AG28" s="1223">
        <v>10790</v>
      </c>
      <c r="AH28" s="1223">
        <f t="shared" si="33"/>
        <v>10790</v>
      </c>
      <c r="AI28" s="1223">
        <v>5230</v>
      </c>
      <c r="AJ28" s="1223"/>
      <c r="AK28" s="1223"/>
      <c r="AL28" s="1223">
        <v>5560</v>
      </c>
      <c r="AM28" s="1223"/>
      <c r="AN28" s="1223"/>
      <c r="AO28" s="1066" t="s">
        <v>2384</v>
      </c>
      <c r="AP28" s="1066" t="s">
        <v>2431</v>
      </c>
      <c r="AQ28" s="1066" t="s">
        <v>2449</v>
      </c>
    </row>
    <row r="29" spans="1:43" ht="60">
      <c r="A29" s="22" t="s">
        <v>2450</v>
      </c>
      <c r="B29" s="22" t="s">
        <v>2451</v>
      </c>
      <c r="C29" s="1220">
        <f t="shared" si="32"/>
        <v>817</v>
      </c>
      <c r="D29" s="1221" t="s">
        <v>2452</v>
      </c>
      <c r="E29" s="22" t="s">
        <v>2453</v>
      </c>
      <c r="F29" s="22" t="s">
        <v>2454</v>
      </c>
      <c r="G29" s="824">
        <f t="shared" si="0"/>
        <v>0.79709496585383854</v>
      </c>
      <c r="H29" s="824"/>
      <c r="I29" s="824">
        <f t="shared" si="34"/>
        <v>17.327040573665535</v>
      </c>
      <c r="J29" s="1222">
        <v>89</v>
      </c>
      <c r="K29" s="1222">
        <v>94</v>
      </c>
      <c r="L29" s="1222">
        <v>37</v>
      </c>
      <c r="M29" s="1223">
        <f>J29*55</f>
        <v>4895</v>
      </c>
      <c r="N29" s="1223">
        <f>K29*60</f>
        <v>5640</v>
      </c>
      <c r="O29" s="1223">
        <f>L29*60</f>
        <v>2220</v>
      </c>
      <c r="P29" s="1222">
        <v>79</v>
      </c>
      <c r="Q29" s="1222">
        <v>104</v>
      </c>
      <c r="R29" s="1222">
        <v>60</v>
      </c>
      <c r="S29" s="1223">
        <f t="shared" ref="S29:U30" si="35">P29*55</f>
        <v>4345</v>
      </c>
      <c r="T29" s="1223">
        <f t="shared" si="35"/>
        <v>5720</v>
      </c>
      <c r="U29" s="1223">
        <f t="shared" si="35"/>
        <v>3300</v>
      </c>
      <c r="V29" s="1222">
        <v>92</v>
      </c>
      <c r="W29" s="1222">
        <v>74</v>
      </c>
      <c r="X29" s="1222">
        <v>75</v>
      </c>
      <c r="Y29" s="1223">
        <f>V29*60</f>
        <v>5520</v>
      </c>
      <c r="Z29" s="1223">
        <f>W29*60</f>
        <v>4440</v>
      </c>
      <c r="AA29" s="1223">
        <f>X29*60</f>
        <v>4500</v>
      </c>
      <c r="AB29" s="1222">
        <v>83</v>
      </c>
      <c r="AC29" s="1222">
        <v>20</v>
      </c>
      <c r="AD29" s="1222">
        <v>10</v>
      </c>
      <c r="AE29" s="1223">
        <f>AB29*60</f>
        <v>4980</v>
      </c>
      <c r="AF29" s="1223">
        <f>AC29*60</f>
        <v>1200</v>
      </c>
      <c r="AG29" s="1223">
        <f>AD29*60</f>
        <v>600</v>
      </c>
      <c r="AH29" s="1223">
        <f t="shared" si="33"/>
        <v>47360</v>
      </c>
      <c r="AI29" s="1223">
        <v>17510</v>
      </c>
      <c r="AJ29" s="1223"/>
      <c r="AK29" s="1223"/>
      <c r="AL29" s="1223">
        <v>29850</v>
      </c>
      <c r="AM29" s="1223"/>
      <c r="AN29" s="1223"/>
      <c r="AO29" s="1066" t="s">
        <v>2384</v>
      </c>
      <c r="AP29" s="1066" t="s">
        <v>2431</v>
      </c>
      <c r="AQ29" s="1066"/>
    </row>
    <row r="30" spans="1:43" ht="45">
      <c r="A30" s="22" t="s">
        <v>2455</v>
      </c>
      <c r="B30" s="1225" t="s">
        <v>2456</v>
      </c>
      <c r="C30" s="1220">
        <f t="shared" si="32"/>
        <v>318</v>
      </c>
      <c r="D30" s="1226" t="s">
        <v>419</v>
      </c>
      <c r="E30" s="1225" t="s">
        <v>2457</v>
      </c>
      <c r="F30" s="1225" t="s">
        <v>2458</v>
      </c>
      <c r="G30" s="824">
        <f t="shared" si="0"/>
        <v>0.30749419396430805</v>
      </c>
      <c r="H30" s="824"/>
      <c r="I30" s="824">
        <f t="shared" si="34"/>
        <v>6.684227856437273</v>
      </c>
      <c r="J30" s="1222"/>
      <c r="K30" s="1222">
        <v>35</v>
      </c>
      <c r="L30" s="1222">
        <v>33</v>
      </c>
      <c r="M30" s="1223"/>
      <c r="N30" s="1223">
        <f>K30*55</f>
        <v>1925</v>
      </c>
      <c r="O30" s="1223">
        <f>L30*55</f>
        <v>1815</v>
      </c>
      <c r="P30" s="1222">
        <v>38</v>
      </c>
      <c r="Q30" s="1222">
        <v>21</v>
      </c>
      <c r="R30" s="1222">
        <v>32</v>
      </c>
      <c r="S30" s="1223">
        <f t="shared" si="35"/>
        <v>2090</v>
      </c>
      <c r="T30" s="1223">
        <f t="shared" si="35"/>
        <v>1155</v>
      </c>
      <c r="U30" s="1223">
        <f t="shared" si="35"/>
        <v>1760</v>
      </c>
      <c r="V30" s="1222"/>
      <c r="W30" s="1222">
        <v>49</v>
      </c>
      <c r="X30" s="1222">
        <v>68</v>
      </c>
      <c r="Y30" s="1223"/>
      <c r="Z30" s="1223">
        <f t="shared" ref="Z30:AA30" si="36">W30*60</f>
        <v>2940</v>
      </c>
      <c r="AA30" s="1223">
        <f t="shared" si="36"/>
        <v>4080</v>
      </c>
      <c r="AB30" s="1222">
        <v>32</v>
      </c>
      <c r="AC30" s="1222">
        <v>5</v>
      </c>
      <c r="AD30" s="1222">
        <v>5</v>
      </c>
      <c r="AE30" s="1223">
        <f t="shared" ref="AE30:AF30" si="37">AB30*60</f>
        <v>1920</v>
      </c>
      <c r="AF30" s="1223">
        <f t="shared" si="37"/>
        <v>300</v>
      </c>
      <c r="AG30" s="1223">
        <f>AD30*55+10</f>
        <v>285</v>
      </c>
      <c r="AH30" s="1223">
        <f t="shared" si="33"/>
        <v>18270</v>
      </c>
      <c r="AI30" s="1223">
        <v>3410</v>
      </c>
      <c r="AJ30" s="1223"/>
      <c r="AK30" s="1223"/>
      <c r="AL30" s="1223">
        <v>14860</v>
      </c>
      <c r="AM30" s="1223"/>
      <c r="AN30" s="1223"/>
      <c r="AO30" s="1066" t="s">
        <v>2384</v>
      </c>
      <c r="AP30" s="1066" t="s">
        <v>2431</v>
      </c>
      <c r="AQ30" s="1066"/>
    </row>
    <row r="31" spans="1:43" ht="45">
      <c r="A31" s="22" t="s">
        <v>2459</v>
      </c>
      <c r="B31" s="1225" t="s">
        <v>2456</v>
      </c>
      <c r="C31" s="1220">
        <f t="shared" si="32"/>
        <v>108</v>
      </c>
      <c r="D31" s="1226" t="s">
        <v>424</v>
      </c>
      <c r="E31" s="1225" t="s">
        <v>2457</v>
      </c>
      <c r="F31" s="1225" t="s">
        <v>2458</v>
      </c>
      <c r="G31" s="824">
        <f t="shared" si="0"/>
        <v>0.30749419396430805</v>
      </c>
      <c r="H31" s="824"/>
      <c r="I31" s="824">
        <f t="shared" si="34"/>
        <v>6.684227856437273</v>
      </c>
      <c r="J31" s="1222"/>
      <c r="K31" s="1222">
        <v>11</v>
      </c>
      <c r="L31" s="1222">
        <v>4</v>
      </c>
      <c r="M31" s="1223"/>
      <c r="N31" s="1223">
        <f>K31*170</f>
        <v>1870</v>
      </c>
      <c r="O31" s="1223">
        <f>L31*170</f>
        <v>680</v>
      </c>
      <c r="P31" s="1222">
        <v>8</v>
      </c>
      <c r="Q31" s="1222">
        <v>22</v>
      </c>
      <c r="R31" s="1222">
        <v>17</v>
      </c>
      <c r="S31" s="1223">
        <f t="shared" ref="S31:U31" si="38">P31*170</f>
        <v>1360</v>
      </c>
      <c r="T31" s="1223">
        <f t="shared" si="38"/>
        <v>3740</v>
      </c>
      <c r="U31" s="1223">
        <f t="shared" si="38"/>
        <v>2890</v>
      </c>
      <c r="V31" s="1222"/>
      <c r="W31" s="1222">
        <v>15</v>
      </c>
      <c r="X31" s="1222">
        <v>10</v>
      </c>
      <c r="Y31" s="1223"/>
      <c r="Z31" s="1223">
        <f t="shared" ref="Z31:AA31" si="39">W31*170</f>
        <v>2550</v>
      </c>
      <c r="AA31" s="1223">
        <f t="shared" si="39"/>
        <v>1700</v>
      </c>
      <c r="AB31" s="1222">
        <v>11</v>
      </c>
      <c r="AC31" s="1222">
        <v>5</v>
      </c>
      <c r="AD31" s="1222">
        <v>5</v>
      </c>
      <c r="AE31" s="1223">
        <f t="shared" ref="AE31" si="40">AB31*170</f>
        <v>1870</v>
      </c>
      <c r="AF31" s="1223">
        <f>AC31*170-45</f>
        <v>805</v>
      </c>
      <c r="AG31" s="1223">
        <f>AD31*170-45</f>
        <v>805</v>
      </c>
      <c r="AH31" s="1223">
        <f t="shared" si="33"/>
        <v>18270</v>
      </c>
      <c r="AI31" s="1223">
        <v>3410</v>
      </c>
      <c r="AJ31" s="1223"/>
      <c r="AK31" s="1223"/>
      <c r="AL31" s="1223">
        <v>14860</v>
      </c>
      <c r="AM31" s="1223"/>
      <c r="AN31" s="1223"/>
      <c r="AO31" s="1066" t="s">
        <v>2384</v>
      </c>
      <c r="AP31" s="1066" t="s">
        <v>2431</v>
      </c>
      <c r="AQ31" s="1066"/>
    </row>
    <row r="32" spans="1:43" ht="45">
      <c r="A32" s="22" t="s">
        <v>2460</v>
      </c>
      <c r="B32" s="1225" t="s">
        <v>2456</v>
      </c>
      <c r="C32" s="1220">
        <f t="shared" si="32"/>
        <v>40</v>
      </c>
      <c r="D32" s="1226" t="s">
        <v>944</v>
      </c>
      <c r="E32" s="1225" t="s">
        <v>2457</v>
      </c>
      <c r="F32" s="1225" t="s">
        <v>2458</v>
      </c>
      <c r="G32" s="824">
        <f t="shared" si="0"/>
        <v>0.4654489290685791</v>
      </c>
      <c r="H32" s="824"/>
      <c r="I32" s="824">
        <f t="shared" si="34"/>
        <v>10.117806314711155</v>
      </c>
      <c r="J32" s="1222"/>
      <c r="K32" s="1222">
        <v>4</v>
      </c>
      <c r="L32" s="1222">
        <v>4</v>
      </c>
      <c r="M32" s="1223"/>
      <c r="N32" s="1223">
        <f>K32*690</f>
        <v>2760</v>
      </c>
      <c r="O32" s="1223">
        <f>L32*690</f>
        <v>2760</v>
      </c>
      <c r="P32" s="1222">
        <v>4</v>
      </c>
      <c r="Q32" s="1222">
        <v>4</v>
      </c>
      <c r="R32" s="1222">
        <v>5</v>
      </c>
      <c r="S32" s="1223">
        <f t="shared" ref="S32:U32" si="41">P32*690</f>
        <v>2760</v>
      </c>
      <c r="T32" s="1223">
        <f t="shared" si="41"/>
        <v>2760</v>
      </c>
      <c r="U32" s="1223">
        <f t="shared" si="41"/>
        <v>3450</v>
      </c>
      <c r="V32" s="1222"/>
      <c r="W32" s="1222">
        <v>7</v>
      </c>
      <c r="X32" s="1222">
        <v>6</v>
      </c>
      <c r="Y32" s="1223"/>
      <c r="Z32" s="1223">
        <f t="shared" ref="Z32:AA32" si="42">W32*690</f>
        <v>4830</v>
      </c>
      <c r="AA32" s="1223">
        <f t="shared" si="42"/>
        <v>4140</v>
      </c>
      <c r="AB32" s="1222">
        <v>4</v>
      </c>
      <c r="AC32" s="1222">
        <v>1</v>
      </c>
      <c r="AD32" s="1222">
        <v>1</v>
      </c>
      <c r="AE32" s="1223">
        <f t="shared" ref="AE32" si="43">AB32*690</f>
        <v>2760</v>
      </c>
      <c r="AF32" s="1223">
        <f>AC32*690+25</f>
        <v>715</v>
      </c>
      <c r="AG32" s="1223">
        <f>AD32*690+30</f>
        <v>720</v>
      </c>
      <c r="AH32" s="1223">
        <f t="shared" si="33"/>
        <v>27655</v>
      </c>
      <c r="AI32" s="1223">
        <v>7960</v>
      </c>
      <c r="AJ32" s="1223"/>
      <c r="AK32" s="1223"/>
      <c r="AL32" s="1223">
        <v>19695</v>
      </c>
      <c r="AM32" s="1223"/>
      <c r="AN32" s="1223"/>
      <c r="AO32" s="1066" t="s">
        <v>2384</v>
      </c>
      <c r="AP32" s="1066" t="s">
        <v>2431</v>
      </c>
      <c r="AQ32" s="1066"/>
    </row>
    <row r="33" spans="1:43" ht="60">
      <c r="A33" s="22" t="s">
        <v>2461</v>
      </c>
      <c r="B33" s="22" t="s">
        <v>2462</v>
      </c>
      <c r="C33" s="1220">
        <f t="shared" si="32"/>
        <v>2348</v>
      </c>
      <c r="D33" s="1221" t="s">
        <v>1950</v>
      </c>
      <c r="E33" s="22" t="s">
        <v>2463</v>
      </c>
      <c r="F33" s="22" t="s">
        <v>2464</v>
      </c>
      <c r="G33" s="824">
        <f t="shared" si="0"/>
        <v>0.99443319378112438</v>
      </c>
      <c r="H33" s="824"/>
      <c r="I33" s="824">
        <f t="shared" si="34"/>
        <v>21.616727033256502</v>
      </c>
      <c r="J33" s="1222">
        <v>255</v>
      </c>
      <c r="K33" s="1222">
        <v>288</v>
      </c>
      <c r="L33" s="1222">
        <v>181</v>
      </c>
      <c r="M33" s="1223">
        <f>J33*25</f>
        <v>6375</v>
      </c>
      <c r="N33" s="1223">
        <f t="shared" ref="N33:O33" si="44">K33*25</f>
        <v>7200</v>
      </c>
      <c r="O33" s="1223">
        <f t="shared" si="44"/>
        <v>4525</v>
      </c>
      <c r="P33" s="1222">
        <v>275</v>
      </c>
      <c r="Q33" s="1222">
        <v>199</v>
      </c>
      <c r="R33" s="1222">
        <v>178</v>
      </c>
      <c r="S33" s="1223">
        <f t="shared" ref="S33:U33" si="45">P33*25</f>
        <v>6875</v>
      </c>
      <c r="T33" s="1223">
        <f t="shared" si="45"/>
        <v>4975</v>
      </c>
      <c r="U33" s="1223">
        <f t="shared" si="45"/>
        <v>4450</v>
      </c>
      <c r="V33" s="1222">
        <v>216</v>
      </c>
      <c r="W33" s="1222">
        <v>150</v>
      </c>
      <c r="X33" s="1222">
        <v>158</v>
      </c>
      <c r="Y33" s="1223">
        <f t="shared" ref="Y33:Z33" si="46">V33*25</f>
        <v>5400</v>
      </c>
      <c r="Z33" s="1223">
        <f t="shared" si="46"/>
        <v>3750</v>
      </c>
      <c r="AA33" s="1223">
        <f>X33*25+85</f>
        <v>4035</v>
      </c>
      <c r="AB33" s="1222">
        <v>198</v>
      </c>
      <c r="AC33" s="1222">
        <v>150</v>
      </c>
      <c r="AD33" s="1222">
        <v>100</v>
      </c>
      <c r="AE33" s="1223">
        <f>AB33*25+100</f>
        <v>5050</v>
      </c>
      <c r="AF33" s="1223">
        <f>AC33*25+100</f>
        <v>3850</v>
      </c>
      <c r="AG33" s="1223">
        <f>AD33*25+100</f>
        <v>2600</v>
      </c>
      <c r="AH33" s="1223">
        <f t="shared" si="33"/>
        <v>59085</v>
      </c>
      <c r="AI33" s="1223">
        <v>23190</v>
      </c>
      <c r="AJ33" s="1223"/>
      <c r="AK33" s="1223"/>
      <c r="AL33" s="1223">
        <v>35895</v>
      </c>
      <c r="AM33" s="1223"/>
      <c r="AN33" s="1223"/>
      <c r="AO33" s="1066" t="s">
        <v>2384</v>
      </c>
      <c r="AP33" s="1066" t="s">
        <v>2431</v>
      </c>
      <c r="AQ33" s="1066"/>
    </row>
    <row r="34" spans="1:43" ht="75">
      <c r="A34" s="18" t="s">
        <v>2465</v>
      </c>
      <c r="B34" s="18" t="s">
        <v>536</v>
      </c>
      <c r="C34" s="642"/>
      <c r="D34" s="554" t="s">
        <v>445</v>
      </c>
      <c r="E34" s="18" t="s">
        <v>2466</v>
      </c>
      <c r="F34" s="18" t="s">
        <v>447</v>
      </c>
      <c r="G34" s="804">
        <f t="shared" si="0"/>
        <v>1.2161757228166887</v>
      </c>
      <c r="H34" s="804"/>
      <c r="I34" s="804"/>
      <c r="J34" s="805"/>
      <c r="K34" s="805"/>
      <c r="L34" s="805"/>
      <c r="M34" s="806"/>
      <c r="N34" s="806"/>
      <c r="O34" s="806"/>
      <c r="P34" s="805"/>
      <c r="Q34" s="805"/>
      <c r="R34" s="805"/>
      <c r="S34" s="806"/>
      <c r="T34" s="806"/>
      <c r="U34" s="806">
        <f t="shared" ref="U34" si="47">U35+U36</f>
        <v>9855</v>
      </c>
      <c r="V34" s="805"/>
      <c r="W34" s="805"/>
      <c r="X34" s="805"/>
      <c r="Y34" s="806">
        <f t="shared" ref="Y34:AA34" si="48">Y35+Y36</f>
        <v>6350</v>
      </c>
      <c r="Z34" s="806">
        <f t="shared" si="48"/>
        <v>31815</v>
      </c>
      <c r="AA34" s="806">
        <f t="shared" si="48"/>
        <v>22330</v>
      </c>
      <c r="AB34" s="805"/>
      <c r="AC34" s="805"/>
      <c r="AD34" s="805"/>
      <c r="AE34" s="806">
        <f t="shared" ref="AE34" si="49">AE35+AE36</f>
        <v>1910</v>
      </c>
      <c r="AF34" s="806"/>
      <c r="AG34" s="806"/>
      <c r="AH34" s="806">
        <f>AH35+AH36</f>
        <v>72260</v>
      </c>
      <c r="AI34" s="806">
        <f>AI35+AI36</f>
        <v>35020</v>
      </c>
      <c r="AJ34" s="806"/>
      <c r="AK34" s="806"/>
      <c r="AL34" s="806">
        <f>AL35+AL36</f>
        <v>37240</v>
      </c>
      <c r="AM34" s="806"/>
      <c r="AN34" s="806"/>
      <c r="AO34" s="1073" t="s">
        <v>2384</v>
      </c>
      <c r="AP34" s="1073" t="s">
        <v>2385</v>
      </c>
      <c r="AQ34" s="1073"/>
    </row>
    <row r="35" spans="1:43" ht="60">
      <c r="A35" s="22" t="s">
        <v>2467</v>
      </c>
      <c r="B35" s="22" t="s">
        <v>2468</v>
      </c>
      <c r="C35" s="1220">
        <f>+J35+K35+L35+P35+Q35+R35+V35+W35+X35+AB35+AC35+AD35</f>
        <v>11</v>
      </c>
      <c r="D35" s="1221" t="s">
        <v>604</v>
      </c>
      <c r="E35" s="22" t="s">
        <v>2469</v>
      </c>
      <c r="F35" s="22" t="s">
        <v>2470</v>
      </c>
      <c r="G35" s="824">
        <f t="shared" si="0"/>
        <v>0.60808786140834437</v>
      </c>
      <c r="H35" s="824"/>
      <c r="I35" s="824">
        <f>+AH35/AH$34*100</f>
        <v>50</v>
      </c>
      <c r="J35" s="1222"/>
      <c r="K35" s="1222"/>
      <c r="L35" s="1222"/>
      <c r="M35" s="1223"/>
      <c r="N35" s="1223"/>
      <c r="O35" s="1223"/>
      <c r="P35" s="1222"/>
      <c r="Q35" s="1222"/>
      <c r="R35" s="1222">
        <v>3</v>
      </c>
      <c r="S35" s="1223"/>
      <c r="T35" s="1223"/>
      <c r="U35" s="1223">
        <f>R35*3285</f>
        <v>9855</v>
      </c>
      <c r="V35" s="1222"/>
      <c r="W35" s="1222">
        <v>7</v>
      </c>
      <c r="X35" s="1222">
        <v>1</v>
      </c>
      <c r="Y35" s="1223"/>
      <c r="Z35" s="1223">
        <f t="shared" ref="Z35" si="50">W35*3285</f>
        <v>22995</v>
      </c>
      <c r="AA35" s="1223">
        <f>X35*3280</f>
        <v>3280</v>
      </c>
      <c r="AB35" s="1222"/>
      <c r="AC35" s="1222"/>
      <c r="AD35" s="1222"/>
      <c r="AE35" s="1223"/>
      <c r="AF35" s="1223"/>
      <c r="AG35" s="1223"/>
      <c r="AH35" s="1223">
        <f t="shared" ref="AH35:AH36" si="51">M35+N35+O35+S35+T35+U35+Y35+Z35+AA35+AE35+AF35+AG35</f>
        <v>36130</v>
      </c>
      <c r="AI35" s="1223">
        <v>17510</v>
      </c>
      <c r="AJ35" s="1223"/>
      <c r="AK35" s="1223"/>
      <c r="AL35" s="1223">
        <v>18620</v>
      </c>
      <c r="AM35" s="1223"/>
      <c r="AN35" s="1223"/>
      <c r="AO35" s="1066" t="s">
        <v>2395</v>
      </c>
      <c r="AP35" s="1066" t="s">
        <v>2396</v>
      </c>
      <c r="AQ35" s="1066"/>
    </row>
    <row r="36" spans="1:43" ht="45">
      <c r="A36" s="22" t="s">
        <v>2471</v>
      </c>
      <c r="B36" s="22" t="s">
        <v>2472</v>
      </c>
      <c r="C36" s="1220">
        <f>+J36+K36+L36+P36+Q36+R36+V36+W36+X36+AB36+AC36+AD36</f>
        <v>57</v>
      </c>
      <c r="D36" s="1221" t="s">
        <v>445</v>
      </c>
      <c r="E36" s="1227" t="s">
        <v>2473</v>
      </c>
      <c r="F36" s="22" t="s">
        <v>2474</v>
      </c>
      <c r="G36" s="824">
        <f t="shared" si="0"/>
        <v>0.60808786140834437</v>
      </c>
      <c r="H36" s="824"/>
      <c r="I36" s="824">
        <f>+AH36/AH$34*100</f>
        <v>50</v>
      </c>
      <c r="J36" s="1222"/>
      <c r="K36" s="1222"/>
      <c r="L36" s="1222"/>
      <c r="M36" s="1223"/>
      <c r="N36" s="1223"/>
      <c r="O36" s="1223"/>
      <c r="P36" s="1222"/>
      <c r="Q36" s="1222"/>
      <c r="R36" s="1222"/>
      <c r="S36" s="1223"/>
      <c r="T36" s="1223"/>
      <c r="U36" s="1223"/>
      <c r="V36" s="1222">
        <v>10</v>
      </c>
      <c r="W36" s="1222">
        <v>14</v>
      </c>
      <c r="X36" s="1222">
        <v>30</v>
      </c>
      <c r="Y36" s="1223">
        <f>V36*635</f>
        <v>6350</v>
      </c>
      <c r="Z36" s="1223">
        <f t="shared" ref="Z36" si="52">W36*630</f>
        <v>8820</v>
      </c>
      <c r="AA36" s="1223">
        <f>X36*635</f>
        <v>19050</v>
      </c>
      <c r="AB36" s="1222">
        <v>3</v>
      </c>
      <c r="AC36" s="1222"/>
      <c r="AD36" s="1222"/>
      <c r="AE36" s="1223">
        <f>AB36*635+5</f>
        <v>1910</v>
      </c>
      <c r="AF36" s="1223"/>
      <c r="AG36" s="1223"/>
      <c r="AH36" s="1223">
        <f t="shared" si="51"/>
        <v>36130</v>
      </c>
      <c r="AI36" s="1223">
        <v>17510</v>
      </c>
      <c r="AJ36" s="1223"/>
      <c r="AK36" s="1223"/>
      <c r="AL36" s="1223">
        <v>18620</v>
      </c>
      <c r="AM36" s="1223"/>
      <c r="AN36" s="1223"/>
      <c r="AO36" s="1066" t="s">
        <v>2395</v>
      </c>
      <c r="AP36" s="1066" t="s">
        <v>2396</v>
      </c>
      <c r="AQ36" s="1066"/>
    </row>
    <row r="37" spans="1:43" ht="30">
      <c r="A37" s="18" t="s">
        <v>2475</v>
      </c>
      <c r="B37" s="18" t="s">
        <v>2476</v>
      </c>
      <c r="C37" s="642"/>
      <c r="D37" s="554" t="s">
        <v>2441</v>
      </c>
      <c r="E37" s="18" t="s">
        <v>2477</v>
      </c>
      <c r="F37" s="18" t="s">
        <v>2478</v>
      </c>
      <c r="G37" s="804">
        <f t="shared" si="0"/>
        <v>0.30799911053896206</v>
      </c>
      <c r="H37" s="804"/>
      <c r="I37" s="804"/>
      <c r="J37" s="805"/>
      <c r="K37" s="805"/>
      <c r="L37" s="805"/>
      <c r="M37" s="806"/>
      <c r="N37" s="806"/>
      <c r="O37" s="806">
        <f t="shared" ref="O37" si="53">O38</f>
        <v>4030</v>
      </c>
      <c r="P37" s="805"/>
      <c r="Q37" s="805"/>
      <c r="R37" s="805"/>
      <c r="S37" s="806">
        <f t="shared" ref="S37:U37" si="54">S38</f>
        <v>1560</v>
      </c>
      <c r="T37" s="806">
        <f t="shared" si="54"/>
        <v>1300</v>
      </c>
      <c r="U37" s="806">
        <f t="shared" si="54"/>
        <v>2080</v>
      </c>
      <c r="V37" s="805"/>
      <c r="W37" s="805"/>
      <c r="X37" s="805"/>
      <c r="Y37" s="806"/>
      <c r="Z37" s="806">
        <f t="shared" ref="Z37:AA37" si="55">Z38</f>
        <v>1820</v>
      </c>
      <c r="AA37" s="806">
        <f t="shared" si="55"/>
        <v>1820</v>
      </c>
      <c r="AB37" s="805"/>
      <c r="AC37" s="805"/>
      <c r="AD37" s="805"/>
      <c r="AE37" s="806">
        <f t="shared" ref="AE37:AG37" si="56">AE38</f>
        <v>3090</v>
      </c>
      <c r="AF37" s="806">
        <f t="shared" si="56"/>
        <v>1300</v>
      </c>
      <c r="AG37" s="806">
        <f t="shared" si="56"/>
        <v>1300</v>
      </c>
      <c r="AH37" s="806">
        <f>AH38</f>
        <v>18300</v>
      </c>
      <c r="AI37" s="806">
        <f>AI38</f>
        <v>8870</v>
      </c>
      <c r="AJ37" s="806"/>
      <c r="AK37" s="806"/>
      <c r="AL37" s="806">
        <f>AL38</f>
        <v>9430</v>
      </c>
      <c r="AM37" s="806"/>
      <c r="AN37" s="806"/>
      <c r="AO37" s="1073" t="s">
        <v>2384</v>
      </c>
      <c r="AP37" s="1073" t="s">
        <v>2385</v>
      </c>
      <c r="AQ37" s="1073"/>
    </row>
    <row r="38" spans="1:43" ht="30">
      <c r="A38" s="22" t="s">
        <v>2479</v>
      </c>
      <c r="B38" s="22" t="s">
        <v>2480</v>
      </c>
      <c r="C38" s="1220">
        <f>+J38+K38+L38+P38+Q38+R38+V38+W38+X38+AB38+AC38+AD38</f>
        <v>140</v>
      </c>
      <c r="D38" s="1221" t="s">
        <v>2441</v>
      </c>
      <c r="E38" s="22" t="s">
        <v>2477</v>
      </c>
      <c r="F38" s="22" t="s">
        <v>2478</v>
      </c>
      <c r="G38" s="824">
        <f t="shared" si="0"/>
        <v>0.30799911053896206</v>
      </c>
      <c r="H38" s="824"/>
      <c r="I38" s="824">
        <f>+AH38/AH37*100</f>
        <v>100</v>
      </c>
      <c r="J38" s="1222"/>
      <c r="K38" s="1222"/>
      <c r="L38" s="1222">
        <v>31</v>
      </c>
      <c r="M38" s="1223"/>
      <c r="N38" s="1223"/>
      <c r="O38" s="1223">
        <f>L38*130</f>
        <v>4030</v>
      </c>
      <c r="P38" s="1222">
        <v>12</v>
      </c>
      <c r="Q38" s="1222">
        <v>10</v>
      </c>
      <c r="R38" s="1222">
        <v>16</v>
      </c>
      <c r="S38" s="1223">
        <f t="shared" ref="S38:U38" si="57">P38*130</f>
        <v>1560</v>
      </c>
      <c r="T38" s="1223">
        <f t="shared" si="57"/>
        <v>1300</v>
      </c>
      <c r="U38" s="1223">
        <f t="shared" si="57"/>
        <v>2080</v>
      </c>
      <c r="V38" s="1222"/>
      <c r="W38" s="1222">
        <v>14</v>
      </c>
      <c r="X38" s="1222">
        <v>14</v>
      </c>
      <c r="Y38" s="1223"/>
      <c r="Z38" s="1223">
        <f t="shared" ref="Z38:AA38" si="58">W38*130</f>
        <v>1820</v>
      </c>
      <c r="AA38" s="1223">
        <f t="shared" si="58"/>
        <v>1820</v>
      </c>
      <c r="AB38" s="1222">
        <v>23</v>
      </c>
      <c r="AC38" s="1222">
        <v>10</v>
      </c>
      <c r="AD38" s="1222">
        <v>10</v>
      </c>
      <c r="AE38" s="1223">
        <f>AB38*135-15</f>
        <v>3090</v>
      </c>
      <c r="AF38" s="1223">
        <f>AC38*130</f>
        <v>1300</v>
      </c>
      <c r="AG38" s="1223">
        <f>AD38*130</f>
        <v>1300</v>
      </c>
      <c r="AH38" s="1223">
        <f>M38+N38+O38+S38+T38+U38+Y38+Z38+AA38+AE38+AF38+AG38</f>
        <v>18300</v>
      </c>
      <c r="AI38" s="1223">
        <v>8870</v>
      </c>
      <c r="AJ38" s="1223"/>
      <c r="AK38" s="1223"/>
      <c r="AL38" s="1223">
        <v>9430</v>
      </c>
      <c r="AM38" s="1223"/>
      <c r="AN38" s="1223"/>
      <c r="AO38" s="1066" t="s">
        <v>2384</v>
      </c>
      <c r="AP38" s="1066" t="s">
        <v>2481</v>
      </c>
      <c r="AQ38" s="1066"/>
    </row>
    <row r="39" spans="1:43" ht="60">
      <c r="A39" s="18" t="s">
        <v>2482</v>
      </c>
      <c r="B39" s="18" t="s">
        <v>2483</v>
      </c>
      <c r="C39" s="642"/>
      <c r="D39" s="554" t="s">
        <v>445</v>
      </c>
      <c r="E39" s="18" t="s">
        <v>2484</v>
      </c>
      <c r="F39" s="18" t="s">
        <v>2485</v>
      </c>
      <c r="G39" s="804">
        <f t="shared" si="0"/>
        <v>0.58385186582495063</v>
      </c>
      <c r="H39" s="804"/>
      <c r="I39" s="804"/>
      <c r="J39" s="805"/>
      <c r="K39" s="805"/>
      <c r="L39" s="805"/>
      <c r="M39" s="806">
        <f t="shared" ref="M39:O39" si="59">M40</f>
        <v>2310</v>
      </c>
      <c r="N39" s="806">
        <f t="shared" si="59"/>
        <v>1760</v>
      </c>
      <c r="O39" s="806">
        <f t="shared" si="59"/>
        <v>3080</v>
      </c>
      <c r="P39" s="805"/>
      <c r="Q39" s="805"/>
      <c r="R39" s="805"/>
      <c r="S39" s="806">
        <f t="shared" ref="S39:U39" si="60">S40</f>
        <v>4510</v>
      </c>
      <c r="T39" s="806">
        <f t="shared" si="60"/>
        <v>2790</v>
      </c>
      <c r="U39" s="806">
        <f t="shared" si="60"/>
        <v>1955</v>
      </c>
      <c r="V39" s="805"/>
      <c r="W39" s="805"/>
      <c r="X39" s="805"/>
      <c r="Y39" s="806">
        <f t="shared" ref="Y39:AA39" si="61">Y40</f>
        <v>4830</v>
      </c>
      <c r="Z39" s="806">
        <f t="shared" si="61"/>
        <v>3565</v>
      </c>
      <c r="AA39" s="806">
        <f t="shared" si="61"/>
        <v>4025</v>
      </c>
      <c r="AB39" s="805"/>
      <c r="AC39" s="805"/>
      <c r="AD39" s="805"/>
      <c r="AE39" s="806">
        <f t="shared" ref="AE39:AG39" si="62">AE40</f>
        <v>2415</v>
      </c>
      <c r="AF39" s="806">
        <f t="shared" si="62"/>
        <v>1725</v>
      </c>
      <c r="AG39" s="806">
        <f t="shared" si="62"/>
        <v>1725</v>
      </c>
      <c r="AH39" s="806">
        <f>AH40</f>
        <v>34690</v>
      </c>
      <c r="AI39" s="806">
        <f>AI40</f>
        <v>11370</v>
      </c>
      <c r="AJ39" s="806"/>
      <c r="AK39" s="806"/>
      <c r="AL39" s="806">
        <f>AL40</f>
        <v>23320</v>
      </c>
      <c r="AM39" s="806"/>
      <c r="AN39" s="806"/>
      <c r="AO39" s="1073" t="s">
        <v>2384</v>
      </c>
      <c r="AP39" s="1073" t="s">
        <v>2385</v>
      </c>
      <c r="AQ39" s="1073"/>
    </row>
    <row r="40" spans="1:43" ht="75">
      <c r="A40" s="22" t="s">
        <v>2486</v>
      </c>
      <c r="B40" s="22" t="s">
        <v>2487</v>
      </c>
      <c r="C40" s="1220">
        <f>+J40+K40+L40+P40+Q40+R40+V40+W40+X40+AB40+AC40+AD40</f>
        <v>307</v>
      </c>
      <c r="D40" s="1221" t="s">
        <v>2488</v>
      </c>
      <c r="E40" s="22" t="s">
        <v>2489</v>
      </c>
      <c r="F40" s="22" t="s">
        <v>2490</v>
      </c>
      <c r="G40" s="824">
        <f t="shared" si="0"/>
        <v>0.58385186582495063</v>
      </c>
      <c r="H40" s="824"/>
      <c r="I40" s="824">
        <f>+AH40/AH39*100</f>
        <v>100</v>
      </c>
      <c r="J40" s="1222">
        <v>21</v>
      </c>
      <c r="K40" s="1222">
        <v>16</v>
      </c>
      <c r="L40" s="1222">
        <v>28</v>
      </c>
      <c r="M40" s="1223">
        <f>J40*110</f>
        <v>2310</v>
      </c>
      <c r="N40" s="1223">
        <f t="shared" ref="N40:O40" si="63">K40*110</f>
        <v>1760</v>
      </c>
      <c r="O40" s="1223">
        <f t="shared" si="63"/>
        <v>3080</v>
      </c>
      <c r="P40" s="1222">
        <v>41</v>
      </c>
      <c r="Q40" s="1222">
        <v>25</v>
      </c>
      <c r="R40" s="1222">
        <v>17</v>
      </c>
      <c r="S40" s="1223">
        <f>P40*110</f>
        <v>4510</v>
      </c>
      <c r="T40" s="1223">
        <f>Q40*115-85</f>
        <v>2790</v>
      </c>
      <c r="U40" s="1223">
        <f>R40*115</f>
        <v>1955</v>
      </c>
      <c r="V40" s="1222">
        <v>42</v>
      </c>
      <c r="W40" s="1222">
        <v>31</v>
      </c>
      <c r="X40" s="1222">
        <v>35</v>
      </c>
      <c r="Y40" s="1223">
        <f>V40*115</f>
        <v>4830</v>
      </c>
      <c r="Z40" s="1223">
        <f>W40*115</f>
        <v>3565</v>
      </c>
      <c r="AA40" s="1223">
        <f>X40*115</f>
        <v>4025</v>
      </c>
      <c r="AB40" s="1222">
        <v>21</v>
      </c>
      <c r="AC40" s="1222">
        <v>15</v>
      </c>
      <c r="AD40" s="1222">
        <v>15</v>
      </c>
      <c r="AE40" s="1223">
        <f>AB40*115</f>
        <v>2415</v>
      </c>
      <c r="AF40" s="1223">
        <f>AC40*115</f>
        <v>1725</v>
      </c>
      <c r="AG40" s="1223">
        <f>AD40*115</f>
        <v>1725</v>
      </c>
      <c r="AH40" s="1223">
        <f>M40+N40+O40+S40+T40+U40+Y40+Z40+AA40+AE40+AF40+AG40</f>
        <v>34690</v>
      </c>
      <c r="AI40" s="1223">
        <v>11370</v>
      </c>
      <c r="AJ40" s="1223"/>
      <c r="AK40" s="1223"/>
      <c r="AL40" s="1223">
        <v>23320</v>
      </c>
      <c r="AM40" s="1223"/>
      <c r="AN40" s="1223"/>
      <c r="AO40" s="1066" t="s">
        <v>2384</v>
      </c>
      <c r="AP40" s="1066" t="s">
        <v>2481</v>
      </c>
      <c r="AQ40" s="1066"/>
    </row>
    <row r="41" spans="1:43" ht="60">
      <c r="A41" s="18" t="s">
        <v>2491</v>
      </c>
      <c r="B41" s="18" t="s">
        <v>542</v>
      </c>
      <c r="C41" s="642"/>
      <c r="D41" s="554" t="s">
        <v>445</v>
      </c>
      <c r="E41" s="18" t="s">
        <v>700</v>
      </c>
      <c r="F41" s="18" t="s">
        <v>447</v>
      </c>
      <c r="G41" s="804">
        <f t="shared" si="0"/>
        <v>1.4842022711955396</v>
      </c>
      <c r="H41" s="804"/>
      <c r="I41" s="804"/>
      <c r="J41" s="805"/>
      <c r="K41" s="805"/>
      <c r="L41" s="805"/>
      <c r="M41" s="806">
        <f t="shared" ref="M41:O41" si="64">M42+M43+M44+M45+M46+M47</f>
        <v>5565</v>
      </c>
      <c r="N41" s="806">
        <f t="shared" si="64"/>
        <v>6060</v>
      </c>
      <c r="O41" s="806">
        <f t="shared" si="64"/>
        <v>5860</v>
      </c>
      <c r="P41" s="805"/>
      <c r="Q41" s="805"/>
      <c r="R41" s="805"/>
      <c r="S41" s="806">
        <f t="shared" ref="S41:U41" si="65">S42+S43+S44+S45+S46+S47</f>
        <v>5510</v>
      </c>
      <c r="T41" s="806">
        <f t="shared" si="65"/>
        <v>5145</v>
      </c>
      <c r="U41" s="806">
        <f t="shared" si="65"/>
        <v>5585</v>
      </c>
      <c r="V41" s="805"/>
      <c r="W41" s="805"/>
      <c r="X41" s="805"/>
      <c r="Y41" s="806">
        <f t="shared" ref="Y41:AA41" si="66">Y42+Y43+Y44+Y45+Y46+Y47</f>
        <v>9130</v>
      </c>
      <c r="Z41" s="806">
        <f t="shared" si="66"/>
        <v>4710</v>
      </c>
      <c r="AA41" s="806">
        <f t="shared" si="66"/>
        <v>7820</v>
      </c>
      <c r="AB41" s="805"/>
      <c r="AC41" s="805"/>
      <c r="AD41" s="805"/>
      <c r="AE41" s="806">
        <f t="shared" ref="AE41:AG41" si="67">AE42+AE43+AE44+AE45+AE46+AE47</f>
        <v>8770</v>
      </c>
      <c r="AF41" s="806">
        <f t="shared" si="67"/>
        <v>5880</v>
      </c>
      <c r="AG41" s="806">
        <f t="shared" si="67"/>
        <v>18150</v>
      </c>
      <c r="AH41" s="806">
        <f>AH42+AH43+AH44+AH45+AH46+AH47</f>
        <v>88185</v>
      </c>
      <c r="AI41" s="806">
        <f>AI42+AI43+AI44+AI45+AI46+AI47</f>
        <v>42845</v>
      </c>
      <c r="AJ41" s="806"/>
      <c r="AK41" s="806"/>
      <c r="AL41" s="806">
        <f>AL42+AL43+AL44+AL45+AL46+AL47</f>
        <v>45340</v>
      </c>
      <c r="AM41" s="806"/>
      <c r="AN41" s="806"/>
      <c r="AO41" s="1073" t="s">
        <v>2384</v>
      </c>
      <c r="AP41" s="1073" t="s">
        <v>2385</v>
      </c>
      <c r="AQ41" s="1073"/>
    </row>
    <row r="42" spans="1:43" ht="60">
      <c r="A42" s="1228" t="s">
        <v>2492</v>
      </c>
      <c r="B42" s="1229" t="s">
        <v>2493</v>
      </c>
      <c r="C42" s="1220">
        <f>MAX(J42,K42,L42,P42,Q42,R42,V42,W42,X42,AB42,AC42,AD42)</f>
        <v>400</v>
      </c>
      <c r="D42" s="1221" t="s">
        <v>419</v>
      </c>
      <c r="E42" s="1230" t="s">
        <v>2494</v>
      </c>
      <c r="F42" s="1230" t="s">
        <v>2495</v>
      </c>
      <c r="G42" s="824">
        <f t="shared" si="0"/>
        <v>0.11848708951881384</v>
      </c>
      <c r="H42" s="824"/>
      <c r="I42" s="824">
        <f>+AH42/AH$41*100</f>
        <v>7.9832171004139028</v>
      </c>
      <c r="J42" s="1222"/>
      <c r="K42" s="1222"/>
      <c r="L42" s="1222"/>
      <c r="M42" s="1223"/>
      <c r="N42" s="1223"/>
      <c r="O42" s="1223"/>
      <c r="P42" s="1222"/>
      <c r="Q42" s="1222"/>
      <c r="R42" s="1222"/>
      <c r="S42" s="1223"/>
      <c r="T42" s="1223"/>
      <c r="U42" s="1223"/>
      <c r="V42" s="1222"/>
      <c r="W42" s="1222"/>
      <c r="X42" s="1222"/>
      <c r="Y42" s="1223"/>
      <c r="Z42" s="1223"/>
      <c r="AA42" s="1223"/>
      <c r="AB42" s="1222"/>
      <c r="AC42" s="1222"/>
      <c r="AD42" s="1222">
        <v>400</v>
      </c>
      <c r="AE42" s="1223"/>
      <c r="AF42" s="1223"/>
      <c r="AG42" s="1223">
        <v>7040</v>
      </c>
      <c r="AH42" s="1223">
        <f t="shared" ref="AH42:AH47" si="68">M42+N42+O42+S42+T42+U42+Y42+Z42+AA42+AE42+AF42+AG42</f>
        <v>7040</v>
      </c>
      <c r="AI42" s="1223">
        <v>3410</v>
      </c>
      <c r="AJ42" s="1223"/>
      <c r="AK42" s="1223"/>
      <c r="AL42" s="1223">
        <v>3630</v>
      </c>
      <c r="AM42" s="1223"/>
      <c r="AN42" s="1223"/>
      <c r="AO42" s="1066" t="s">
        <v>2384</v>
      </c>
      <c r="AP42" s="1066" t="s">
        <v>2496</v>
      </c>
      <c r="AQ42" s="1066" t="s">
        <v>2497</v>
      </c>
    </row>
    <row r="43" spans="1:43" ht="60">
      <c r="A43" s="1228" t="s">
        <v>2498</v>
      </c>
      <c r="B43" s="1229" t="s">
        <v>2493</v>
      </c>
      <c r="C43" s="1220">
        <f>MAX(J43,K43,L43,P43,Q43,R43,V43,W43,X43,AB43,AC43,AD43)</f>
        <v>60</v>
      </c>
      <c r="D43" s="1221" t="s">
        <v>424</v>
      </c>
      <c r="E43" s="1230" t="s">
        <v>2494</v>
      </c>
      <c r="F43" s="1230" t="s">
        <v>2495</v>
      </c>
      <c r="G43" s="824">
        <f t="shared" si="0"/>
        <v>0.11848708951881384</v>
      </c>
      <c r="H43" s="824"/>
      <c r="I43" s="824">
        <f t="shared" ref="I43:I47" si="69">+AH43/AH$41*100</f>
        <v>7.9832171004139028</v>
      </c>
      <c r="J43" s="1222"/>
      <c r="K43" s="1222"/>
      <c r="L43" s="1222"/>
      <c r="M43" s="1223"/>
      <c r="N43" s="1223"/>
      <c r="O43" s="1223"/>
      <c r="P43" s="1222"/>
      <c r="Q43" s="1222"/>
      <c r="R43" s="1222"/>
      <c r="S43" s="1223"/>
      <c r="T43" s="1223"/>
      <c r="U43" s="1223"/>
      <c r="V43" s="1222"/>
      <c r="W43" s="1222"/>
      <c r="X43" s="1222"/>
      <c r="Y43" s="1223"/>
      <c r="Z43" s="1223"/>
      <c r="AA43" s="1223"/>
      <c r="AB43" s="1222"/>
      <c r="AC43" s="1222"/>
      <c r="AD43" s="1222">
        <v>60</v>
      </c>
      <c r="AE43" s="1223"/>
      <c r="AF43" s="1223"/>
      <c r="AG43" s="1223">
        <v>7040</v>
      </c>
      <c r="AH43" s="1223">
        <f t="shared" si="68"/>
        <v>7040</v>
      </c>
      <c r="AI43" s="1223">
        <v>3410</v>
      </c>
      <c r="AJ43" s="1223"/>
      <c r="AK43" s="1223"/>
      <c r="AL43" s="1223">
        <v>3630</v>
      </c>
      <c r="AM43" s="1223"/>
      <c r="AN43" s="1223"/>
      <c r="AO43" s="1066" t="s">
        <v>2384</v>
      </c>
      <c r="AP43" s="1066" t="s">
        <v>2496</v>
      </c>
      <c r="AQ43" s="1066" t="s">
        <v>2497</v>
      </c>
    </row>
    <row r="44" spans="1:43" ht="60">
      <c r="A44" s="1228" t="s">
        <v>2499</v>
      </c>
      <c r="B44" s="1229" t="s">
        <v>2493</v>
      </c>
      <c r="C44" s="1220">
        <f t="shared" ref="C44:C47" si="70">+J44+K44+L44+P44+Q44+R44+V44+W44+X44+AB44+AC44+AD44</f>
        <v>1600</v>
      </c>
      <c r="D44" s="1221" t="s">
        <v>944</v>
      </c>
      <c r="E44" s="1230" t="s">
        <v>2494</v>
      </c>
      <c r="F44" s="1230" t="s">
        <v>2495</v>
      </c>
      <c r="G44" s="824">
        <f t="shared" si="0"/>
        <v>0.36328747546357909</v>
      </c>
      <c r="H44" s="824"/>
      <c r="I44" s="824">
        <f t="shared" si="69"/>
        <v>24.476951862561659</v>
      </c>
      <c r="J44" s="1222">
        <v>120</v>
      </c>
      <c r="K44" s="1222">
        <v>150</v>
      </c>
      <c r="L44" s="1222">
        <v>120</v>
      </c>
      <c r="M44" s="1223">
        <v>1620</v>
      </c>
      <c r="N44" s="1223">
        <v>2025</v>
      </c>
      <c r="O44" s="1223">
        <v>1620</v>
      </c>
      <c r="P44" s="1222">
        <v>120</v>
      </c>
      <c r="Q44" s="1222">
        <v>150</v>
      </c>
      <c r="R44" s="1222">
        <v>130</v>
      </c>
      <c r="S44" s="1223">
        <v>1620</v>
      </c>
      <c r="T44" s="1223">
        <v>2025</v>
      </c>
      <c r="U44" s="1223">
        <v>1755</v>
      </c>
      <c r="V44" s="1222">
        <v>120</v>
      </c>
      <c r="W44" s="1222">
        <v>120</v>
      </c>
      <c r="X44" s="1222">
        <v>150</v>
      </c>
      <c r="Y44" s="1223">
        <v>1620</v>
      </c>
      <c r="Z44" s="1223">
        <v>1620</v>
      </c>
      <c r="AA44" s="1223">
        <v>2025</v>
      </c>
      <c r="AB44" s="1222">
        <v>150</v>
      </c>
      <c r="AC44" s="1222">
        <v>150</v>
      </c>
      <c r="AD44" s="1222">
        <v>120</v>
      </c>
      <c r="AE44" s="1223">
        <v>2025</v>
      </c>
      <c r="AF44" s="1223">
        <v>2025</v>
      </c>
      <c r="AG44" s="1223">
        <v>1605</v>
      </c>
      <c r="AH44" s="1223">
        <f t="shared" si="68"/>
        <v>21585</v>
      </c>
      <c r="AI44" s="1223">
        <v>10460</v>
      </c>
      <c r="AJ44" s="1223"/>
      <c r="AK44" s="1223"/>
      <c r="AL44" s="1223">
        <v>11125</v>
      </c>
      <c r="AM44" s="1223"/>
      <c r="AN44" s="1223"/>
      <c r="AO44" s="1066" t="s">
        <v>2384</v>
      </c>
      <c r="AP44" s="1066" t="s">
        <v>2496</v>
      </c>
      <c r="AQ44" s="1066"/>
    </row>
    <row r="45" spans="1:43" ht="60">
      <c r="A45" s="1228" t="s">
        <v>2500</v>
      </c>
      <c r="B45" s="1229" t="s">
        <v>2501</v>
      </c>
      <c r="C45" s="1220">
        <f t="shared" si="70"/>
        <v>563</v>
      </c>
      <c r="D45" s="1231" t="s">
        <v>419</v>
      </c>
      <c r="E45" s="1230" t="s">
        <v>2502</v>
      </c>
      <c r="F45" s="1230" t="s">
        <v>2503</v>
      </c>
      <c r="G45" s="824">
        <f t="shared" si="0"/>
        <v>0.30000459810693986</v>
      </c>
      <c r="H45" s="824"/>
      <c r="I45" s="824">
        <f t="shared" si="69"/>
        <v>20.213188183931507</v>
      </c>
      <c r="J45" s="1222">
        <v>36</v>
      </c>
      <c r="K45" s="1222">
        <v>39</v>
      </c>
      <c r="L45" s="1222">
        <v>42</v>
      </c>
      <c r="M45" s="1223">
        <f>J45*30</f>
        <v>1080</v>
      </c>
      <c r="N45" s="1223">
        <f>K45*30</f>
        <v>1170</v>
      </c>
      <c r="O45" s="1223">
        <f>L45*30</f>
        <v>1260</v>
      </c>
      <c r="P45" s="1222">
        <v>38</v>
      </c>
      <c r="Q45" s="1222">
        <v>43</v>
      </c>
      <c r="R45" s="1222">
        <v>36</v>
      </c>
      <c r="S45" s="1223">
        <f t="shared" ref="S45:U45" si="71">P45*30</f>
        <v>1140</v>
      </c>
      <c r="T45" s="1223">
        <f t="shared" si="71"/>
        <v>1290</v>
      </c>
      <c r="U45" s="1223">
        <f t="shared" si="71"/>
        <v>1080</v>
      </c>
      <c r="V45" s="1222">
        <v>86</v>
      </c>
      <c r="W45" s="1222">
        <v>42</v>
      </c>
      <c r="X45" s="1222">
        <v>76</v>
      </c>
      <c r="Y45" s="1223">
        <f t="shared" ref="Y45:Z45" si="72">V45*30</f>
        <v>2580</v>
      </c>
      <c r="Z45" s="1223">
        <f t="shared" si="72"/>
        <v>1260</v>
      </c>
      <c r="AA45" s="1223">
        <f>X45*35-70</f>
        <v>2590</v>
      </c>
      <c r="AB45" s="1222">
        <v>65</v>
      </c>
      <c r="AC45" s="1222">
        <v>35</v>
      </c>
      <c r="AD45" s="1222">
        <v>25</v>
      </c>
      <c r="AE45" s="1223">
        <f>AB45*35</f>
        <v>2275</v>
      </c>
      <c r="AF45" s="1223">
        <f>AC45*35</f>
        <v>1225</v>
      </c>
      <c r="AG45" s="1223">
        <f>AD45*35</f>
        <v>875</v>
      </c>
      <c r="AH45" s="1223">
        <f t="shared" si="68"/>
        <v>17825</v>
      </c>
      <c r="AI45" s="1223">
        <f>3410+10785</f>
        <v>14195</v>
      </c>
      <c r="AJ45" s="1223"/>
      <c r="AK45" s="1223"/>
      <c r="AL45" s="1223">
        <v>3630</v>
      </c>
      <c r="AM45" s="1223"/>
      <c r="AN45" s="1223"/>
      <c r="AO45" s="1066" t="s">
        <v>2384</v>
      </c>
      <c r="AP45" s="1066" t="s">
        <v>2496</v>
      </c>
      <c r="AQ45" s="1066"/>
    </row>
    <row r="46" spans="1:43" ht="60">
      <c r="A46" s="1228" t="s">
        <v>2504</v>
      </c>
      <c r="B46" s="1229" t="s">
        <v>2501</v>
      </c>
      <c r="C46" s="1220">
        <f t="shared" si="70"/>
        <v>159</v>
      </c>
      <c r="D46" s="1231" t="s">
        <v>424</v>
      </c>
      <c r="E46" s="1230" t="s">
        <v>2502</v>
      </c>
      <c r="F46" s="1230" t="s">
        <v>2503</v>
      </c>
      <c r="G46" s="824">
        <f t="shared" si="0"/>
        <v>0.30749419396430805</v>
      </c>
      <c r="H46" s="824"/>
      <c r="I46" s="824">
        <f t="shared" si="69"/>
        <v>20.717809151216194</v>
      </c>
      <c r="J46" s="1222">
        <v>16</v>
      </c>
      <c r="K46" s="1222">
        <v>16</v>
      </c>
      <c r="L46" s="1222">
        <v>17</v>
      </c>
      <c r="M46" s="1223">
        <f>J46*115</f>
        <v>1840</v>
      </c>
      <c r="N46" s="1223">
        <f>K46*115</f>
        <v>1840</v>
      </c>
      <c r="O46" s="1223">
        <f>L46*115</f>
        <v>1955</v>
      </c>
      <c r="P46" s="1222">
        <v>15</v>
      </c>
      <c r="Q46" s="1222">
        <v>7</v>
      </c>
      <c r="R46" s="1222">
        <v>15</v>
      </c>
      <c r="S46" s="1223">
        <f t="shared" ref="S46:U46" si="73">P46*115</f>
        <v>1725</v>
      </c>
      <c r="T46" s="1223">
        <f t="shared" si="73"/>
        <v>805</v>
      </c>
      <c r="U46" s="1223">
        <f t="shared" si="73"/>
        <v>1725</v>
      </c>
      <c r="V46" s="1222">
        <v>25</v>
      </c>
      <c r="W46" s="1222">
        <v>7</v>
      </c>
      <c r="X46" s="1222">
        <v>10</v>
      </c>
      <c r="Y46" s="1223">
        <f t="shared" ref="Y46:AA46" si="74">V46*115</f>
        <v>2875</v>
      </c>
      <c r="Z46" s="1223">
        <f t="shared" si="74"/>
        <v>805</v>
      </c>
      <c r="AA46" s="1223">
        <f t="shared" si="74"/>
        <v>1150</v>
      </c>
      <c r="AB46" s="1222">
        <v>21</v>
      </c>
      <c r="AC46" s="1222">
        <v>5</v>
      </c>
      <c r="AD46" s="1222">
        <v>5</v>
      </c>
      <c r="AE46" s="1223">
        <f t="shared" ref="AE46:AF46" si="75">AB46*115</f>
        <v>2415</v>
      </c>
      <c r="AF46" s="1223">
        <f t="shared" si="75"/>
        <v>575</v>
      </c>
      <c r="AG46" s="1223">
        <f>AD46*115-15</f>
        <v>560</v>
      </c>
      <c r="AH46" s="1223">
        <f t="shared" si="68"/>
        <v>18270</v>
      </c>
      <c r="AI46" s="1223">
        <v>3410</v>
      </c>
      <c r="AJ46" s="1223"/>
      <c r="AK46" s="1223"/>
      <c r="AL46" s="1223">
        <v>14860</v>
      </c>
      <c r="AM46" s="1223"/>
      <c r="AN46" s="1223"/>
      <c r="AO46" s="1066" t="s">
        <v>2384</v>
      </c>
      <c r="AP46" s="1066" t="s">
        <v>2496</v>
      </c>
      <c r="AQ46" s="1066"/>
    </row>
    <row r="47" spans="1:43" ht="60">
      <c r="A47" s="1228" t="s">
        <v>2505</v>
      </c>
      <c r="B47" s="1229" t="s">
        <v>2501</v>
      </c>
      <c r="C47" s="1220">
        <f t="shared" si="70"/>
        <v>79</v>
      </c>
      <c r="D47" s="1231" t="s">
        <v>944</v>
      </c>
      <c r="E47" s="1230" t="s">
        <v>2502</v>
      </c>
      <c r="F47" s="1230" t="s">
        <v>2503</v>
      </c>
      <c r="G47" s="824">
        <f t="shared" si="0"/>
        <v>0.27644182462308486</v>
      </c>
      <c r="H47" s="824"/>
      <c r="I47" s="824">
        <f t="shared" si="69"/>
        <v>18.625616601462834</v>
      </c>
      <c r="J47" s="1222">
        <v>5</v>
      </c>
      <c r="K47" s="1222">
        <v>5</v>
      </c>
      <c r="L47" s="1222">
        <v>5</v>
      </c>
      <c r="M47" s="1223">
        <v>1025</v>
      </c>
      <c r="N47" s="1223">
        <v>1025</v>
      </c>
      <c r="O47" s="1223">
        <v>1025</v>
      </c>
      <c r="P47" s="1222">
        <v>5</v>
      </c>
      <c r="Q47" s="1222">
        <v>5</v>
      </c>
      <c r="R47" s="1222">
        <v>5</v>
      </c>
      <c r="S47" s="1223">
        <v>1025</v>
      </c>
      <c r="T47" s="1223">
        <v>1025</v>
      </c>
      <c r="U47" s="1223">
        <v>1025</v>
      </c>
      <c r="V47" s="1222">
        <v>10</v>
      </c>
      <c r="W47" s="1222">
        <v>5</v>
      </c>
      <c r="X47" s="1222">
        <v>9</v>
      </c>
      <c r="Y47" s="1223">
        <v>2055</v>
      </c>
      <c r="Z47" s="1223">
        <v>1025</v>
      </c>
      <c r="AA47" s="1223">
        <v>2055</v>
      </c>
      <c r="AB47" s="1222">
        <v>10</v>
      </c>
      <c r="AC47" s="1222">
        <v>10</v>
      </c>
      <c r="AD47" s="1222">
        <v>5</v>
      </c>
      <c r="AE47" s="1223">
        <v>2055</v>
      </c>
      <c r="AF47" s="1223">
        <v>2055</v>
      </c>
      <c r="AG47" s="1223">
        <v>1030</v>
      </c>
      <c r="AH47" s="1223">
        <f t="shared" si="68"/>
        <v>16425</v>
      </c>
      <c r="AI47" s="1223">
        <v>7960</v>
      </c>
      <c r="AJ47" s="1223"/>
      <c r="AK47" s="1223"/>
      <c r="AL47" s="1223">
        <v>8465</v>
      </c>
      <c r="AM47" s="1223"/>
      <c r="AN47" s="1223"/>
      <c r="AO47" s="1066" t="s">
        <v>2384</v>
      </c>
      <c r="AP47" s="1066" t="s">
        <v>2496</v>
      </c>
      <c r="AQ47" s="1066"/>
    </row>
    <row r="48" spans="1:43" ht="30">
      <c r="A48" s="18" t="s">
        <v>2506</v>
      </c>
      <c r="B48" s="18" t="s">
        <v>2507</v>
      </c>
      <c r="C48" s="642"/>
      <c r="D48" s="554" t="s">
        <v>445</v>
      </c>
      <c r="E48" s="18" t="s">
        <v>2508</v>
      </c>
      <c r="F48" s="18" t="s">
        <v>2509</v>
      </c>
      <c r="G48" s="804">
        <f t="shared" si="0"/>
        <v>0.710670078825556</v>
      </c>
      <c r="H48" s="804"/>
      <c r="I48" s="804"/>
      <c r="J48" s="805"/>
      <c r="K48" s="805"/>
      <c r="L48" s="805"/>
      <c r="M48" s="806"/>
      <c r="N48" s="806"/>
      <c r="O48" s="806">
        <f t="shared" ref="O48" si="76">O49+O50+O51</f>
        <v>3640</v>
      </c>
      <c r="P48" s="805"/>
      <c r="Q48" s="805"/>
      <c r="R48" s="805"/>
      <c r="S48" s="806"/>
      <c r="T48" s="806"/>
      <c r="U48" s="806">
        <f t="shared" ref="U48" si="77">U49+U50+U51</f>
        <v>8940</v>
      </c>
      <c r="V48" s="805"/>
      <c r="W48" s="805"/>
      <c r="X48" s="805"/>
      <c r="Y48" s="806"/>
      <c r="Z48" s="806"/>
      <c r="AA48" s="806"/>
      <c r="AB48" s="805"/>
      <c r="AC48" s="805"/>
      <c r="AD48" s="805"/>
      <c r="AE48" s="806"/>
      <c r="AF48" s="806"/>
      <c r="AG48" s="806">
        <f t="shared" ref="AG48" si="78">AG49+AG50+AG51</f>
        <v>29645</v>
      </c>
      <c r="AH48" s="806">
        <f>AH49+AH50+AH51</f>
        <v>42225</v>
      </c>
      <c r="AI48" s="806">
        <f>AI49+AI50+AI51</f>
        <v>20460</v>
      </c>
      <c r="AJ48" s="806"/>
      <c r="AK48" s="806"/>
      <c r="AL48" s="806">
        <f>AL49+AL50+AL51</f>
        <v>21765</v>
      </c>
      <c r="AM48" s="806"/>
      <c r="AN48" s="806"/>
      <c r="AO48" s="1073" t="s">
        <v>2384</v>
      </c>
      <c r="AP48" s="1073" t="s">
        <v>2385</v>
      </c>
      <c r="AQ48" s="1073"/>
    </row>
    <row r="49" spans="1:43" ht="30">
      <c r="A49" s="22" t="s">
        <v>2510</v>
      </c>
      <c r="B49" s="22" t="s">
        <v>2511</v>
      </c>
      <c r="C49" s="1220">
        <f>+J49+K49+L49+P49+Q49+R49+V49+W49+X49+AB49+AC49+AD49</f>
        <v>46</v>
      </c>
      <c r="D49" s="1221" t="s">
        <v>445</v>
      </c>
      <c r="E49" s="22" t="s">
        <v>2508</v>
      </c>
      <c r="F49" s="22" t="s">
        <v>2509</v>
      </c>
      <c r="G49" s="824">
        <f t="shared" si="0"/>
        <v>0.15787058234182866</v>
      </c>
      <c r="H49" s="824"/>
      <c r="I49" s="824">
        <f>+AH49/AH$48*100</f>
        <v>22.214328004736529</v>
      </c>
      <c r="J49" s="1222"/>
      <c r="K49" s="1222"/>
      <c r="L49" s="1222">
        <v>18</v>
      </c>
      <c r="M49" s="1223"/>
      <c r="N49" s="1223"/>
      <c r="O49" s="1223">
        <f>L49*200+40</f>
        <v>3640</v>
      </c>
      <c r="P49" s="1222"/>
      <c r="Q49" s="1222"/>
      <c r="R49" s="1222">
        <v>15</v>
      </c>
      <c r="S49" s="1223"/>
      <c r="T49" s="1223"/>
      <c r="U49" s="1223">
        <f>R49*205</f>
        <v>3075</v>
      </c>
      <c r="V49" s="1222"/>
      <c r="W49" s="1222"/>
      <c r="X49" s="1222"/>
      <c r="Y49" s="1223"/>
      <c r="Z49" s="1223"/>
      <c r="AA49" s="1223"/>
      <c r="AB49" s="1222"/>
      <c r="AC49" s="1222"/>
      <c r="AD49" s="1222">
        <v>13</v>
      </c>
      <c r="AE49" s="1223"/>
      <c r="AF49" s="1223"/>
      <c r="AG49" s="1223">
        <f>AD49*205</f>
        <v>2665</v>
      </c>
      <c r="AH49" s="1223">
        <f t="shared" ref="AH49:AH51" si="79">M49+N49+O49+S49+T49+U49+Y49+Z49+AA49+AE49+AF49+AG49</f>
        <v>9380</v>
      </c>
      <c r="AI49" s="1223">
        <v>4545</v>
      </c>
      <c r="AJ49" s="1223"/>
      <c r="AK49" s="1223"/>
      <c r="AL49" s="1223">
        <v>4835</v>
      </c>
      <c r="AM49" s="1223"/>
      <c r="AN49" s="1223"/>
      <c r="AO49" s="1066" t="s">
        <v>2384</v>
      </c>
      <c r="AP49" s="1066" t="s">
        <v>2496</v>
      </c>
      <c r="AQ49" s="1066"/>
    </row>
    <row r="50" spans="1:43" ht="45">
      <c r="A50" s="22" t="s">
        <v>2512</v>
      </c>
      <c r="B50" s="22" t="s">
        <v>2513</v>
      </c>
      <c r="C50" s="1220">
        <f>+J50+K50+L50+P50+Q50+R50+V50+W50+X50+AB50+AC50+AD50</f>
        <v>2</v>
      </c>
      <c r="D50" s="1221" t="s">
        <v>1021</v>
      </c>
      <c r="E50" s="22" t="s">
        <v>2514</v>
      </c>
      <c r="F50" s="22" t="s">
        <v>2515</v>
      </c>
      <c r="G50" s="824">
        <f t="shared" si="0"/>
        <v>0.19742238068972817</v>
      </c>
      <c r="H50" s="824"/>
      <c r="I50" s="824">
        <f t="shared" ref="I50:I51" si="80">+AH50/AH$48*100</f>
        <v>27.7797513321492</v>
      </c>
      <c r="J50" s="1222"/>
      <c r="K50" s="1222"/>
      <c r="L50" s="1222"/>
      <c r="M50" s="1223"/>
      <c r="N50" s="1223"/>
      <c r="O50" s="1223"/>
      <c r="P50" s="1222"/>
      <c r="Q50" s="1222"/>
      <c r="R50" s="1222">
        <v>1</v>
      </c>
      <c r="S50" s="1223"/>
      <c r="T50" s="1223"/>
      <c r="U50" s="1223">
        <v>5865</v>
      </c>
      <c r="V50" s="1222"/>
      <c r="W50" s="1222"/>
      <c r="X50" s="1222"/>
      <c r="Y50" s="1223"/>
      <c r="Z50" s="1223"/>
      <c r="AA50" s="1223"/>
      <c r="AB50" s="1222"/>
      <c r="AC50" s="1222"/>
      <c r="AD50" s="1222">
        <v>1</v>
      </c>
      <c r="AE50" s="1223"/>
      <c r="AF50" s="1223"/>
      <c r="AG50" s="1223">
        <v>5865</v>
      </c>
      <c r="AH50" s="1223">
        <f t="shared" si="79"/>
        <v>11730</v>
      </c>
      <c r="AI50" s="1223">
        <v>5685</v>
      </c>
      <c r="AJ50" s="1223"/>
      <c r="AK50" s="1223"/>
      <c r="AL50" s="1223">
        <v>6045</v>
      </c>
      <c r="AM50" s="1223"/>
      <c r="AN50" s="1223"/>
      <c r="AO50" s="1066" t="s">
        <v>2384</v>
      </c>
      <c r="AP50" s="1066" t="s">
        <v>2496</v>
      </c>
      <c r="AQ50" s="1066"/>
    </row>
    <row r="51" spans="1:43" ht="45">
      <c r="A51" s="22" t="s">
        <v>2516</v>
      </c>
      <c r="B51" s="22" t="s">
        <v>2517</v>
      </c>
      <c r="C51" s="1220">
        <f>+J51+K51+L51+P51+Q51+R51+V51+W51+X51+AB51+AC51+AD51</f>
        <v>1</v>
      </c>
      <c r="D51" s="1221" t="s">
        <v>484</v>
      </c>
      <c r="E51" s="22" t="s">
        <v>2518</v>
      </c>
      <c r="F51" s="22" t="s">
        <v>2519</v>
      </c>
      <c r="G51" s="824">
        <f t="shared" si="0"/>
        <v>0.35537711579399917</v>
      </c>
      <c r="H51" s="824"/>
      <c r="I51" s="824">
        <f t="shared" si="80"/>
        <v>50.005920663114267</v>
      </c>
      <c r="J51" s="1222"/>
      <c r="K51" s="1222"/>
      <c r="L51" s="1222"/>
      <c r="M51" s="1223"/>
      <c r="N51" s="1223"/>
      <c r="O51" s="1223"/>
      <c r="P51" s="1222"/>
      <c r="Q51" s="1222"/>
      <c r="R51" s="1222"/>
      <c r="S51" s="1223"/>
      <c r="T51" s="1223"/>
      <c r="U51" s="1223"/>
      <c r="V51" s="1222"/>
      <c r="W51" s="1222"/>
      <c r="X51" s="1222"/>
      <c r="Y51" s="1223"/>
      <c r="Z51" s="1223"/>
      <c r="AA51" s="1223"/>
      <c r="AB51" s="1222"/>
      <c r="AC51" s="1222"/>
      <c r="AD51" s="1222">
        <v>1</v>
      </c>
      <c r="AE51" s="1223"/>
      <c r="AF51" s="1223"/>
      <c r="AG51" s="1223">
        <v>21115</v>
      </c>
      <c r="AH51" s="1223">
        <f t="shared" si="79"/>
        <v>21115</v>
      </c>
      <c r="AI51" s="1223">
        <v>10230</v>
      </c>
      <c r="AJ51" s="1223"/>
      <c r="AK51" s="1223"/>
      <c r="AL51" s="1223">
        <v>10885</v>
      </c>
      <c r="AM51" s="1223"/>
      <c r="AN51" s="1223"/>
      <c r="AO51" s="1066" t="s">
        <v>2384</v>
      </c>
      <c r="AP51" s="1066" t="s">
        <v>2496</v>
      </c>
      <c r="AQ51" s="1066"/>
    </row>
    <row r="52" spans="1:43" ht="45">
      <c r="A52" s="14" t="s">
        <v>2520</v>
      </c>
      <c r="B52" s="14" t="s">
        <v>2521</v>
      </c>
      <c r="C52" s="15"/>
      <c r="D52" s="14"/>
      <c r="E52" s="14"/>
      <c r="F52" s="14"/>
      <c r="G52" s="683">
        <f t="shared" si="0"/>
        <v>1.247228092157912</v>
      </c>
      <c r="H52" s="683">
        <f>+G52</f>
        <v>1.247228092157912</v>
      </c>
      <c r="I52" s="683"/>
      <c r="J52" s="684"/>
      <c r="K52" s="684"/>
      <c r="L52" s="684"/>
      <c r="M52" s="685">
        <f>+M53+M56</f>
        <v>5855</v>
      </c>
      <c r="N52" s="685">
        <f t="shared" ref="N52:O52" si="81">+N53+N56</f>
        <v>8125</v>
      </c>
      <c r="O52" s="685">
        <f t="shared" si="81"/>
        <v>5090</v>
      </c>
      <c r="P52" s="684"/>
      <c r="Q52" s="684"/>
      <c r="R52" s="684"/>
      <c r="S52" s="685">
        <f t="shared" ref="S52:U52" si="82">+S53+S56</f>
        <v>6940</v>
      </c>
      <c r="T52" s="685"/>
      <c r="U52" s="685">
        <f t="shared" si="82"/>
        <v>5130</v>
      </c>
      <c r="V52" s="684"/>
      <c r="W52" s="684"/>
      <c r="X52" s="684"/>
      <c r="Y52" s="685">
        <f t="shared" ref="Y52:AA52" si="83">+Y53+Y56</f>
        <v>12000</v>
      </c>
      <c r="Z52" s="685">
        <f t="shared" si="83"/>
        <v>6360</v>
      </c>
      <c r="AA52" s="685">
        <f t="shared" si="83"/>
        <v>11300</v>
      </c>
      <c r="AB52" s="684"/>
      <c r="AC52" s="684"/>
      <c r="AD52" s="684"/>
      <c r="AE52" s="685">
        <f t="shared" ref="AE52:AG52" si="84">+AE53+AE56</f>
        <v>4390</v>
      </c>
      <c r="AF52" s="685">
        <f t="shared" si="84"/>
        <v>5135</v>
      </c>
      <c r="AG52" s="685">
        <f t="shared" si="84"/>
        <v>3780</v>
      </c>
      <c r="AH52" s="685">
        <f>AH53+AH56</f>
        <v>74105</v>
      </c>
      <c r="AI52" s="685">
        <f>AI53+AI56</f>
        <v>30470</v>
      </c>
      <c r="AJ52" s="685"/>
      <c r="AK52" s="685"/>
      <c r="AL52" s="685">
        <f>AL53+AL56</f>
        <v>43635</v>
      </c>
      <c r="AM52" s="685"/>
      <c r="AN52" s="685"/>
      <c r="AO52" s="1219" t="s">
        <v>2384</v>
      </c>
      <c r="AP52" s="1219" t="s">
        <v>2385</v>
      </c>
      <c r="AQ52" s="1219"/>
    </row>
    <row r="53" spans="1:43" ht="60">
      <c r="A53" s="18" t="s">
        <v>2522</v>
      </c>
      <c r="B53" s="18" t="s">
        <v>2523</v>
      </c>
      <c r="C53" s="642"/>
      <c r="D53" s="1232" t="s">
        <v>1950</v>
      </c>
      <c r="E53" s="18" t="s">
        <v>2524</v>
      </c>
      <c r="F53" s="1233" t="s">
        <v>2525</v>
      </c>
      <c r="G53" s="804">
        <f t="shared" si="0"/>
        <v>0.55288364924616973</v>
      </c>
      <c r="H53" s="804"/>
      <c r="I53" s="804"/>
      <c r="J53" s="805"/>
      <c r="K53" s="805"/>
      <c r="L53" s="805"/>
      <c r="M53" s="806">
        <f>M54+M55</f>
        <v>2500</v>
      </c>
      <c r="N53" s="806">
        <f t="shared" ref="N53:O53" si="85">N54+N55</f>
        <v>3560</v>
      </c>
      <c r="O53" s="806">
        <f t="shared" si="85"/>
        <v>3220</v>
      </c>
      <c r="P53" s="805"/>
      <c r="Q53" s="805"/>
      <c r="R53" s="805"/>
      <c r="S53" s="806">
        <f t="shared" ref="S53:U53" si="86">S54+S55</f>
        <v>3310</v>
      </c>
      <c r="T53" s="806"/>
      <c r="U53" s="806">
        <f t="shared" si="86"/>
        <v>1720</v>
      </c>
      <c r="V53" s="805"/>
      <c r="W53" s="805"/>
      <c r="X53" s="805"/>
      <c r="Y53" s="806">
        <f t="shared" ref="Y53:AA53" si="87">Y54+Y55</f>
        <v>3310</v>
      </c>
      <c r="Z53" s="806">
        <f t="shared" si="87"/>
        <v>3060</v>
      </c>
      <c r="AA53" s="806">
        <f t="shared" si="87"/>
        <v>3150</v>
      </c>
      <c r="AB53" s="805"/>
      <c r="AC53" s="805"/>
      <c r="AD53" s="805"/>
      <c r="AE53" s="806">
        <f t="shared" ref="AE53:AF53" si="88">AE54+AE55</f>
        <v>2790</v>
      </c>
      <c r="AF53" s="806">
        <f t="shared" si="88"/>
        <v>3635</v>
      </c>
      <c r="AG53" s="806">
        <f>AG54+AG55</f>
        <v>2595</v>
      </c>
      <c r="AH53" s="806">
        <f>AH54+AH55</f>
        <v>32850</v>
      </c>
      <c r="AI53" s="806">
        <f>AI54+AI55</f>
        <v>15920</v>
      </c>
      <c r="AJ53" s="806"/>
      <c r="AK53" s="806"/>
      <c r="AL53" s="806">
        <f>AL54+AL55</f>
        <v>16930</v>
      </c>
      <c r="AM53" s="806"/>
      <c r="AN53" s="806"/>
      <c r="AO53" s="1073" t="s">
        <v>2384</v>
      </c>
      <c r="AP53" s="1073" t="s">
        <v>2385</v>
      </c>
      <c r="AQ53" s="1073"/>
    </row>
    <row r="54" spans="1:43" ht="60">
      <c r="A54" s="1228" t="s">
        <v>2526</v>
      </c>
      <c r="B54" s="1229" t="s">
        <v>2527</v>
      </c>
      <c r="C54" s="1220">
        <f>+J54+K54+L54+P54+Q54+R54+V54+W54+X54+AB54+AC54+AD54</f>
        <v>180</v>
      </c>
      <c r="D54" s="1231" t="s">
        <v>1950</v>
      </c>
      <c r="E54" s="1229" t="s">
        <v>2524</v>
      </c>
      <c r="F54" s="1230" t="s">
        <v>2525</v>
      </c>
      <c r="G54" s="824">
        <f t="shared" si="0"/>
        <v>0.27644182462308486</v>
      </c>
      <c r="H54" s="824"/>
      <c r="I54" s="824">
        <f>+AH54/AH$53*100</f>
        <v>50</v>
      </c>
      <c r="J54" s="1222">
        <v>10</v>
      </c>
      <c r="K54" s="1222">
        <v>20</v>
      </c>
      <c r="L54" s="1222">
        <v>18</v>
      </c>
      <c r="M54" s="1223">
        <f>J54*90</f>
        <v>900</v>
      </c>
      <c r="N54" s="1223">
        <f t="shared" ref="N54:O54" si="89">K54*90</f>
        <v>1800</v>
      </c>
      <c r="O54" s="1223">
        <f t="shared" si="89"/>
        <v>1620</v>
      </c>
      <c r="P54" s="1222">
        <v>19</v>
      </c>
      <c r="Q54" s="1222"/>
      <c r="R54" s="1222">
        <v>12</v>
      </c>
      <c r="S54" s="1223">
        <f>P54*90</f>
        <v>1710</v>
      </c>
      <c r="T54" s="1223"/>
      <c r="U54" s="1223">
        <f>R54*90</f>
        <v>1080</v>
      </c>
      <c r="V54" s="1222">
        <v>19</v>
      </c>
      <c r="W54" s="1222">
        <v>18</v>
      </c>
      <c r="X54" s="1222">
        <v>19</v>
      </c>
      <c r="Y54" s="1223">
        <f t="shared" ref="Y54:AA54" si="90">V54*90</f>
        <v>1710</v>
      </c>
      <c r="Z54" s="1223">
        <f t="shared" si="90"/>
        <v>1620</v>
      </c>
      <c r="AA54" s="1223">
        <f t="shared" si="90"/>
        <v>1710</v>
      </c>
      <c r="AB54" s="1222">
        <v>15</v>
      </c>
      <c r="AC54" s="1222">
        <v>20</v>
      </c>
      <c r="AD54" s="1222">
        <v>10</v>
      </c>
      <c r="AE54" s="1223">
        <f t="shared" ref="AE54" si="91">AB54*90</f>
        <v>1350</v>
      </c>
      <c r="AF54" s="1223">
        <f>AC54*95</f>
        <v>1900</v>
      </c>
      <c r="AG54" s="1223">
        <f>AD54*90+125</f>
        <v>1025</v>
      </c>
      <c r="AH54" s="1223">
        <f t="shared" ref="AH54:AH55" si="92">M54+N54+O54+S54+T54+U54+Y54+Z54+AA54+AE54+AF54+AG54</f>
        <v>16425</v>
      </c>
      <c r="AI54" s="1223">
        <v>7960</v>
      </c>
      <c r="AJ54" s="1223"/>
      <c r="AK54" s="1223"/>
      <c r="AL54" s="1223">
        <v>8465</v>
      </c>
      <c r="AM54" s="1223"/>
      <c r="AN54" s="1223"/>
      <c r="AO54" s="1066" t="s">
        <v>2384</v>
      </c>
      <c r="AP54" s="1066" t="s">
        <v>2528</v>
      </c>
      <c r="AQ54" s="1066"/>
    </row>
    <row r="55" spans="1:43" ht="60">
      <c r="A55" s="1228" t="s">
        <v>2529</v>
      </c>
      <c r="B55" s="1229" t="s">
        <v>2527</v>
      </c>
      <c r="C55" s="1220">
        <f>MAX(J55,K55,L55,P55,Q55,R55,V55,W55,X55,AB55,AC55,AD55)</f>
        <v>11</v>
      </c>
      <c r="D55" s="1231" t="s">
        <v>1021</v>
      </c>
      <c r="E55" s="1229" t="s">
        <v>2524</v>
      </c>
      <c r="F55" s="1230" t="s">
        <v>2525</v>
      </c>
      <c r="G55" s="824">
        <f t="shared" si="0"/>
        <v>0.27644182462308486</v>
      </c>
      <c r="H55" s="824"/>
      <c r="I55" s="824">
        <f>+AH55/AH$53*100</f>
        <v>50</v>
      </c>
      <c r="J55" s="1222">
        <v>10</v>
      </c>
      <c r="K55" s="1222">
        <v>11</v>
      </c>
      <c r="L55" s="1222">
        <v>10</v>
      </c>
      <c r="M55" s="1223">
        <f>J55*160</f>
        <v>1600</v>
      </c>
      <c r="N55" s="1223">
        <f>K55*160</f>
        <v>1760</v>
      </c>
      <c r="O55" s="1223">
        <f>L55*160</f>
        <v>1600</v>
      </c>
      <c r="P55" s="1222">
        <v>10</v>
      </c>
      <c r="Q55" s="1222"/>
      <c r="R55" s="1222">
        <v>4</v>
      </c>
      <c r="S55" s="1223">
        <f>P55*160</f>
        <v>1600</v>
      </c>
      <c r="T55" s="1223"/>
      <c r="U55" s="1223">
        <f>R55*160</f>
        <v>640</v>
      </c>
      <c r="V55" s="1222">
        <v>10</v>
      </c>
      <c r="W55" s="1222">
        <v>9</v>
      </c>
      <c r="X55" s="1222">
        <v>9</v>
      </c>
      <c r="Y55" s="1223">
        <f t="shared" ref="Y55:AA55" si="93">V55*160</f>
        <v>1600</v>
      </c>
      <c r="Z55" s="1223">
        <f t="shared" si="93"/>
        <v>1440</v>
      </c>
      <c r="AA55" s="1223">
        <f t="shared" si="93"/>
        <v>1440</v>
      </c>
      <c r="AB55" s="1222">
        <v>9</v>
      </c>
      <c r="AC55" s="1222">
        <v>11</v>
      </c>
      <c r="AD55" s="1222">
        <v>10</v>
      </c>
      <c r="AE55" s="1223">
        <f t="shared" ref="AE55" si="94">AB55*160</f>
        <v>1440</v>
      </c>
      <c r="AF55" s="1223">
        <f>AC55*160-25</f>
        <v>1735</v>
      </c>
      <c r="AG55" s="1223">
        <f>AD55*160-30</f>
        <v>1570</v>
      </c>
      <c r="AH55" s="1223">
        <f t="shared" si="92"/>
        <v>16425</v>
      </c>
      <c r="AI55" s="1223">
        <v>7960</v>
      </c>
      <c r="AJ55" s="1223"/>
      <c r="AK55" s="1223"/>
      <c r="AL55" s="1223">
        <v>8465</v>
      </c>
      <c r="AM55" s="1223"/>
      <c r="AN55" s="1223"/>
      <c r="AO55" s="1066" t="s">
        <v>2384</v>
      </c>
      <c r="AP55" s="1066" t="s">
        <v>2528</v>
      </c>
      <c r="AQ55" s="1066" t="s">
        <v>2530</v>
      </c>
    </row>
    <row r="56" spans="1:43" ht="60">
      <c r="A56" s="18" t="s">
        <v>2531</v>
      </c>
      <c r="B56" s="18" t="s">
        <v>548</v>
      </c>
      <c r="C56" s="642"/>
      <c r="D56" s="554" t="s">
        <v>462</v>
      </c>
      <c r="E56" s="18" t="s">
        <v>2532</v>
      </c>
      <c r="F56" s="18" t="s">
        <v>552</v>
      </c>
      <c r="G56" s="804">
        <f t="shared" si="0"/>
        <v>0.69434444291174224</v>
      </c>
      <c r="H56" s="804"/>
      <c r="I56" s="804"/>
      <c r="J56" s="805"/>
      <c r="K56" s="805"/>
      <c r="L56" s="805"/>
      <c r="M56" s="806">
        <f>M57</f>
        <v>3355</v>
      </c>
      <c r="N56" s="806">
        <f t="shared" ref="N56:O56" si="95">N57</f>
        <v>4565</v>
      </c>
      <c r="O56" s="806">
        <f t="shared" si="95"/>
        <v>1870</v>
      </c>
      <c r="P56" s="805"/>
      <c r="Q56" s="805"/>
      <c r="R56" s="805"/>
      <c r="S56" s="806">
        <f t="shared" ref="S56:U56" si="96">S57</f>
        <v>3630</v>
      </c>
      <c r="T56" s="806"/>
      <c r="U56" s="806">
        <f t="shared" si="96"/>
        <v>3410</v>
      </c>
      <c r="V56" s="805"/>
      <c r="W56" s="805"/>
      <c r="X56" s="805"/>
      <c r="Y56" s="806">
        <f t="shared" ref="Y56:AA56" si="97">Y57</f>
        <v>8690</v>
      </c>
      <c r="Z56" s="806">
        <f t="shared" si="97"/>
        <v>3300</v>
      </c>
      <c r="AA56" s="806">
        <f t="shared" si="97"/>
        <v>8150</v>
      </c>
      <c r="AB56" s="805"/>
      <c r="AC56" s="805"/>
      <c r="AD56" s="805"/>
      <c r="AE56" s="806">
        <f t="shared" ref="AE56:AG56" si="98">AE57</f>
        <v>1600</v>
      </c>
      <c r="AF56" s="806">
        <f t="shared" si="98"/>
        <v>1500</v>
      </c>
      <c r="AG56" s="806">
        <f t="shared" si="98"/>
        <v>1185</v>
      </c>
      <c r="AH56" s="806">
        <f>AH57</f>
        <v>41255</v>
      </c>
      <c r="AI56" s="806">
        <f>AI57</f>
        <v>14550</v>
      </c>
      <c r="AJ56" s="806"/>
      <c r="AK56" s="806"/>
      <c r="AL56" s="806">
        <f>AL57</f>
        <v>26705</v>
      </c>
      <c r="AM56" s="806"/>
      <c r="AN56" s="806"/>
      <c r="AO56" s="1073" t="s">
        <v>2384</v>
      </c>
      <c r="AP56" s="1073" t="s">
        <v>2385</v>
      </c>
      <c r="AQ56" s="1073"/>
    </row>
    <row r="57" spans="1:43" ht="30">
      <c r="A57" s="22" t="s">
        <v>2533</v>
      </c>
      <c r="B57" s="22" t="s">
        <v>2534</v>
      </c>
      <c r="C57" s="1220">
        <f>+J57+K57+L57+P57+Q57+R57+V57+W57+X57+AB57+AC57+AD57</f>
        <v>769</v>
      </c>
      <c r="D57" s="1221" t="s">
        <v>2535</v>
      </c>
      <c r="E57" s="22" t="s">
        <v>2536</v>
      </c>
      <c r="F57" s="22" t="s">
        <v>2537</v>
      </c>
      <c r="G57" s="824">
        <f t="shared" si="0"/>
        <v>0.69434444291174224</v>
      </c>
      <c r="H57" s="824"/>
      <c r="I57" s="824">
        <f>+AH57/AH56*100</f>
        <v>100</v>
      </c>
      <c r="J57" s="1222">
        <v>61</v>
      </c>
      <c r="K57" s="1222">
        <v>83</v>
      </c>
      <c r="L57" s="1222">
        <v>34</v>
      </c>
      <c r="M57" s="1223">
        <f t="shared" ref="M57:O57" si="99">J57*55</f>
        <v>3355</v>
      </c>
      <c r="N57" s="1223">
        <f t="shared" si="99"/>
        <v>4565</v>
      </c>
      <c r="O57" s="1223">
        <f t="shared" si="99"/>
        <v>1870</v>
      </c>
      <c r="P57" s="1222">
        <v>66</v>
      </c>
      <c r="Q57" s="1222"/>
      <c r="R57" s="1222">
        <v>62</v>
      </c>
      <c r="S57" s="1223">
        <f>P57*55</f>
        <v>3630</v>
      </c>
      <c r="T57" s="1223"/>
      <c r="U57" s="1223">
        <f>R57*55</f>
        <v>3410</v>
      </c>
      <c r="V57" s="1222">
        <v>158</v>
      </c>
      <c r="W57" s="1222">
        <v>60</v>
      </c>
      <c r="X57" s="1222">
        <v>163</v>
      </c>
      <c r="Y57" s="1223">
        <f t="shared" ref="Y57:Z57" si="100">V57*55</f>
        <v>8690</v>
      </c>
      <c r="Z57" s="1223">
        <f t="shared" si="100"/>
        <v>3300</v>
      </c>
      <c r="AA57" s="1223">
        <f>X57*50</f>
        <v>8150</v>
      </c>
      <c r="AB57" s="1222">
        <v>32</v>
      </c>
      <c r="AC57" s="1222">
        <v>30</v>
      </c>
      <c r="AD57" s="1222">
        <v>20</v>
      </c>
      <c r="AE57" s="1223">
        <f>AB57*50</f>
        <v>1600</v>
      </c>
      <c r="AF57" s="1223">
        <f>AC57*50</f>
        <v>1500</v>
      </c>
      <c r="AG57" s="1223">
        <f>AD57*50+185</f>
        <v>1185</v>
      </c>
      <c r="AH57" s="1223">
        <f>M57+N57+O57+S57+T57+U57+Y57+Z57+AA57+AE57+AF57+AG57</f>
        <v>41255</v>
      </c>
      <c r="AI57" s="1223">
        <v>14550</v>
      </c>
      <c r="AJ57" s="1223"/>
      <c r="AK57" s="1223"/>
      <c r="AL57" s="1223">
        <v>26705</v>
      </c>
      <c r="AM57" s="1223"/>
      <c r="AN57" s="1223"/>
      <c r="AO57" s="1066" t="s">
        <v>2384</v>
      </c>
      <c r="AP57" s="1066" t="s">
        <v>2481</v>
      </c>
      <c r="AQ57" s="1066"/>
    </row>
    <row r="58" spans="1:43" ht="45">
      <c r="A58" s="14" t="s">
        <v>2538</v>
      </c>
      <c r="B58" s="14" t="s">
        <v>2539</v>
      </c>
      <c r="C58" s="15"/>
      <c r="D58" s="14"/>
      <c r="E58" s="14"/>
      <c r="F58" s="14"/>
      <c r="G58" s="683">
        <f t="shared" si="0"/>
        <v>1.0725269573276153</v>
      </c>
      <c r="H58" s="683">
        <f>+G58</f>
        <v>1.0725269573276153</v>
      </c>
      <c r="I58" s="683"/>
      <c r="J58" s="684"/>
      <c r="K58" s="684"/>
      <c r="L58" s="684"/>
      <c r="M58" s="685">
        <f>M59+M63+M65</f>
        <v>1460</v>
      </c>
      <c r="N58" s="685">
        <f t="shared" ref="N58:O58" si="101">N59+N63+N65</f>
        <v>3920</v>
      </c>
      <c r="O58" s="685">
        <f t="shared" si="101"/>
        <v>2410</v>
      </c>
      <c r="P58" s="684"/>
      <c r="Q58" s="684"/>
      <c r="R58" s="684"/>
      <c r="S58" s="685">
        <f t="shared" ref="S58:U58" si="102">S59+S63+S65</f>
        <v>1240</v>
      </c>
      <c r="T58" s="685">
        <f t="shared" si="102"/>
        <v>4560</v>
      </c>
      <c r="U58" s="685">
        <f t="shared" si="102"/>
        <v>9005</v>
      </c>
      <c r="V58" s="684"/>
      <c r="W58" s="684"/>
      <c r="X58" s="684"/>
      <c r="Y58" s="685">
        <f t="shared" ref="Y58:AA58" si="103">Y59+Y63+Y65</f>
        <v>5405</v>
      </c>
      <c r="Z58" s="685">
        <f t="shared" si="103"/>
        <v>4415</v>
      </c>
      <c r="AA58" s="685">
        <f t="shared" si="103"/>
        <v>14890</v>
      </c>
      <c r="AB58" s="684"/>
      <c r="AC58" s="684"/>
      <c r="AD58" s="684"/>
      <c r="AE58" s="685">
        <f t="shared" ref="AE58:AG58" si="104">AE59+AE63+AE65</f>
        <v>1880</v>
      </c>
      <c r="AF58" s="685">
        <f t="shared" si="104"/>
        <v>9550</v>
      </c>
      <c r="AG58" s="685">
        <f t="shared" si="104"/>
        <v>4990</v>
      </c>
      <c r="AH58" s="685">
        <f>AH59+AH63+AH65</f>
        <v>63725</v>
      </c>
      <c r="AI58" s="685">
        <f>AI59+AI63+AI65</f>
        <v>14555</v>
      </c>
      <c r="AJ58" s="685"/>
      <c r="AK58" s="685"/>
      <c r="AL58" s="685">
        <f>AL59+AL63+AL65</f>
        <v>49170</v>
      </c>
      <c r="AM58" s="685"/>
      <c r="AN58" s="685"/>
      <c r="AO58" s="1219" t="s">
        <v>2384</v>
      </c>
      <c r="AP58" s="1219" t="s">
        <v>2385</v>
      </c>
      <c r="AQ58" s="1219"/>
    </row>
    <row r="59" spans="1:43" ht="60">
      <c r="A59" s="18" t="s">
        <v>2540</v>
      </c>
      <c r="B59" s="18" t="s">
        <v>2541</v>
      </c>
      <c r="C59" s="642"/>
      <c r="D59" s="554" t="s">
        <v>2542</v>
      </c>
      <c r="E59" s="18" t="s">
        <v>2543</v>
      </c>
      <c r="F59" s="18" t="s">
        <v>2544</v>
      </c>
      <c r="G59" s="804">
        <f t="shared" si="0"/>
        <v>0.67768219594815893</v>
      </c>
      <c r="H59" s="804"/>
      <c r="I59" s="804"/>
      <c r="J59" s="805"/>
      <c r="K59" s="805"/>
      <c r="L59" s="805"/>
      <c r="M59" s="806">
        <f>M60+M61+M62</f>
        <v>480</v>
      </c>
      <c r="N59" s="806">
        <f t="shared" ref="N59:O59" si="105">N60+N61+N62</f>
        <v>2940</v>
      </c>
      <c r="O59" s="806">
        <f t="shared" si="105"/>
        <v>1430</v>
      </c>
      <c r="P59" s="805"/>
      <c r="Q59" s="805"/>
      <c r="R59" s="805"/>
      <c r="S59" s="806">
        <f t="shared" ref="S59:U59" si="106">S60+S61+S62</f>
        <v>260</v>
      </c>
      <c r="T59" s="806">
        <f t="shared" si="106"/>
        <v>3580</v>
      </c>
      <c r="U59" s="806">
        <f t="shared" si="106"/>
        <v>4115</v>
      </c>
      <c r="V59" s="805"/>
      <c r="W59" s="805"/>
      <c r="X59" s="805"/>
      <c r="Y59" s="806">
        <f t="shared" ref="Y59:AA59" si="107">Y60+Y61+Y62</f>
        <v>4425</v>
      </c>
      <c r="Z59" s="806">
        <f t="shared" si="107"/>
        <v>3435</v>
      </c>
      <c r="AA59" s="806">
        <f t="shared" si="107"/>
        <v>13910</v>
      </c>
      <c r="AB59" s="805"/>
      <c r="AC59" s="805"/>
      <c r="AD59" s="805"/>
      <c r="AE59" s="806">
        <f t="shared" ref="AE59:AG59" si="108">AE60+AE61+AE62</f>
        <v>900</v>
      </c>
      <c r="AF59" s="806">
        <f t="shared" si="108"/>
        <v>4660</v>
      </c>
      <c r="AG59" s="806">
        <f t="shared" si="108"/>
        <v>130</v>
      </c>
      <c r="AH59" s="806">
        <f>AH60+AH61+AH62</f>
        <v>40265</v>
      </c>
      <c r="AI59" s="806">
        <f>AI60+AI61+AI62</f>
        <v>3185</v>
      </c>
      <c r="AJ59" s="806"/>
      <c r="AK59" s="806"/>
      <c r="AL59" s="806">
        <f>AL60+AL61+AL62</f>
        <v>37080</v>
      </c>
      <c r="AM59" s="806"/>
      <c r="AN59" s="806"/>
      <c r="AO59" s="1073" t="s">
        <v>2384</v>
      </c>
      <c r="AP59" s="1073" t="s">
        <v>2385</v>
      </c>
      <c r="AQ59" s="1073"/>
    </row>
    <row r="60" spans="1:43" ht="45">
      <c r="A60" s="1228" t="s">
        <v>2545</v>
      </c>
      <c r="B60" s="1229" t="s">
        <v>2546</v>
      </c>
      <c r="C60" s="1220">
        <f>+J60+K60+L60+P60+Q60+R60+V60+W60+X60+AB60+AC60+AD60</f>
        <v>6</v>
      </c>
      <c r="D60" s="1221" t="s">
        <v>2542</v>
      </c>
      <c r="E60" s="1229" t="s">
        <v>2543</v>
      </c>
      <c r="F60" s="1229" t="s">
        <v>2544</v>
      </c>
      <c r="G60" s="824">
        <f t="shared" si="0"/>
        <v>0.26802654837885093</v>
      </c>
      <c r="H60" s="824"/>
      <c r="I60" s="824">
        <f>+AH60/AH$59*100</f>
        <v>39.550478082702099</v>
      </c>
      <c r="J60" s="1222"/>
      <c r="K60" s="1222"/>
      <c r="L60" s="1222"/>
      <c r="M60" s="1223"/>
      <c r="N60" s="1223"/>
      <c r="O60" s="1223"/>
      <c r="P60" s="1222"/>
      <c r="Q60" s="1222">
        <v>1</v>
      </c>
      <c r="R60" s="1222">
        <v>1</v>
      </c>
      <c r="S60" s="1223"/>
      <c r="T60" s="1223">
        <f>Q60*2655</f>
        <v>2655</v>
      </c>
      <c r="U60" s="1223">
        <f>R60*2655</f>
        <v>2655</v>
      </c>
      <c r="V60" s="1222">
        <v>1</v>
      </c>
      <c r="W60" s="1222">
        <v>1</v>
      </c>
      <c r="X60" s="1222">
        <v>1</v>
      </c>
      <c r="Y60" s="1223">
        <f t="shared" ref="Y60:AA60" si="109">V60*2655</f>
        <v>2655</v>
      </c>
      <c r="Z60" s="1223">
        <f t="shared" si="109"/>
        <v>2655</v>
      </c>
      <c r="AA60" s="1223">
        <f t="shared" si="109"/>
        <v>2655</v>
      </c>
      <c r="AB60" s="1222"/>
      <c r="AC60" s="1222">
        <v>1</v>
      </c>
      <c r="AD60" s="1222"/>
      <c r="AE60" s="1223"/>
      <c r="AF60" s="1223">
        <f>AC60*2650</f>
        <v>2650</v>
      </c>
      <c r="AG60" s="1223"/>
      <c r="AH60" s="1223">
        <f t="shared" ref="AH60:AH62" si="110">M60+N60+O60+S60+T60+U60+Y60+Z60+AA60+AE60+AF60+AG60</f>
        <v>15925</v>
      </c>
      <c r="AI60" s="1223">
        <v>2275</v>
      </c>
      <c r="AJ60" s="1223"/>
      <c r="AK60" s="1223"/>
      <c r="AL60" s="1223">
        <v>13650</v>
      </c>
      <c r="AM60" s="1223"/>
      <c r="AN60" s="1223"/>
      <c r="AO60" s="1066" t="s">
        <v>2384</v>
      </c>
      <c r="AP60" s="1066" t="s">
        <v>2481</v>
      </c>
      <c r="AQ60" s="1066" t="s">
        <v>2547</v>
      </c>
    </row>
    <row r="61" spans="1:43" ht="45">
      <c r="A61" s="1228" t="s">
        <v>2548</v>
      </c>
      <c r="B61" s="1229" t="s">
        <v>2546</v>
      </c>
      <c r="C61" s="1220">
        <f>+J61+K61+L61+P61+Q61+R61+V61+W61+X61+AB61+AC61+AD61</f>
        <v>26</v>
      </c>
      <c r="D61" s="1221" t="s">
        <v>2549</v>
      </c>
      <c r="E61" s="1229" t="s">
        <v>2543</v>
      </c>
      <c r="F61" s="1229" t="s">
        <v>2544</v>
      </c>
      <c r="G61" s="824">
        <f t="shared" si="0"/>
        <v>0.20482782378465403</v>
      </c>
      <c r="H61" s="824"/>
      <c r="I61" s="824">
        <f t="shared" ref="I61:I62" si="111">+AH61/AH$59*100</f>
        <v>30.22476095864895</v>
      </c>
      <c r="J61" s="1222"/>
      <c r="K61" s="1222"/>
      <c r="L61" s="1222"/>
      <c r="M61" s="1223"/>
      <c r="N61" s="1223"/>
      <c r="O61" s="1223"/>
      <c r="P61" s="1222"/>
      <c r="Q61" s="1222">
        <v>1</v>
      </c>
      <c r="R61" s="1222">
        <v>2</v>
      </c>
      <c r="S61" s="1223"/>
      <c r="T61" s="1223">
        <f>Q61*470</f>
        <v>470</v>
      </c>
      <c r="U61" s="1223">
        <f>R61*470</f>
        <v>940</v>
      </c>
      <c r="V61" s="1222">
        <v>1</v>
      </c>
      <c r="W61" s="1222"/>
      <c r="X61" s="1222">
        <v>18</v>
      </c>
      <c r="Y61" s="1223">
        <f>V61*470</f>
        <v>470</v>
      </c>
      <c r="Z61" s="1223"/>
      <c r="AA61" s="1223">
        <f>X61*470</f>
        <v>8460</v>
      </c>
      <c r="AB61" s="1222"/>
      <c r="AC61" s="1222">
        <v>4</v>
      </c>
      <c r="AD61" s="1222"/>
      <c r="AE61" s="1223"/>
      <c r="AF61" s="1223">
        <f>AC61*470-50</f>
        <v>1830</v>
      </c>
      <c r="AG61" s="1223"/>
      <c r="AH61" s="1223">
        <f t="shared" si="110"/>
        <v>12170</v>
      </c>
      <c r="AI61" s="1223">
        <v>455</v>
      </c>
      <c r="AJ61" s="1223"/>
      <c r="AK61" s="1223"/>
      <c r="AL61" s="1223">
        <v>11715</v>
      </c>
      <c r="AM61" s="1223"/>
      <c r="AN61" s="1223"/>
      <c r="AO61" s="1066" t="s">
        <v>2384</v>
      </c>
      <c r="AP61" s="1066" t="s">
        <v>2481</v>
      </c>
      <c r="AQ61" s="1066" t="s">
        <v>2550</v>
      </c>
    </row>
    <row r="62" spans="1:43" ht="45">
      <c r="A62" s="22" t="s">
        <v>2551</v>
      </c>
      <c r="B62" s="22" t="s">
        <v>2552</v>
      </c>
      <c r="C62" s="1220">
        <f>+J62+K62+L62+P62+Q62+R62+V62+W62+X62+AB62+AC62+AD62</f>
        <v>193</v>
      </c>
      <c r="D62" s="1221" t="s">
        <v>747</v>
      </c>
      <c r="E62" s="22" t="s">
        <v>2553</v>
      </c>
      <c r="F62" s="22" t="s">
        <v>2554</v>
      </c>
      <c r="G62" s="824">
        <f t="shared" si="0"/>
        <v>0.20482782378465403</v>
      </c>
      <c r="H62" s="824"/>
      <c r="I62" s="824">
        <f t="shared" si="111"/>
        <v>30.22476095864895</v>
      </c>
      <c r="J62" s="1222">
        <v>8</v>
      </c>
      <c r="K62" s="1222">
        <v>49</v>
      </c>
      <c r="L62" s="1222">
        <v>22</v>
      </c>
      <c r="M62" s="1223">
        <f>J62*60</f>
        <v>480</v>
      </c>
      <c r="N62" s="1223">
        <f t="shared" ref="N62" si="112">K62*60</f>
        <v>2940</v>
      </c>
      <c r="O62" s="1223">
        <f>L62*65</f>
        <v>1430</v>
      </c>
      <c r="P62" s="1222">
        <v>4</v>
      </c>
      <c r="Q62" s="1222">
        <v>7</v>
      </c>
      <c r="R62" s="1222">
        <v>8</v>
      </c>
      <c r="S62" s="1223">
        <f t="shared" ref="S62:U62" si="113">P62*65</f>
        <v>260</v>
      </c>
      <c r="T62" s="1223">
        <f t="shared" si="113"/>
        <v>455</v>
      </c>
      <c r="U62" s="1223">
        <f t="shared" si="113"/>
        <v>520</v>
      </c>
      <c r="V62" s="1222">
        <v>20</v>
      </c>
      <c r="W62" s="1222">
        <v>12</v>
      </c>
      <c r="X62" s="1222">
        <v>43</v>
      </c>
      <c r="Y62" s="1223">
        <f t="shared" ref="Y62:AA62" si="114">V62*65</f>
        <v>1300</v>
      </c>
      <c r="Z62" s="1223">
        <f t="shared" si="114"/>
        <v>780</v>
      </c>
      <c r="AA62" s="1223">
        <f t="shared" si="114"/>
        <v>2795</v>
      </c>
      <c r="AB62" s="1222">
        <v>15</v>
      </c>
      <c r="AC62" s="1222">
        <v>3</v>
      </c>
      <c r="AD62" s="1222">
        <v>2</v>
      </c>
      <c r="AE62" s="1223">
        <f>AB62*60</f>
        <v>900</v>
      </c>
      <c r="AF62" s="1223">
        <f>AC62*60</f>
        <v>180</v>
      </c>
      <c r="AG62" s="1223">
        <f>AD62*60+10</f>
        <v>130</v>
      </c>
      <c r="AH62" s="1223">
        <f t="shared" si="110"/>
        <v>12170</v>
      </c>
      <c r="AI62" s="1223">
        <v>455</v>
      </c>
      <c r="AJ62" s="1223"/>
      <c r="AK62" s="1223"/>
      <c r="AL62" s="1223">
        <v>11715</v>
      </c>
      <c r="AM62" s="1223"/>
      <c r="AN62" s="1223"/>
      <c r="AO62" s="1066" t="s">
        <v>2384</v>
      </c>
      <c r="AP62" s="1066" t="s">
        <v>2481</v>
      </c>
      <c r="AQ62" s="1066" t="s">
        <v>2547</v>
      </c>
    </row>
    <row r="63" spans="1:43" ht="75">
      <c r="A63" s="18" t="s">
        <v>2555</v>
      </c>
      <c r="B63" s="18" t="s">
        <v>2556</v>
      </c>
      <c r="C63" s="642"/>
      <c r="D63" s="554" t="s">
        <v>231</v>
      </c>
      <c r="E63" s="18" t="s">
        <v>2557</v>
      </c>
      <c r="F63" s="18" t="s">
        <v>2558</v>
      </c>
      <c r="G63" s="804">
        <f t="shared" si="0"/>
        <v>0.19742238068972817</v>
      </c>
      <c r="H63" s="804"/>
      <c r="I63" s="804"/>
      <c r="J63" s="805"/>
      <c r="K63" s="805"/>
      <c r="L63" s="805"/>
      <c r="M63" s="806">
        <f t="shared" ref="M63:O63" si="115">M64</f>
        <v>980</v>
      </c>
      <c r="N63" s="806">
        <f t="shared" si="115"/>
        <v>980</v>
      </c>
      <c r="O63" s="806">
        <f t="shared" si="115"/>
        <v>980</v>
      </c>
      <c r="P63" s="805"/>
      <c r="Q63" s="805"/>
      <c r="R63" s="805"/>
      <c r="S63" s="806">
        <f t="shared" ref="S63:U63" si="116">S64</f>
        <v>980</v>
      </c>
      <c r="T63" s="806">
        <f t="shared" si="116"/>
        <v>980</v>
      </c>
      <c r="U63" s="806">
        <f t="shared" si="116"/>
        <v>980</v>
      </c>
      <c r="V63" s="805"/>
      <c r="W63" s="805"/>
      <c r="X63" s="805"/>
      <c r="Y63" s="806">
        <f t="shared" ref="Y63:AA63" si="117">Y64</f>
        <v>980</v>
      </c>
      <c r="Z63" s="806">
        <f t="shared" si="117"/>
        <v>980</v>
      </c>
      <c r="AA63" s="806">
        <f t="shared" si="117"/>
        <v>980</v>
      </c>
      <c r="AB63" s="805"/>
      <c r="AC63" s="805"/>
      <c r="AD63" s="805"/>
      <c r="AE63" s="806">
        <f t="shared" ref="AE63:AG63" si="118">AE64</f>
        <v>980</v>
      </c>
      <c r="AF63" s="806">
        <f t="shared" si="118"/>
        <v>980</v>
      </c>
      <c r="AG63" s="806">
        <f t="shared" si="118"/>
        <v>950</v>
      </c>
      <c r="AH63" s="806">
        <f>AH64</f>
        <v>11730</v>
      </c>
      <c r="AI63" s="806">
        <f>AI64</f>
        <v>5685</v>
      </c>
      <c r="AJ63" s="806"/>
      <c r="AK63" s="806"/>
      <c r="AL63" s="806">
        <f>AL64</f>
        <v>6045</v>
      </c>
      <c r="AM63" s="806"/>
      <c r="AN63" s="806"/>
      <c r="AO63" s="1073" t="s">
        <v>2384</v>
      </c>
      <c r="AP63" s="1073" t="s">
        <v>2385</v>
      </c>
      <c r="AQ63" s="1073"/>
    </row>
    <row r="64" spans="1:43" ht="45">
      <c r="A64" s="22" t="s">
        <v>2559</v>
      </c>
      <c r="B64" s="22" t="s">
        <v>2560</v>
      </c>
      <c r="C64" s="1220">
        <f>+J64+K64+L64+P64+Q64+R64+V64+W64+X64+AB64+AC64+AD64</f>
        <v>12</v>
      </c>
      <c r="D64" s="1221" t="s">
        <v>231</v>
      </c>
      <c r="E64" s="22" t="s">
        <v>2557</v>
      </c>
      <c r="F64" s="22" t="s">
        <v>2561</v>
      </c>
      <c r="G64" s="824">
        <f t="shared" si="0"/>
        <v>0.19742238068972817</v>
      </c>
      <c r="H64" s="824"/>
      <c r="I64" s="824">
        <f>+AH64/AH63*100</f>
        <v>100</v>
      </c>
      <c r="J64" s="1222">
        <v>1</v>
      </c>
      <c r="K64" s="1222">
        <v>1</v>
      </c>
      <c r="L64" s="1222">
        <v>1</v>
      </c>
      <c r="M64" s="1223">
        <v>980</v>
      </c>
      <c r="N64" s="1223">
        <v>980</v>
      </c>
      <c r="O64" s="1223">
        <v>980</v>
      </c>
      <c r="P64" s="1222">
        <v>1</v>
      </c>
      <c r="Q64" s="1222">
        <v>1</v>
      </c>
      <c r="R64" s="1222">
        <v>1</v>
      </c>
      <c r="S64" s="1223">
        <v>980</v>
      </c>
      <c r="T64" s="1223">
        <v>980</v>
      </c>
      <c r="U64" s="1223">
        <v>980</v>
      </c>
      <c r="V64" s="1222">
        <v>1</v>
      </c>
      <c r="W64" s="1222">
        <v>1</v>
      </c>
      <c r="X64" s="1222">
        <v>1</v>
      </c>
      <c r="Y64" s="1223">
        <v>980</v>
      </c>
      <c r="Z64" s="1223">
        <v>980</v>
      </c>
      <c r="AA64" s="1223">
        <v>980</v>
      </c>
      <c r="AB64" s="1222">
        <v>1</v>
      </c>
      <c r="AC64" s="1222">
        <v>1</v>
      </c>
      <c r="AD64" s="1222">
        <v>1</v>
      </c>
      <c r="AE64" s="1223">
        <v>980</v>
      </c>
      <c r="AF64" s="1223">
        <v>980</v>
      </c>
      <c r="AG64" s="1223">
        <v>950</v>
      </c>
      <c r="AH64" s="1223">
        <f>M64+N64+O64+S64+T64+U64+Y64+Z64+AA64+AE64+AF64+AG64</f>
        <v>11730</v>
      </c>
      <c r="AI64" s="1223">
        <v>5685</v>
      </c>
      <c r="AJ64" s="1223"/>
      <c r="AK64" s="1223"/>
      <c r="AL64" s="1223">
        <v>6045</v>
      </c>
      <c r="AM64" s="1223"/>
      <c r="AN64" s="1223"/>
      <c r="AO64" s="1066" t="s">
        <v>2384</v>
      </c>
      <c r="AP64" s="1066" t="s">
        <v>2496</v>
      </c>
      <c r="AQ64" s="1066"/>
    </row>
    <row r="65" spans="1:43" ht="105">
      <c r="A65" s="18" t="s">
        <v>2562</v>
      </c>
      <c r="B65" s="18" t="s">
        <v>2563</v>
      </c>
      <c r="C65" s="642"/>
      <c r="D65" s="554" t="s">
        <v>2564</v>
      </c>
      <c r="E65" s="18" t="s">
        <v>2565</v>
      </c>
      <c r="F65" s="18" t="s">
        <v>2566</v>
      </c>
      <c r="G65" s="804">
        <f t="shared" si="0"/>
        <v>0.19742238068972817</v>
      </c>
      <c r="H65" s="804"/>
      <c r="I65" s="804"/>
      <c r="J65" s="805"/>
      <c r="K65" s="805"/>
      <c r="L65" s="805"/>
      <c r="M65" s="806"/>
      <c r="N65" s="806"/>
      <c r="O65" s="806"/>
      <c r="P65" s="805"/>
      <c r="Q65" s="805"/>
      <c r="R65" s="805"/>
      <c r="S65" s="806"/>
      <c r="T65" s="806"/>
      <c r="U65" s="806">
        <f t="shared" ref="U65" si="119">U66</f>
        <v>3910</v>
      </c>
      <c r="V65" s="805"/>
      <c r="W65" s="805"/>
      <c r="X65" s="805"/>
      <c r="Y65" s="806"/>
      <c r="Z65" s="806"/>
      <c r="AA65" s="806"/>
      <c r="AB65" s="805"/>
      <c r="AC65" s="805"/>
      <c r="AD65" s="805"/>
      <c r="AE65" s="806"/>
      <c r="AF65" s="806">
        <f t="shared" ref="AF65:AG65" si="120">AF66</f>
        <v>3910</v>
      </c>
      <c r="AG65" s="806">
        <f t="shared" si="120"/>
        <v>3910</v>
      </c>
      <c r="AH65" s="806">
        <f>AH66</f>
        <v>11730</v>
      </c>
      <c r="AI65" s="806">
        <f>AI66</f>
        <v>5685</v>
      </c>
      <c r="AJ65" s="806"/>
      <c r="AK65" s="806"/>
      <c r="AL65" s="806">
        <f>AL66</f>
        <v>6045</v>
      </c>
      <c r="AM65" s="806"/>
      <c r="AN65" s="806"/>
      <c r="AO65" s="1073" t="s">
        <v>2384</v>
      </c>
      <c r="AP65" s="1073" t="s">
        <v>2385</v>
      </c>
      <c r="AQ65" s="1073"/>
    </row>
    <row r="66" spans="1:43" ht="45">
      <c r="A66" s="22" t="s">
        <v>2567</v>
      </c>
      <c r="B66" s="22" t="s">
        <v>2568</v>
      </c>
      <c r="C66" s="1220">
        <f>+J66+K66+L66+P66+Q66+R66+V66+W66+X66+AB66+AC66+AD66</f>
        <v>3</v>
      </c>
      <c r="D66" s="1221" t="s">
        <v>2564</v>
      </c>
      <c r="E66" s="22" t="s">
        <v>2565</v>
      </c>
      <c r="F66" s="22" t="s">
        <v>2566</v>
      </c>
      <c r="G66" s="824">
        <f t="shared" si="0"/>
        <v>0.19742238068972817</v>
      </c>
      <c r="H66" s="824"/>
      <c r="I66" s="824">
        <f>+AH66/AH65*100</f>
        <v>100</v>
      </c>
      <c r="J66" s="1222"/>
      <c r="K66" s="1222"/>
      <c r="L66" s="1222"/>
      <c r="M66" s="1223"/>
      <c r="N66" s="1223"/>
      <c r="O66" s="1223"/>
      <c r="P66" s="1222"/>
      <c r="Q66" s="1222"/>
      <c r="R66" s="1222">
        <v>1</v>
      </c>
      <c r="S66" s="1223"/>
      <c r="T66" s="1223"/>
      <c r="U66" s="1223">
        <f>R66*3910</f>
        <v>3910</v>
      </c>
      <c r="V66" s="1222"/>
      <c r="W66" s="1222"/>
      <c r="X66" s="1222"/>
      <c r="Y66" s="1223"/>
      <c r="Z66" s="1223"/>
      <c r="AA66" s="1223"/>
      <c r="AB66" s="1222"/>
      <c r="AC66" s="1222">
        <v>1</v>
      </c>
      <c r="AD66" s="1222">
        <v>1</v>
      </c>
      <c r="AE66" s="1223"/>
      <c r="AF66" s="1223">
        <f>AC66*3910</f>
        <v>3910</v>
      </c>
      <c r="AG66" s="1223">
        <f>AD66*3910</f>
        <v>3910</v>
      </c>
      <c r="AH66" s="1223">
        <f>M66+N66+O66+S66+T66+U66+Y66+Z66+AA66+AE66+AF66+AG66</f>
        <v>11730</v>
      </c>
      <c r="AI66" s="1223">
        <v>5685</v>
      </c>
      <c r="AJ66" s="1223"/>
      <c r="AK66" s="1223"/>
      <c r="AL66" s="1223">
        <v>6045</v>
      </c>
      <c r="AM66" s="1223"/>
      <c r="AN66" s="1223"/>
      <c r="AO66" s="1066" t="s">
        <v>2384</v>
      </c>
      <c r="AP66" s="1066" t="s">
        <v>2496</v>
      </c>
      <c r="AQ66" s="1066"/>
    </row>
    <row r="67" spans="1:43" ht="45">
      <c r="A67" s="14" t="s">
        <v>1802</v>
      </c>
      <c r="B67" s="14" t="s">
        <v>1803</v>
      </c>
      <c r="C67" s="15"/>
      <c r="D67" s="14"/>
      <c r="E67" s="14"/>
      <c r="F67" s="14"/>
      <c r="G67" s="683">
        <f t="shared" si="0"/>
        <v>4.2790838174305152</v>
      </c>
      <c r="H67" s="683">
        <f>+G67</f>
        <v>4.2790838174305152</v>
      </c>
      <c r="I67" s="683"/>
      <c r="J67" s="684"/>
      <c r="K67" s="684"/>
      <c r="L67" s="684"/>
      <c r="M67" s="685">
        <f t="shared" ref="M67:O67" si="121">M68+M74</f>
        <v>18260</v>
      </c>
      <c r="N67" s="685">
        <f t="shared" si="121"/>
        <v>21140</v>
      </c>
      <c r="O67" s="685">
        <f t="shared" si="121"/>
        <v>22035</v>
      </c>
      <c r="P67" s="684"/>
      <c r="Q67" s="684"/>
      <c r="R67" s="684"/>
      <c r="S67" s="685">
        <f t="shared" ref="S67:U67" si="122">S68+S74</f>
        <v>19325</v>
      </c>
      <c r="T67" s="685">
        <f t="shared" si="122"/>
        <v>19850</v>
      </c>
      <c r="U67" s="685">
        <f t="shared" si="122"/>
        <v>22445</v>
      </c>
      <c r="V67" s="684"/>
      <c r="W67" s="684"/>
      <c r="X67" s="684"/>
      <c r="Y67" s="685">
        <f t="shared" ref="Y67:AA67" si="123">Y68+Y74</f>
        <v>22490</v>
      </c>
      <c r="Z67" s="685">
        <f t="shared" si="123"/>
        <v>23010</v>
      </c>
      <c r="AA67" s="685">
        <f t="shared" si="123"/>
        <v>23370</v>
      </c>
      <c r="AB67" s="684"/>
      <c r="AC67" s="684"/>
      <c r="AD67" s="684"/>
      <c r="AE67" s="685">
        <f t="shared" ref="AE67:AG67" si="124">AE68+AE74</f>
        <v>19370</v>
      </c>
      <c r="AF67" s="685">
        <f t="shared" si="124"/>
        <v>22550</v>
      </c>
      <c r="AG67" s="685">
        <f t="shared" si="124"/>
        <v>20400</v>
      </c>
      <c r="AH67" s="685">
        <f>AH68+AH74</f>
        <v>254245</v>
      </c>
      <c r="AI67" s="685">
        <f>AI68+AI74</f>
        <v>112325</v>
      </c>
      <c r="AJ67" s="685"/>
      <c r="AK67" s="685"/>
      <c r="AL67" s="685">
        <f>AL68+AL74</f>
        <v>141920</v>
      </c>
      <c r="AM67" s="685"/>
      <c r="AN67" s="685"/>
      <c r="AO67" s="1219" t="s">
        <v>2384</v>
      </c>
      <c r="AP67" s="1219" t="s">
        <v>2385</v>
      </c>
      <c r="AQ67" s="1219"/>
    </row>
    <row r="68" spans="1:43" ht="60">
      <c r="A68" s="18" t="s">
        <v>2569</v>
      </c>
      <c r="B68" s="18" t="s">
        <v>2570</v>
      </c>
      <c r="C68" s="642"/>
      <c r="D68" s="554" t="s">
        <v>1661</v>
      </c>
      <c r="E68" s="18" t="s">
        <v>2571</v>
      </c>
      <c r="F68" s="18" t="s">
        <v>2572</v>
      </c>
      <c r="G68" s="804">
        <f t="shared" si="0"/>
        <v>1.270285949067113</v>
      </c>
      <c r="H68" s="804"/>
      <c r="I68" s="804"/>
      <c r="J68" s="805"/>
      <c r="K68" s="805"/>
      <c r="L68" s="805"/>
      <c r="M68" s="806">
        <f>M69+M70+M71+M72+M73</f>
        <v>4080</v>
      </c>
      <c r="N68" s="806">
        <f t="shared" ref="N68:O68" si="125">N69+N70+N71+N72+N73</f>
        <v>6960</v>
      </c>
      <c r="O68" s="806">
        <f t="shared" si="125"/>
        <v>7855</v>
      </c>
      <c r="P68" s="805"/>
      <c r="Q68" s="805"/>
      <c r="R68" s="805"/>
      <c r="S68" s="806">
        <f t="shared" ref="S68:U68" si="126">S69+S70+S71+S72+S73</f>
        <v>5145</v>
      </c>
      <c r="T68" s="806">
        <f t="shared" si="126"/>
        <v>4590</v>
      </c>
      <c r="U68" s="806">
        <f t="shared" si="126"/>
        <v>7185</v>
      </c>
      <c r="V68" s="805"/>
      <c r="W68" s="805"/>
      <c r="X68" s="805"/>
      <c r="Y68" s="806">
        <f t="shared" ref="Y68:AA68" si="127">Y69+Y70+Y71+Y72+Y73</f>
        <v>7230</v>
      </c>
      <c r="Z68" s="806">
        <f t="shared" si="127"/>
        <v>7750</v>
      </c>
      <c r="AA68" s="806">
        <f t="shared" si="127"/>
        <v>8110</v>
      </c>
      <c r="AB68" s="805"/>
      <c r="AC68" s="805"/>
      <c r="AD68" s="805"/>
      <c r="AE68" s="806">
        <f t="shared" ref="AE68:AG68" si="128">AE69+AE70+AE71+AE72+AE73</f>
        <v>4110</v>
      </c>
      <c r="AF68" s="806">
        <f t="shared" si="128"/>
        <v>7290</v>
      </c>
      <c r="AG68" s="806">
        <f t="shared" si="128"/>
        <v>5170</v>
      </c>
      <c r="AH68" s="806">
        <f>AH69+AH70+AH71+AH72+AH73</f>
        <v>75475</v>
      </c>
      <c r="AI68" s="806">
        <f>AI69+AI70+AI71+AI72+AI73</f>
        <v>25695</v>
      </c>
      <c r="AJ68" s="806"/>
      <c r="AK68" s="806"/>
      <c r="AL68" s="806">
        <f>AL69+AL70+AL71+AL72+AL73</f>
        <v>49780</v>
      </c>
      <c r="AM68" s="806"/>
      <c r="AN68" s="806"/>
      <c r="AO68" s="1073" t="s">
        <v>2384</v>
      </c>
      <c r="AP68" s="1073" t="s">
        <v>2385</v>
      </c>
      <c r="AQ68" s="1073"/>
    </row>
    <row r="69" spans="1:43" ht="30">
      <c r="A69" s="22" t="s">
        <v>2573</v>
      </c>
      <c r="B69" s="22" t="s">
        <v>2574</v>
      </c>
      <c r="C69" s="1220">
        <f>+J69+K69+L69+P69+Q69+R69+V69+W69+X69+AB69+AC69+AD69</f>
        <v>148</v>
      </c>
      <c r="D69" s="1221" t="s">
        <v>1661</v>
      </c>
      <c r="E69" s="22" t="s">
        <v>2571</v>
      </c>
      <c r="F69" s="22" t="s">
        <v>2572</v>
      </c>
      <c r="G69" s="824">
        <f t="shared" si="0"/>
        <v>0.18160166135056838</v>
      </c>
      <c r="H69" s="824"/>
      <c r="I69" s="824">
        <f>+AH69/AH$68*100</f>
        <v>14.296124544551175</v>
      </c>
      <c r="J69" s="1222">
        <v>1</v>
      </c>
      <c r="K69" s="1222">
        <v>15</v>
      </c>
      <c r="L69" s="1222">
        <v>14</v>
      </c>
      <c r="M69" s="1223">
        <f>J69*70</f>
        <v>70</v>
      </c>
      <c r="N69" s="1223">
        <f t="shared" ref="N69:O69" si="129">K69*70</f>
        <v>1050</v>
      </c>
      <c r="O69" s="1223">
        <f t="shared" si="129"/>
        <v>980</v>
      </c>
      <c r="P69" s="1222">
        <v>6</v>
      </c>
      <c r="Q69" s="1222">
        <v>6</v>
      </c>
      <c r="R69" s="1222">
        <v>8</v>
      </c>
      <c r="S69" s="1223">
        <f t="shared" ref="S69:U69" si="130">P69*70</f>
        <v>420</v>
      </c>
      <c r="T69" s="1223">
        <f t="shared" si="130"/>
        <v>420</v>
      </c>
      <c r="U69" s="1223">
        <f t="shared" si="130"/>
        <v>560</v>
      </c>
      <c r="V69" s="1222">
        <v>24</v>
      </c>
      <c r="W69" s="1222">
        <v>12</v>
      </c>
      <c r="X69" s="1222">
        <v>12</v>
      </c>
      <c r="Y69" s="1223">
        <f t="shared" ref="Y69:Z69" si="131">V69*70</f>
        <v>1680</v>
      </c>
      <c r="Z69" s="1223">
        <f t="shared" si="131"/>
        <v>840</v>
      </c>
      <c r="AA69" s="1223">
        <f>X69*75</f>
        <v>900</v>
      </c>
      <c r="AB69" s="1222"/>
      <c r="AC69" s="1222">
        <v>30</v>
      </c>
      <c r="AD69" s="1222">
        <v>20</v>
      </c>
      <c r="AE69" s="1223"/>
      <c r="AF69" s="1223">
        <f>AC69*75</f>
        <v>2250</v>
      </c>
      <c r="AG69" s="1223">
        <f>AD69*70+220</f>
        <v>1620</v>
      </c>
      <c r="AH69" s="1223">
        <f t="shared" ref="AH69:AH73" si="132">M69+N69+O69+S69+T69+U69+Y69+Z69+AA69+AE69+AF69+AG69</f>
        <v>10790</v>
      </c>
      <c r="AI69" s="1223">
        <v>5230</v>
      </c>
      <c r="AJ69" s="1223"/>
      <c r="AK69" s="1223"/>
      <c r="AL69" s="1223">
        <v>5560</v>
      </c>
      <c r="AM69" s="1223"/>
      <c r="AN69" s="1223"/>
      <c r="AO69" s="1066" t="s">
        <v>2384</v>
      </c>
      <c r="AP69" s="1066" t="s">
        <v>2481</v>
      </c>
      <c r="AQ69" s="1066"/>
    </row>
    <row r="70" spans="1:43" ht="30">
      <c r="A70" s="22" t="s">
        <v>2575</v>
      </c>
      <c r="B70" s="22" t="s">
        <v>2576</v>
      </c>
      <c r="C70" s="1220">
        <f>+J70+K70+L70+P70+Q70+R70+V70+W70+X70+AB70+AC70+AD70</f>
        <v>124</v>
      </c>
      <c r="D70" s="1221" t="s">
        <v>50</v>
      </c>
      <c r="E70" s="22" t="s">
        <v>2577</v>
      </c>
      <c r="F70" s="22" t="s">
        <v>2572</v>
      </c>
      <c r="G70" s="824">
        <f t="shared" si="0"/>
        <v>0.18160166135056838</v>
      </c>
      <c r="H70" s="824"/>
      <c r="I70" s="824">
        <f t="shared" ref="I70:I73" si="133">+AH70/AH$68*100</f>
        <v>14.296124544551175</v>
      </c>
      <c r="J70" s="1222">
        <v>1</v>
      </c>
      <c r="K70" s="1222">
        <v>16</v>
      </c>
      <c r="L70" s="1222">
        <v>15</v>
      </c>
      <c r="M70" s="1223">
        <f>J70*85</f>
        <v>85</v>
      </c>
      <c r="N70" s="1223">
        <f>K70*85</f>
        <v>1360</v>
      </c>
      <c r="O70" s="1223">
        <f>L70*85</f>
        <v>1275</v>
      </c>
      <c r="P70" s="1222">
        <v>6</v>
      </c>
      <c r="Q70" s="1222">
        <v>4</v>
      </c>
      <c r="R70" s="1222">
        <v>7</v>
      </c>
      <c r="S70" s="1223">
        <f t="shared" ref="S70:U70" si="134">P70*85</f>
        <v>510</v>
      </c>
      <c r="T70" s="1223">
        <f t="shared" si="134"/>
        <v>340</v>
      </c>
      <c r="U70" s="1223">
        <f t="shared" si="134"/>
        <v>595</v>
      </c>
      <c r="V70" s="1222">
        <v>4</v>
      </c>
      <c r="W70" s="1222">
        <v>9</v>
      </c>
      <c r="X70" s="1222">
        <v>12</v>
      </c>
      <c r="Y70" s="1223">
        <f t="shared" ref="Y70:AA70" si="135">V70*85</f>
        <v>340</v>
      </c>
      <c r="Z70" s="1223">
        <f t="shared" si="135"/>
        <v>765</v>
      </c>
      <c r="AA70" s="1223">
        <f t="shared" si="135"/>
        <v>1020</v>
      </c>
      <c r="AB70" s="1222"/>
      <c r="AC70" s="1222">
        <v>30</v>
      </c>
      <c r="AD70" s="1222">
        <v>20</v>
      </c>
      <c r="AE70" s="1223"/>
      <c r="AF70" s="1223">
        <f>AC70*90</f>
        <v>2700</v>
      </c>
      <c r="AG70" s="1223">
        <f>AD70*90</f>
        <v>1800</v>
      </c>
      <c r="AH70" s="1223">
        <f t="shared" si="132"/>
        <v>10790</v>
      </c>
      <c r="AI70" s="1223">
        <v>5230</v>
      </c>
      <c r="AJ70" s="1223"/>
      <c r="AK70" s="1223"/>
      <c r="AL70" s="1223">
        <v>5560</v>
      </c>
      <c r="AM70" s="1223"/>
      <c r="AN70" s="1223"/>
      <c r="AO70" s="1066" t="s">
        <v>2384</v>
      </c>
      <c r="AP70" s="1066" t="s">
        <v>2481</v>
      </c>
      <c r="AQ70" s="1066"/>
    </row>
    <row r="71" spans="1:43" ht="45">
      <c r="A71" s="22" t="s">
        <v>2578</v>
      </c>
      <c r="B71" s="22" t="s">
        <v>2579</v>
      </c>
      <c r="C71" s="1220">
        <f>+J71+K71+L71+P71+Q71+R71+V71+W71+X71+AB71+AC71+AD71</f>
        <v>7843</v>
      </c>
      <c r="D71" s="1221" t="s">
        <v>2580</v>
      </c>
      <c r="E71" s="22" t="s">
        <v>2581</v>
      </c>
      <c r="F71" s="22" t="s">
        <v>2582</v>
      </c>
      <c r="G71" s="824">
        <f t="shared" si="0"/>
        <v>0.58385186582495063</v>
      </c>
      <c r="H71" s="824"/>
      <c r="I71" s="824">
        <f t="shared" si="133"/>
        <v>45.9622391520371</v>
      </c>
      <c r="J71" s="1222">
        <v>671</v>
      </c>
      <c r="K71" s="1222">
        <v>646</v>
      </c>
      <c r="L71" s="1222">
        <v>797</v>
      </c>
      <c r="M71" s="1223">
        <v>2985</v>
      </c>
      <c r="N71" s="1223">
        <v>2905</v>
      </c>
      <c r="O71" s="1223">
        <v>3585</v>
      </c>
      <c r="P71" s="1222">
        <v>541</v>
      </c>
      <c r="Q71" s="1222">
        <v>623</v>
      </c>
      <c r="R71" s="1222">
        <v>820</v>
      </c>
      <c r="S71" s="1223">
        <v>2435</v>
      </c>
      <c r="T71" s="1223">
        <v>2800</v>
      </c>
      <c r="U71" s="1223">
        <v>3690</v>
      </c>
      <c r="V71" s="1222">
        <v>762</v>
      </c>
      <c r="W71" s="1222">
        <v>813</v>
      </c>
      <c r="X71" s="1222">
        <v>771</v>
      </c>
      <c r="Y71" s="1223">
        <v>3430</v>
      </c>
      <c r="Z71" s="1223">
        <v>3660</v>
      </c>
      <c r="AA71" s="1223">
        <v>3470</v>
      </c>
      <c r="AB71" s="1222">
        <v>699</v>
      </c>
      <c r="AC71" s="1222">
        <v>425</v>
      </c>
      <c r="AD71" s="1222">
        <v>275</v>
      </c>
      <c r="AE71" s="1223">
        <v>2800</v>
      </c>
      <c r="AF71" s="1223">
        <f>AC71*4+65</f>
        <v>1765</v>
      </c>
      <c r="AG71" s="1223">
        <f>AD71*4+65</f>
        <v>1165</v>
      </c>
      <c r="AH71" s="1223">
        <f t="shared" si="132"/>
        <v>34690</v>
      </c>
      <c r="AI71" s="1223">
        <v>11370</v>
      </c>
      <c r="AJ71" s="1223"/>
      <c r="AK71" s="1223"/>
      <c r="AL71" s="1223">
        <v>23320</v>
      </c>
      <c r="AM71" s="1223"/>
      <c r="AN71" s="1223"/>
      <c r="AO71" s="1066" t="s">
        <v>2384</v>
      </c>
      <c r="AP71" s="1066" t="s">
        <v>2481</v>
      </c>
      <c r="AQ71" s="1066"/>
    </row>
    <row r="72" spans="1:43" ht="60">
      <c r="A72" s="22" t="s">
        <v>2583</v>
      </c>
      <c r="B72" s="22" t="s">
        <v>2584</v>
      </c>
      <c r="C72" s="1220">
        <f>+J72+K72+L72+P72+Q72+R72+V72+W72+X72+AB72+AC72+AD72</f>
        <v>76</v>
      </c>
      <c r="D72" s="1221" t="s">
        <v>2306</v>
      </c>
      <c r="E72" s="22" t="s">
        <v>2585</v>
      </c>
      <c r="F72" s="22" t="s">
        <v>2586</v>
      </c>
      <c r="G72" s="824">
        <f t="shared" si="0"/>
        <v>0.29958383429472818</v>
      </c>
      <c r="H72" s="824"/>
      <c r="I72" s="824">
        <f t="shared" si="133"/>
        <v>23.58396820139119</v>
      </c>
      <c r="J72" s="1222">
        <v>4</v>
      </c>
      <c r="K72" s="1222">
        <v>7</v>
      </c>
      <c r="L72" s="1222">
        <v>8</v>
      </c>
      <c r="M72" s="1223">
        <f>J72*235</f>
        <v>940</v>
      </c>
      <c r="N72" s="1223">
        <f t="shared" ref="N72:O72" si="136">K72*235</f>
        <v>1645</v>
      </c>
      <c r="O72" s="1223">
        <f t="shared" si="136"/>
        <v>1880</v>
      </c>
      <c r="P72" s="1222">
        <v>7</v>
      </c>
      <c r="Q72" s="1222">
        <v>4</v>
      </c>
      <c r="R72" s="1222">
        <v>9</v>
      </c>
      <c r="S72" s="1223">
        <f t="shared" ref="S72:U72" si="137">P72*235</f>
        <v>1645</v>
      </c>
      <c r="T72" s="1223">
        <f t="shared" si="137"/>
        <v>940</v>
      </c>
      <c r="U72" s="1223">
        <f t="shared" si="137"/>
        <v>2115</v>
      </c>
      <c r="V72" s="1222">
        <v>7</v>
      </c>
      <c r="W72" s="1222">
        <v>10</v>
      </c>
      <c r="X72" s="1222">
        <v>11</v>
      </c>
      <c r="Y72" s="1223">
        <f t="shared" ref="Y72:AA72" si="138">V72*235</f>
        <v>1645</v>
      </c>
      <c r="Z72" s="1223">
        <f t="shared" si="138"/>
        <v>2350</v>
      </c>
      <c r="AA72" s="1223">
        <f t="shared" si="138"/>
        <v>2585</v>
      </c>
      <c r="AB72" s="1222">
        <v>5</v>
      </c>
      <c r="AC72" s="1222">
        <v>2</v>
      </c>
      <c r="AD72" s="1222">
        <v>2</v>
      </c>
      <c r="AE72" s="1223">
        <f t="shared" ref="AE72" si="139">AB72*235</f>
        <v>1175</v>
      </c>
      <c r="AF72" s="1223">
        <f>AC72*235-30</f>
        <v>440</v>
      </c>
      <c r="AG72" s="1223">
        <f>AD72*235-30</f>
        <v>440</v>
      </c>
      <c r="AH72" s="1223">
        <f t="shared" si="132"/>
        <v>17800</v>
      </c>
      <c r="AI72" s="1223">
        <v>3185</v>
      </c>
      <c r="AJ72" s="1223"/>
      <c r="AK72" s="1223"/>
      <c r="AL72" s="1223">
        <v>14615</v>
      </c>
      <c r="AM72" s="1223"/>
      <c r="AN72" s="1223"/>
      <c r="AO72" s="1066" t="s">
        <v>2384</v>
      </c>
      <c r="AP72" s="1066" t="s">
        <v>2481</v>
      </c>
      <c r="AQ72" s="1066"/>
    </row>
    <row r="73" spans="1:43" ht="60">
      <c r="A73" s="22" t="s">
        <v>2587</v>
      </c>
      <c r="B73" s="22" t="s">
        <v>2588</v>
      </c>
      <c r="C73" s="1220">
        <f>+J73+K73+L73+P73+Q73+R73+V73+W73+X73+AB73+AC73+AD73</f>
        <v>31</v>
      </c>
      <c r="D73" s="1221" t="s">
        <v>1950</v>
      </c>
      <c r="E73" s="22" t="s">
        <v>2589</v>
      </c>
      <c r="F73" s="22" t="s">
        <v>2590</v>
      </c>
      <c r="G73" s="824">
        <f t="shared" si="0"/>
        <v>2.3646926246297363E-2</v>
      </c>
      <c r="H73" s="824"/>
      <c r="I73" s="824">
        <f t="shared" si="133"/>
        <v>1.8615435574693608</v>
      </c>
      <c r="J73" s="1222"/>
      <c r="K73" s="1222"/>
      <c r="L73" s="1222">
        <v>3</v>
      </c>
      <c r="M73" s="1223"/>
      <c r="N73" s="1223"/>
      <c r="O73" s="1223">
        <f>L73*45</f>
        <v>135</v>
      </c>
      <c r="P73" s="1222">
        <v>3</v>
      </c>
      <c r="Q73" s="1222">
        <v>2</v>
      </c>
      <c r="R73" s="1222">
        <v>5</v>
      </c>
      <c r="S73" s="1223">
        <f t="shared" ref="S73:U73" si="140">P73*45</f>
        <v>135</v>
      </c>
      <c r="T73" s="1223">
        <f t="shared" si="140"/>
        <v>90</v>
      </c>
      <c r="U73" s="1223">
        <f t="shared" si="140"/>
        <v>225</v>
      </c>
      <c r="V73" s="1222">
        <v>3</v>
      </c>
      <c r="W73" s="1222">
        <v>3</v>
      </c>
      <c r="X73" s="1222">
        <v>3</v>
      </c>
      <c r="Y73" s="1223">
        <f t="shared" ref="Y73:AA73" si="141">V73*45</f>
        <v>135</v>
      </c>
      <c r="Z73" s="1223">
        <f t="shared" si="141"/>
        <v>135</v>
      </c>
      <c r="AA73" s="1223">
        <f t="shared" si="141"/>
        <v>135</v>
      </c>
      <c r="AB73" s="1222">
        <v>3</v>
      </c>
      <c r="AC73" s="1222">
        <v>3</v>
      </c>
      <c r="AD73" s="1222">
        <v>3</v>
      </c>
      <c r="AE73" s="1223">
        <f t="shared" ref="AE73:AF73" si="142">AB73*45</f>
        <v>135</v>
      </c>
      <c r="AF73" s="1223">
        <f t="shared" si="142"/>
        <v>135</v>
      </c>
      <c r="AG73" s="1223">
        <f>AD73*45+10</f>
        <v>145</v>
      </c>
      <c r="AH73" s="1223">
        <f t="shared" si="132"/>
        <v>1405</v>
      </c>
      <c r="AI73" s="1223">
        <v>680</v>
      </c>
      <c r="AJ73" s="1223"/>
      <c r="AK73" s="1223"/>
      <c r="AL73" s="1223">
        <v>725</v>
      </c>
      <c r="AM73" s="1223"/>
      <c r="AN73" s="1223"/>
      <c r="AO73" s="1066" t="s">
        <v>2384</v>
      </c>
      <c r="AP73" s="1066" t="s">
        <v>2481</v>
      </c>
      <c r="AQ73" s="1066"/>
    </row>
    <row r="74" spans="1:43" ht="30">
      <c r="A74" s="18" t="s">
        <v>1804</v>
      </c>
      <c r="B74" s="18" t="s">
        <v>1805</v>
      </c>
      <c r="C74" s="642"/>
      <c r="D74" s="554" t="s">
        <v>1617</v>
      </c>
      <c r="E74" s="18" t="s">
        <v>1806</v>
      </c>
      <c r="F74" s="18" t="s">
        <v>52</v>
      </c>
      <c r="G74" s="804">
        <f t="shared" ref="G74:G137" si="143">+AH74/AH$289*100</f>
        <v>3.008797868363402</v>
      </c>
      <c r="H74" s="804"/>
      <c r="I74" s="804"/>
      <c r="J74" s="805"/>
      <c r="K74" s="805"/>
      <c r="L74" s="805"/>
      <c r="M74" s="806">
        <f t="shared" ref="M74:O74" si="144">M75+M76+M77+M78</f>
        <v>14180</v>
      </c>
      <c r="N74" s="806">
        <f t="shared" si="144"/>
        <v>14180</v>
      </c>
      <c r="O74" s="806">
        <f t="shared" si="144"/>
        <v>14180</v>
      </c>
      <c r="P74" s="805"/>
      <c r="Q74" s="805"/>
      <c r="R74" s="805"/>
      <c r="S74" s="806">
        <f t="shared" ref="S74:U74" si="145">S75+S76+S77+S78</f>
        <v>14180</v>
      </c>
      <c r="T74" s="806">
        <f t="shared" si="145"/>
        <v>15260</v>
      </c>
      <c r="U74" s="806">
        <f t="shared" si="145"/>
        <v>15260</v>
      </c>
      <c r="V74" s="805"/>
      <c r="W74" s="805"/>
      <c r="X74" s="805"/>
      <c r="Y74" s="806">
        <f t="shared" ref="Y74:AA74" si="146">Y75+Y76+Y77+Y78</f>
        <v>15260</v>
      </c>
      <c r="Z74" s="806">
        <f t="shared" si="146"/>
        <v>15260</v>
      </c>
      <c r="AA74" s="806">
        <f t="shared" si="146"/>
        <v>15260</v>
      </c>
      <c r="AB74" s="805"/>
      <c r="AC74" s="805"/>
      <c r="AD74" s="805"/>
      <c r="AE74" s="806">
        <f t="shared" ref="AE74:AG74" si="147">AE75+AE76+AE77+AE78</f>
        <v>15260</v>
      </c>
      <c r="AF74" s="806">
        <f t="shared" si="147"/>
        <v>15260</v>
      </c>
      <c r="AG74" s="806">
        <f t="shared" si="147"/>
        <v>15230</v>
      </c>
      <c r="AH74" s="806">
        <f>AH75+AH76+AH77+AH78</f>
        <v>178770</v>
      </c>
      <c r="AI74" s="806">
        <f>AI75+AI76+AI77+AI78</f>
        <v>86630</v>
      </c>
      <c r="AJ74" s="806"/>
      <c r="AK74" s="806"/>
      <c r="AL74" s="806">
        <f>AL75+AL76+AL77+AL78</f>
        <v>92140</v>
      </c>
      <c r="AM74" s="806"/>
      <c r="AN74" s="806"/>
      <c r="AO74" s="1073" t="s">
        <v>2384</v>
      </c>
      <c r="AP74" s="1073" t="s">
        <v>2385</v>
      </c>
      <c r="AQ74" s="1073"/>
    </row>
    <row r="75" spans="1:43" ht="30">
      <c r="A75" s="22" t="s">
        <v>2591</v>
      </c>
      <c r="B75" s="22" t="s">
        <v>2592</v>
      </c>
      <c r="C75" s="1220">
        <f>+J75+K75+L75+P75+Q75+R75+V75+W75+X75+AB75+AC75+AD75</f>
        <v>20</v>
      </c>
      <c r="D75" s="1221" t="s">
        <v>1021</v>
      </c>
      <c r="E75" s="22" t="s">
        <v>2593</v>
      </c>
      <c r="F75" s="22" t="s">
        <v>2594</v>
      </c>
      <c r="G75" s="824">
        <f t="shared" si="143"/>
        <v>0.36328747546357909</v>
      </c>
      <c r="H75" s="824"/>
      <c r="I75" s="824">
        <f>+AH75/AH$74*100</f>
        <v>12.07417351904682</v>
      </c>
      <c r="J75" s="1222">
        <v>1</v>
      </c>
      <c r="K75" s="1222">
        <v>1</v>
      </c>
      <c r="L75" s="1222">
        <v>1</v>
      </c>
      <c r="M75" s="1223">
        <v>1080</v>
      </c>
      <c r="N75" s="1223">
        <v>1080</v>
      </c>
      <c r="O75" s="1223">
        <v>1080</v>
      </c>
      <c r="P75" s="1222">
        <v>1</v>
      </c>
      <c r="Q75" s="1222">
        <v>2</v>
      </c>
      <c r="R75" s="1222">
        <v>2</v>
      </c>
      <c r="S75" s="1223">
        <v>1080</v>
      </c>
      <c r="T75" s="1223">
        <v>2160</v>
      </c>
      <c r="U75" s="1223">
        <v>2160</v>
      </c>
      <c r="V75" s="1222">
        <v>2</v>
      </c>
      <c r="W75" s="1222">
        <v>2</v>
      </c>
      <c r="X75" s="1222">
        <v>2</v>
      </c>
      <c r="Y75" s="1223">
        <v>2160</v>
      </c>
      <c r="Z75" s="1223">
        <v>2160</v>
      </c>
      <c r="AA75" s="1223">
        <v>2160</v>
      </c>
      <c r="AB75" s="1222">
        <v>2</v>
      </c>
      <c r="AC75" s="1222">
        <v>2</v>
      </c>
      <c r="AD75" s="1222">
        <v>2</v>
      </c>
      <c r="AE75" s="1223">
        <v>2160</v>
      </c>
      <c r="AF75" s="1223">
        <v>2160</v>
      </c>
      <c r="AG75" s="1223">
        <v>2145</v>
      </c>
      <c r="AH75" s="1223">
        <f t="shared" ref="AH75:AH78" si="148">M75+N75+O75+S75+T75+U75+Y75+Z75+AA75+AE75+AF75+AG75</f>
        <v>21585</v>
      </c>
      <c r="AI75" s="1223">
        <v>10460</v>
      </c>
      <c r="AJ75" s="1223"/>
      <c r="AK75" s="1223"/>
      <c r="AL75" s="1223">
        <v>11125</v>
      </c>
      <c r="AM75" s="1223"/>
      <c r="AN75" s="1223"/>
      <c r="AO75" s="1066" t="s">
        <v>2384</v>
      </c>
      <c r="AP75" s="1066" t="s">
        <v>2496</v>
      </c>
      <c r="AQ75" s="1066"/>
    </row>
    <row r="76" spans="1:43" ht="45">
      <c r="A76" s="1234" t="s">
        <v>2595</v>
      </c>
      <c r="B76" s="1235" t="s">
        <v>2596</v>
      </c>
      <c r="C76" s="1220">
        <f>+J76+K76+L76+P76+Q76+R76+V76+W76+X76+AB76+AC76+AD76</f>
        <v>150</v>
      </c>
      <c r="D76" s="1221" t="s">
        <v>419</v>
      </c>
      <c r="E76" s="1235" t="s">
        <v>2597</v>
      </c>
      <c r="F76" s="1235" t="s">
        <v>2598</v>
      </c>
      <c r="G76" s="824">
        <f t="shared" si="143"/>
        <v>1.184534284138369</v>
      </c>
      <c r="H76" s="824"/>
      <c r="I76" s="824">
        <f t="shared" ref="I76:I78" si="149">+AH76/AH$74*100</f>
        <v>39.369021647927504</v>
      </c>
      <c r="J76" s="1222">
        <v>13</v>
      </c>
      <c r="K76" s="1222">
        <v>14</v>
      </c>
      <c r="L76" s="1222">
        <v>12</v>
      </c>
      <c r="M76" s="1223">
        <v>5865</v>
      </c>
      <c r="N76" s="1223">
        <v>5865</v>
      </c>
      <c r="O76" s="1223">
        <v>5865</v>
      </c>
      <c r="P76" s="1222">
        <v>12</v>
      </c>
      <c r="Q76" s="1222">
        <v>12</v>
      </c>
      <c r="R76" s="1222">
        <v>12</v>
      </c>
      <c r="S76" s="1223">
        <v>5865</v>
      </c>
      <c r="T76" s="1223">
        <v>5865</v>
      </c>
      <c r="U76" s="1223">
        <v>5865</v>
      </c>
      <c r="V76" s="1222">
        <v>12</v>
      </c>
      <c r="W76" s="1222">
        <v>12</v>
      </c>
      <c r="X76" s="1222">
        <v>12</v>
      </c>
      <c r="Y76" s="1223">
        <v>5865</v>
      </c>
      <c r="Z76" s="1223">
        <v>5865</v>
      </c>
      <c r="AA76" s="1223">
        <v>5865</v>
      </c>
      <c r="AB76" s="1222">
        <v>15</v>
      </c>
      <c r="AC76" s="1222">
        <v>12</v>
      </c>
      <c r="AD76" s="1222">
        <v>12</v>
      </c>
      <c r="AE76" s="1223">
        <v>5865</v>
      </c>
      <c r="AF76" s="1223">
        <v>5865</v>
      </c>
      <c r="AG76" s="1223">
        <v>5865</v>
      </c>
      <c r="AH76" s="1223">
        <f t="shared" si="148"/>
        <v>70380</v>
      </c>
      <c r="AI76" s="1223">
        <v>34105</v>
      </c>
      <c r="AJ76" s="1223"/>
      <c r="AK76" s="1223"/>
      <c r="AL76" s="1223">
        <v>36275</v>
      </c>
      <c r="AM76" s="1223"/>
      <c r="AN76" s="1223"/>
      <c r="AO76" s="1066" t="s">
        <v>2384</v>
      </c>
      <c r="AP76" s="1066" t="s">
        <v>2496</v>
      </c>
      <c r="AQ76" s="1066"/>
    </row>
    <row r="77" spans="1:43" ht="45">
      <c r="A77" s="1234" t="s">
        <v>2599</v>
      </c>
      <c r="B77" s="1235" t="s">
        <v>2596</v>
      </c>
      <c r="C77" s="1220">
        <f>+J77+K77+L77+P77+Q77+R77+V77+W77+X77+AB77+AC77+AD77</f>
        <v>27</v>
      </c>
      <c r="D77" s="1221" t="s">
        <v>424</v>
      </c>
      <c r="E77" s="1235" t="s">
        <v>2597</v>
      </c>
      <c r="F77" s="1235" t="s">
        <v>2598</v>
      </c>
      <c r="G77" s="824">
        <f t="shared" si="143"/>
        <v>1.184534284138369</v>
      </c>
      <c r="H77" s="824"/>
      <c r="I77" s="824">
        <f t="shared" si="149"/>
        <v>39.369021647927504</v>
      </c>
      <c r="J77" s="1222">
        <v>3</v>
      </c>
      <c r="K77" s="1222">
        <v>2</v>
      </c>
      <c r="L77" s="1222">
        <v>2</v>
      </c>
      <c r="M77" s="1223">
        <v>5865</v>
      </c>
      <c r="N77" s="1223">
        <v>5865</v>
      </c>
      <c r="O77" s="1223">
        <v>5865</v>
      </c>
      <c r="P77" s="1222">
        <v>2</v>
      </c>
      <c r="Q77" s="1222">
        <v>2</v>
      </c>
      <c r="R77" s="1222">
        <v>2</v>
      </c>
      <c r="S77" s="1223">
        <v>5865</v>
      </c>
      <c r="T77" s="1223">
        <v>5865</v>
      </c>
      <c r="U77" s="1223">
        <v>5865</v>
      </c>
      <c r="V77" s="1222">
        <v>2</v>
      </c>
      <c r="W77" s="1222">
        <v>3</v>
      </c>
      <c r="X77" s="1222">
        <v>2</v>
      </c>
      <c r="Y77" s="1223">
        <v>5865</v>
      </c>
      <c r="Z77" s="1223">
        <v>5865</v>
      </c>
      <c r="AA77" s="1223">
        <v>5865</v>
      </c>
      <c r="AB77" s="1222">
        <v>3</v>
      </c>
      <c r="AC77" s="1222">
        <v>2</v>
      </c>
      <c r="AD77" s="1222">
        <v>2</v>
      </c>
      <c r="AE77" s="1223">
        <v>5865</v>
      </c>
      <c r="AF77" s="1223">
        <v>5865</v>
      </c>
      <c r="AG77" s="1223">
        <v>5865</v>
      </c>
      <c r="AH77" s="1223">
        <f t="shared" si="148"/>
        <v>70380</v>
      </c>
      <c r="AI77" s="1223">
        <v>34105</v>
      </c>
      <c r="AJ77" s="1223"/>
      <c r="AK77" s="1223"/>
      <c r="AL77" s="1223">
        <v>36275</v>
      </c>
      <c r="AM77" s="1223"/>
      <c r="AN77" s="1223"/>
      <c r="AO77" s="1066" t="s">
        <v>2384</v>
      </c>
      <c r="AP77" s="1066" t="s">
        <v>2496</v>
      </c>
      <c r="AQ77" s="1066"/>
    </row>
    <row r="78" spans="1:43" ht="45">
      <c r="A78" s="1234" t="s">
        <v>2600</v>
      </c>
      <c r="B78" s="1235" t="s">
        <v>2596</v>
      </c>
      <c r="C78" s="1220">
        <f>+J78+K78+L78+P78+Q78+R78+V78+W78+X78+AB78+AC78+AD78</f>
        <v>24</v>
      </c>
      <c r="D78" s="1221" t="s">
        <v>944</v>
      </c>
      <c r="E78" s="1235" t="s">
        <v>2597</v>
      </c>
      <c r="F78" s="1235" t="s">
        <v>2598</v>
      </c>
      <c r="G78" s="824">
        <f t="shared" si="143"/>
        <v>0.27644182462308486</v>
      </c>
      <c r="H78" s="824"/>
      <c r="I78" s="824">
        <f t="shared" si="149"/>
        <v>9.187783185098171</v>
      </c>
      <c r="J78" s="1222">
        <v>2</v>
      </c>
      <c r="K78" s="1222">
        <v>2</v>
      </c>
      <c r="L78" s="1222">
        <v>2</v>
      </c>
      <c r="M78" s="1223">
        <v>1370</v>
      </c>
      <c r="N78" s="1223">
        <v>1370</v>
      </c>
      <c r="O78" s="1223">
        <v>1370</v>
      </c>
      <c r="P78" s="1222">
        <v>2</v>
      </c>
      <c r="Q78" s="1222">
        <v>2</v>
      </c>
      <c r="R78" s="1222">
        <v>2</v>
      </c>
      <c r="S78" s="1223">
        <v>1370</v>
      </c>
      <c r="T78" s="1223">
        <v>1370</v>
      </c>
      <c r="U78" s="1223">
        <v>1370</v>
      </c>
      <c r="V78" s="1222">
        <v>2</v>
      </c>
      <c r="W78" s="1222">
        <v>2</v>
      </c>
      <c r="X78" s="1222">
        <v>2</v>
      </c>
      <c r="Y78" s="1223">
        <v>1370</v>
      </c>
      <c r="Z78" s="1223">
        <v>1370</v>
      </c>
      <c r="AA78" s="1223">
        <v>1370</v>
      </c>
      <c r="AB78" s="1222">
        <v>2</v>
      </c>
      <c r="AC78" s="1222">
        <v>2</v>
      </c>
      <c r="AD78" s="1222">
        <v>2</v>
      </c>
      <c r="AE78" s="1223">
        <v>1370</v>
      </c>
      <c r="AF78" s="1223">
        <v>1370</v>
      </c>
      <c r="AG78" s="1223">
        <v>1355</v>
      </c>
      <c r="AH78" s="1223">
        <f t="shared" si="148"/>
        <v>16425</v>
      </c>
      <c r="AI78" s="1223">
        <v>7960</v>
      </c>
      <c r="AJ78" s="1223"/>
      <c r="AK78" s="1223"/>
      <c r="AL78" s="1223">
        <v>8465</v>
      </c>
      <c r="AM78" s="1223"/>
      <c r="AN78" s="1223"/>
      <c r="AO78" s="1066" t="s">
        <v>2384</v>
      </c>
      <c r="AP78" s="1066" t="s">
        <v>2496</v>
      </c>
      <c r="AQ78" s="1066"/>
    </row>
    <row r="79" spans="1:43" ht="30">
      <c r="A79" s="14" t="s">
        <v>2601</v>
      </c>
      <c r="B79" s="14" t="s">
        <v>2602</v>
      </c>
      <c r="C79" s="15"/>
      <c r="D79" s="14"/>
      <c r="E79" s="14"/>
      <c r="F79" s="14"/>
      <c r="G79" s="683">
        <f t="shared" si="143"/>
        <v>3.8289506911264413</v>
      </c>
      <c r="H79" s="683">
        <f>+G79</f>
        <v>3.8289506911264413</v>
      </c>
      <c r="I79" s="683"/>
      <c r="J79" s="684"/>
      <c r="K79" s="684"/>
      <c r="L79" s="684"/>
      <c r="M79" s="685">
        <f t="shared" ref="M79:O79" si="150">M80+M87</f>
        <v>10670</v>
      </c>
      <c r="N79" s="685">
        <f t="shared" si="150"/>
        <v>9290</v>
      </c>
      <c r="O79" s="685">
        <f t="shared" si="150"/>
        <v>12465</v>
      </c>
      <c r="P79" s="684"/>
      <c r="Q79" s="684"/>
      <c r="R79" s="684"/>
      <c r="S79" s="685">
        <f t="shared" ref="S79:U79" si="151">S80+S87</f>
        <v>12280</v>
      </c>
      <c r="T79" s="685">
        <f t="shared" si="151"/>
        <v>13220</v>
      </c>
      <c r="U79" s="685">
        <f t="shared" si="151"/>
        <v>39035</v>
      </c>
      <c r="V79" s="684"/>
      <c r="W79" s="684"/>
      <c r="X79" s="684"/>
      <c r="Y79" s="685">
        <f t="shared" ref="Y79:AA79" si="152">Y80+Y87</f>
        <v>28095</v>
      </c>
      <c r="Z79" s="685">
        <f t="shared" si="152"/>
        <v>23990</v>
      </c>
      <c r="AA79" s="685">
        <f t="shared" si="152"/>
        <v>18140</v>
      </c>
      <c r="AB79" s="684"/>
      <c r="AC79" s="684"/>
      <c r="AD79" s="684"/>
      <c r="AE79" s="685">
        <f t="shared" ref="AE79:AF79" si="153">AE80+AE87</f>
        <v>14355</v>
      </c>
      <c r="AF79" s="685">
        <f t="shared" si="153"/>
        <v>12235</v>
      </c>
      <c r="AG79" s="685">
        <f>AG80+AG87</f>
        <v>33725</v>
      </c>
      <c r="AH79" s="685">
        <f>AH80+AH87</f>
        <v>227500</v>
      </c>
      <c r="AI79" s="685">
        <f>AI80+AI87</f>
        <v>104920</v>
      </c>
      <c r="AJ79" s="685"/>
      <c r="AK79" s="685"/>
      <c r="AL79" s="685">
        <f>AL80+AL87</f>
        <v>122580</v>
      </c>
      <c r="AM79" s="685"/>
      <c r="AN79" s="685"/>
      <c r="AO79" s="1219" t="s">
        <v>2384</v>
      </c>
      <c r="AP79" s="1219" t="s">
        <v>2385</v>
      </c>
      <c r="AQ79" s="1219"/>
    </row>
    <row r="80" spans="1:43" ht="90">
      <c r="A80" s="18" t="s">
        <v>2603</v>
      </c>
      <c r="B80" s="18" t="s">
        <v>2604</v>
      </c>
      <c r="C80" s="642"/>
      <c r="D80" s="554" t="s">
        <v>1950</v>
      </c>
      <c r="E80" s="18" t="s">
        <v>2605</v>
      </c>
      <c r="F80" s="18" t="s">
        <v>2606</v>
      </c>
      <c r="G80" s="804">
        <f t="shared" si="143"/>
        <v>3.2208628297180972</v>
      </c>
      <c r="H80" s="804"/>
      <c r="I80" s="804"/>
      <c r="J80" s="805"/>
      <c r="K80" s="805"/>
      <c r="L80" s="805"/>
      <c r="M80" s="806">
        <f t="shared" ref="M80:O80" si="154">M81+M82+M83+M84+M85+M86</f>
        <v>7660</v>
      </c>
      <c r="N80" s="806">
        <f t="shared" si="154"/>
        <v>6280</v>
      </c>
      <c r="O80" s="806">
        <f t="shared" si="154"/>
        <v>9455</v>
      </c>
      <c r="P80" s="805"/>
      <c r="Q80" s="805"/>
      <c r="R80" s="805"/>
      <c r="S80" s="806">
        <f t="shared" ref="S80:U80" si="155">S81+S82+S83+S84+S85+S86</f>
        <v>9270</v>
      </c>
      <c r="T80" s="806">
        <f t="shared" si="155"/>
        <v>10210</v>
      </c>
      <c r="U80" s="806">
        <f t="shared" si="155"/>
        <v>36025</v>
      </c>
      <c r="V80" s="805"/>
      <c r="W80" s="805"/>
      <c r="X80" s="805"/>
      <c r="Y80" s="806">
        <f t="shared" ref="Y80:AA80" si="156">Y81+Y82+Y83+Y84+Y85+Y86</f>
        <v>25085</v>
      </c>
      <c r="Z80" s="806">
        <f t="shared" si="156"/>
        <v>20980</v>
      </c>
      <c r="AA80" s="806">
        <f t="shared" si="156"/>
        <v>15130</v>
      </c>
      <c r="AB80" s="805"/>
      <c r="AC80" s="805"/>
      <c r="AD80" s="805"/>
      <c r="AE80" s="806">
        <f t="shared" ref="AE80:AG80" si="157">AE81+AE82+AE83+AE84+AE85+AE86</f>
        <v>11345</v>
      </c>
      <c r="AF80" s="806">
        <f t="shared" si="157"/>
        <v>9225</v>
      </c>
      <c r="AG80" s="806">
        <f t="shared" si="157"/>
        <v>30705</v>
      </c>
      <c r="AH80" s="806">
        <f>AH81+AH82+AH83+AH84+AH85+AH86</f>
        <v>191370</v>
      </c>
      <c r="AI80" s="806">
        <f>AI81+AI82+AI83+AI84+AI85+AI86</f>
        <v>87410</v>
      </c>
      <c r="AJ80" s="806"/>
      <c r="AK80" s="806"/>
      <c r="AL80" s="806">
        <f>AL81+AL82+AL83+AL84+AL85+AL86</f>
        <v>103960</v>
      </c>
      <c r="AM80" s="806"/>
      <c r="AN80" s="806"/>
      <c r="AO80" s="1073" t="s">
        <v>2384</v>
      </c>
      <c r="AP80" s="1073" t="s">
        <v>2385</v>
      </c>
      <c r="AQ80" s="1073"/>
    </row>
    <row r="81" spans="1:43" ht="30">
      <c r="A81" s="22" t="s">
        <v>2607</v>
      </c>
      <c r="B81" s="22" t="s">
        <v>2608</v>
      </c>
      <c r="C81" s="1220">
        <f t="shared" ref="C81:C86" si="158">+J81+K81+L81+P81+Q81+R81+V81+W81+X81+AB81+AC81+AD81</f>
        <v>50</v>
      </c>
      <c r="D81" s="1221" t="s">
        <v>2446</v>
      </c>
      <c r="E81" s="22" t="s">
        <v>2609</v>
      </c>
      <c r="F81" s="22" t="s">
        <v>2610</v>
      </c>
      <c r="G81" s="824">
        <f t="shared" si="143"/>
        <v>0.79709496585383854</v>
      </c>
      <c r="H81" s="824"/>
      <c r="I81" s="824">
        <f>+AH81/+AH$80*100</f>
        <v>24.747870617129124</v>
      </c>
      <c r="J81" s="1222"/>
      <c r="K81" s="1222"/>
      <c r="L81" s="1222"/>
      <c r="M81" s="1223"/>
      <c r="N81" s="1223"/>
      <c r="O81" s="1223"/>
      <c r="P81" s="1222"/>
      <c r="Q81" s="1222"/>
      <c r="R81" s="1222">
        <v>25</v>
      </c>
      <c r="S81" s="1223"/>
      <c r="T81" s="1223"/>
      <c r="U81" s="1223">
        <f>R81*945+55</f>
        <v>23680</v>
      </c>
      <c r="V81" s="1222"/>
      <c r="W81" s="1222"/>
      <c r="X81" s="1222"/>
      <c r="Y81" s="1223"/>
      <c r="Z81" s="1223"/>
      <c r="AA81" s="1223"/>
      <c r="AB81" s="1222"/>
      <c r="AC81" s="1222"/>
      <c r="AD81" s="1222">
        <v>25</v>
      </c>
      <c r="AE81" s="1223"/>
      <c r="AF81" s="1223"/>
      <c r="AG81" s="1223">
        <f>AD81*945+55</f>
        <v>23680</v>
      </c>
      <c r="AH81" s="1223">
        <f t="shared" ref="AH81:AH86" si="159">M81+N81+O81+S81+T81+U81+Y81+Z81+AA81+AE81+AF81+AG81</f>
        <v>47360</v>
      </c>
      <c r="AI81" s="1223">
        <v>17510</v>
      </c>
      <c r="AJ81" s="1223"/>
      <c r="AK81" s="1223"/>
      <c r="AL81" s="1223">
        <v>29850</v>
      </c>
      <c r="AM81" s="1223"/>
      <c r="AN81" s="1223"/>
      <c r="AO81" s="1066" t="s">
        <v>2384</v>
      </c>
      <c r="AP81" s="1066" t="s">
        <v>2431</v>
      </c>
      <c r="AQ81" s="1066"/>
    </row>
    <row r="82" spans="1:43" ht="75">
      <c r="A82" s="22" t="s">
        <v>2611</v>
      </c>
      <c r="B82" s="22" t="s">
        <v>2612</v>
      </c>
      <c r="C82" s="1220">
        <f t="shared" si="158"/>
        <v>505</v>
      </c>
      <c r="D82" s="1221" t="s">
        <v>1950</v>
      </c>
      <c r="E82" s="22" t="s">
        <v>2605</v>
      </c>
      <c r="F82" s="22" t="s">
        <v>2606</v>
      </c>
      <c r="G82" s="824">
        <f t="shared" si="143"/>
        <v>0.99443319378112438</v>
      </c>
      <c r="H82" s="824"/>
      <c r="I82" s="824">
        <f t="shared" ref="I82:I86" si="160">+AH82/+AH$80*100</f>
        <v>30.874745257877411</v>
      </c>
      <c r="J82" s="1222">
        <v>35</v>
      </c>
      <c r="K82" s="1222">
        <v>23</v>
      </c>
      <c r="L82" s="1222">
        <v>16</v>
      </c>
      <c r="M82" s="1223">
        <f>J82*115</f>
        <v>4025</v>
      </c>
      <c r="N82" s="1223">
        <f>K82*115</f>
        <v>2645</v>
      </c>
      <c r="O82" s="1223">
        <f>L82*115</f>
        <v>1840</v>
      </c>
      <c r="P82" s="1222">
        <v>49</v>
      </c>
      <c r="Q82" s="1222">
        <v>24</v>
      </c>
      <c r="R82" s="1222">
        <v>26</v>
      </c>
      <c r="S82" s="1223">
        <f t="shared" ref="S82:U82" si="161">P82*115</f>
        <v>5635</v>
      </c>
      <c r="T82" s="1223">
        <f t="shared" si="161"/>
        <v>2760</v>
      </c>
      <c r="U82" s="1223">
        <f t="shared" si="161"/>
        <v>2990</v>
      </c>
      <c r="V82" s="1222">
        <v>95</v>
      </c>
      <c r="W82" s="1222">
        <v>111</v>
      </c>
      <c r="X82" s="1222">
        <v>64</v>
      </c>
      <c r="Y82" s="1223">
        <f t="shared" ref="Y82" si="162">V82*115</f>
        <v>10925</v>
      </c>
      <c r="Z82" s="1223">
        <f>W82*120</f>
        <v>13320</v>
      </c>
      <c r="AA82" s="1223">
        <f>X82*120</f>
        <v>7680</v>
      </c>
      <c r="AB82" s="1222">
        <v>32</v>
      </c>
      <c r="AC82" s="1222">
        <v>15</v>
      </c>
      <c r="AD82" s="1222">
        <v>15</v>
      </c>
      <c r="AE82" s="1223">
        <f>AB82*120</f>
        <v>3840</v>
      </c>
      <c r="AF82" s="1223">
        <f>AC82*120-85</f>
        <v>1715</v>
      </c>
      <c r="AG82" s="1223">
        <f>AD82*120-90</f>
        <v>1710</v>
      </c>
      <c r="AH82" s="1223">
        <f t="shared" si="159"/>
        <v>59085</v>
      </c>
      <c r="AI82" s="1223">
        <v>23190</v>
      </c>
      <c r="AJ82" s="1223"/>
      <c r="AK82" s="1223"/>
      <c r="AL82" s="1223">
        <v>35895</v>
      </c>
      <c r="AM82" s="1223"/>
      <c r="AN82" s="1223"/>
      <c r="AO82" s="1066" t="s">
        <v>2384</v>
      </c>
      <c r="AP82" s="1066" t="s">
        <v>2431</v>
      </c>
      <c r="AQ82" s="1066"/>
    </row>
    <row r="83" spans="1:43" ht="60">
      <c r="A83" s="22" t="s">
        <v>2613</v>
      </c>
      <c r="B83" s="22" t="s">
        <v>2614</v>
      </c>
      <c r="C83" s="1220">
        <f t="shared" si="158"/>
        <v>28</v>
      </c>
      <c r="D83" s="1221" t="s">
        <v>2452</v>
      </c>
      <c r="E83" s="22" t="s">
        <v>2615</v>
      </c>
      <c r="F83" s="22" t="s">
        <v>2616</v>
      </c>
      <c r="G83" s="824">
        <f t="shared" si="143"/>
        <v>0.73440115783429571</v>
      </c>
      <c r="H83" s="824"/>
      <c r="I83" s="824">
        <f t="shared" si="160"/>
        <v>22.801379526571562</v>
      </c>
      <c r="J83" s="1222">
        <v>3</v>
      </c>
      <c r="K83" s="1222">
        <v>2</v>
      </c>
      <c r="L83" s="1222">
        <v>1</v>
      </c>
      <c r="M83" s="1223">
        <v>3635</v>
      </c>
      <c r="N83" s="1223">
        <v>3635</v>
      </c>
      <c r="O83" s="1223">
        <v>3635</v>
      </c>
      <c r="P83" s="1222">
        <v>2</v>
      </c>
      <c r="Q83" s="1222">
        <v>2</v>
      </c>
      <c r="R83" s="1222">
        <v>2</v>
      </c>
      <c r="S83" s="1223">
        <v>3635</v>
      </c>
      <c r="T83" s="1223">
        <v>3635</v>
      </c>
      <c r="U83" s="1223">
        <v>3635</v>
      </c>
      <c r="V83" s="1222">
        <v>4</v>
      </c>
      <c r="W83" s="1222">
        <v>1</v>
      </c>
      <c r="X83" s="1222">
        <v>4</v>
      </c>
      <c r="Y83" s="1223">
        <v>3635</v>
      </c>
      <c r="Z83" s="1223">
        <v>3635</v>
      </c>
      <c r="AA83" s="1223">
        <v>3635</v>
      </c>
      <c r="AB83" s="1222">
        <v>3</v>
      </c>
      <c r="AC83" s="1222">
        <v>2</v>
      </c>
      <c r="AD83" s="1222">
        <v>2</v>
      </c>
      <c r="AE83" s="1223">
        <v>3635</v>
      </c>
      <c r="AF83" s="1223">
        <v>3635</v>
      </c>
      <c r="AG83" s="1223">
        <v>3650</v>
      </c>
      <c r="AH83" s="1223">
        <f t="shared" si="159"/>
        <v>43635</v>
      </c>
      <c r="AI83" s="1223">
        <v>21145</v>
      </c>
      <c r="AJ83" s="1223"/>
      <c r="AK83" s="1223"/>
      <c r="AL83" s="1223">
        <v>22490</v>
      </c>
      <c r="AM83" s="1223"/>
      <c r="AN83" s="1223"/>
      <c r="AO83" s="1066" t="s">
        <v>2384</v>
      </c>
      <c r="AP83" s="1066" t="s">
        <v>2431</v>
      </c>
      <c r="AQ83" s="1066"/>
    </row>
    <row r="84" spans="1:43" ht="45">
      <c r="A84" s="1234" t="s">
        <v>2617</v>
      </c>
      <c r="B84" s="1235" t="s">
        <v>2618</v>
      </c>
      <c r="C84" s="1220">
        <f t="shared" si="158"/>
        <v>66</v>
      </c>
      <c r="D84" s="1221" t="s">
        <v>419</v>
      </c>
      <c r="E84" s="1235" t="s">
        <v>2619</v>
      </c>
      <c r="F84" s="1236" t="s">
        <v>2458</v>
      </c>
      <c r="G84" s="824">
        <f t="shared" si="143"/>
        <v>0.30000459810693986</v>
      </c>
      <c r="H84" s="824"/>
      <c r="I84" s="824">
        <f t="shared" si="160"/>
        <v>9.31441709776872</v>
      </c>
      <c r="J84" s="1222"/>
      <c r="K84" s="1222"/>
      <c r="L84" s="1222">
        <v>5</v>
      </c>
      <c r="M84" s="1223"/>
      <c r="N84" s="1223"/>
      <c r="O84" s="1223">
        <f>L84*270</f>
        <v>1350</v>
      </c>
      <c r="P84" s="1222"/>
      <c r="Q84" s="1222">
        <v>5</v>
      </c>
      <c r="R84" s="1222">
        <v>9</v>
      </c>
      <c r="S84" s="1223"/>
      <c r="T84" s="1223">
        <f t="shared" ref="T84:U84" si="163">Q84*270</f>
        <v>1350</v>
      </c>
      <c r="U84" s="1223">
        <f t="shared" si="163"/>
        <v>2430</v>
      </c>
      <c r="V84" s="1222">
        <v>25</v>
      </c>
      <c r="W84" s="1222">
        <v>7</v>
      </c>
      <c r="X84" s="1222">
        <v>5</v>
      </c>
      <c r="Y84" s="1223">
        <f t="shared" ref="Y84:AA84" si="164">V84*270</f>
        <v>6750</v>
      </c>
      <c r="Z84" s="1223">
        <f t="shared" si="164"/>
        <v>1890</v>
      </c>
      <c r="AA84" s="1223">
        <f t="shared" si="164"/>
        <v>1350</v>
      </c>
      <c r="AB84" s="1222">
        <v>5</v>
      </c>
      <c r="AC84" s="1222">
        <v>5</v>
      </c>
      <c r="AD84" s="1222"/>
      <c r="AE84" s="1223">
        <f t="shared" ref="AE84" si="165">AB84*270</f>
        <v>1350</v>
      </c>
      <c r="AF84" s="1223">
        <f>AC84*270+5</f>
        <v>1355</v>
      </c>
      <c r="AG84" s="1223"/>
      <c r="AH84" s="1223">
        <f t="shared" si="159"/>
        <v>17825</v>
      </c>
      <c r="AI84" s="1223">
        <f>3410+10785</f>
        <v>14195</v>
      </c>
      <c r="AJ84" s="1223"/>
      <c r="AK84" s="1223"/>
      <c r="AL84" s="1223">
        <v>3630</v>
      </c>
      <c r="AM84" s="1223"/>
      <c r="AN84" s="1223"/>
      <c r="AO84" s="1066" t="s">
        <v>2384</v>
      </c>
      <c r="AP84" s="1066" t="s">
        <v>2431</v>
      </c>
      <c r="AQ84" s="1066"/>
    </row>
    <row r="85" spans="1:43" ht="45">
      <c r="A85" s="1234" t="s">
        <v>2620</v>
      </c>
      <c r="B85" s="1235" t="s">
        <v>2618</v>
      </c>
      <c r="C85" s="1220">
        <f t="shared" si="158"/>
        <v>42</v>
      </c>
      <c r="D85" s="1221" t="s">
        <v>424</v>
      </c>
      <c r="E85" s="1235" t="s">
        <v>2619</v>
      </c>
      <c r="F85" s="1236" t="s">
        <v>2458</v>
      </c>
      <c r="G85" s="824">
        <f t="shared" si="143"/>
        <v>0.11848708951881384</v>
      </c>
      <c r="H85" s="824"/>
      <c r="I85" s="824">
        <f t="shared" si="160"/>
        <v>3.6787375241678424</v>
      </c>
      <c r="J85" s="1222"/>
      <c r="K85" s="1222"/>
      <c r="L85" s="1222">
        <v>6</v>
      </c>
      <c r="M85" s="1223"/>
      <c r="N85" s="1223"/>
      <c r="O85" s="1223">
        <f>L85*165</f>
        <v>990</v>
      </c>
      <c r="P85" s="1222"/>
      <c r="Q85" s="1222">
        <v>5</v>
      </c>
      <c r="R85" s="1222">
        <v>10</v>
      </c>
      <c r="S85" s="1223"/>
      <c r="T85" s="1223">
        <f t="shared" ref="T85:U85" si="166">Q85*165</f>
        <v>825</v>
      </c>
      <c r="U85" s="1223">
        <f t="shared" si="166"/>
        <v>1650</v>
      </c>
      <c r="V85" s="1222">
        <v>3</v>
      </c>
      <c r="W85" s="1222">
        <v>3</v>
      </c>
      <c r="X85" s="1222">
        <v>5</v>
      </c>
      <c r="Y85" s="1223">
        <f t="shared" ref="Y85:AA85" si="167">V85*165</f>
        <v>495</v>
      </c>
      <c r="Z85" s="1223">
        <f t="shared" si="167"/>
        <v>495</v>
      </c>
      <c r="AA85" s="1223">
        <f t="shared" si="167"/>
        <v>825</v>
      </c>
      <c r="AB85" s="1222">
        <v>5</v>
      </c>
      <c r="AC85" s="1222">
        <v>5</v>
      </c>
      <c r="AD85" s="1222"/>
      <c r="AE85" s="1223">
        <f>AB85*165+55</f>
        <v>880</v>
      </c>
      <c r="AF85" s="1223">
        <f>AC85*165+55</f>
        <v>880</v>
      </c>
      <c r="AG85" s="1223"/>
      <c r="AH85" s="1223">
        <f t="shared" si="159"/>
        <v>7040</v>
      </c>
      <c r="AI85" s="1223">
        <v>3410</v>
      </c>
      <c r="AJ85" s="1223"/>
      <c r="AK85" s="1223"/>
      <c r="AL85" s="1223">
        <v>3630</v>
      </c>
      <c r="AM85" s="1223"/>
      <c r="AN85" s="1223"/>
      <c r="AO85" s="1066" t="s">
        <v>2384</v>
      </c>
      <c r="AP85" s="1066" t="s">
        <v>2431</v>
      </c>
      <c r="AQ85" s="1066"/>
    </row>
    <row r="86" spans="1:43" ht="45">
      <c r="A86" s="1234" t="s">
        <v>2621</v>
      </c>
      <c r="B86" s="1235" t="s">
        <v>2618</v>
      </c>
      <c r="C86" s="1220">
        <f t="shared" si="158"/>
        <v>10</v>
      </c>
      <c r="D86" s="1221" t="s">
        <v>944</v>
      </c>
      <c r="E86" s="1235" t="s">
        <v>2619</v>
      </c>
      <c r="F86" s="1236" t="s">
        <v>2458</v>
      </c>
      <c r="G86" s="824">
        <f t="shared" si="143"/>
        <v>0.27644182462308486</v>
      </c>
      <c r="H86" s="824"/>
      <c r="I86" s="824">
        <f t="shared" si="160"/>
        <v>8.5828499764853419</v>
      </c>
      <c r="J86" s="1222"/>
      <c r="K86" s="1222"/>
      <c r="L86" s="1222">
        <v>1</v>
      </c>
      <c r="M86" s="1223"/>
      <c r="N86" s="1223"/>
      <c r="O86" s="1223">
        <f>L86*1640</f>
        <v>1640</v>
      </c>
      <c r="P86" s="1222"/>
      <c r="Q86" s="1222">
        <v>1</v>
      </c>
      <c r="R86" s="1222">
        <v>1</v>
      </c>
      <c r="S86" s="1223"/>
      <c r="T86" s="1223">
        <f t="shared" ref="T86:U86" si="168">Q86*1640</f>
        <v>1640</v>
      </c>
      <c r="U86" s="1223">
        <f t="shared" si="168"/>
        <v>1640</v>
      </c>
      <c r="V86" s="1222">
        <v>2</v>
      </c>
      <c r="W86" s="1222">
        <v>1</v>
      </c>
      <c r="X86" s="1222">
        <v>1</v>
      </c>
      <c r="Y86" s="1223">
        <f t="shared" ref="Y86:AA86" si="169">V86*1640</f>
        <v>3280</v>
      </c>
      <c r="Z86" s="1223">
        <f t="shared" si="169"/>
        <v>1640</v>
      </c>
      <c r="AA86" s="1223">
        <f t="shared" si="169"/>
        <v>1640</v>
      </c>
      <c r="AB86" s="1222">
        <v>1</v>
      </c>
      <c r="AC86" s="1222">
        <v>1</v>
      </c>
      <c r="AD86" s="1222">
        <v>1</v>
      </c>
      <c r="AE86" s="1223">
        <f t="shared" ref="AE86:AF86" si="170">AB86*1640</f>
        <v>1640</v>
      </c>
      <c r="AF86" s="1223">
        <f t="shared" si="170"/>
        <v>1640</v>
      </c>
      <c r="AG86" s="1223">
        <f>AD86*1640+25</f>
        <v>1665</v>
      </c>
      <c r="AH86" s="1223">
        <f t="shared" si="159"/>
        <v>16425</v>
      </c>
      <c r="AI86" s="1223">
        <v>7960</v>
      </c>
      <c r="AJ86" s="1223"/>
      <c r="AK86" s="1223"/>
      <c r="AL86" s="1223">
        <v>8465</v>
      </c>
      <c r="AM86" s="1223"/>
      <c r="AN86" s="1223"/>
      <c r="AO86" s="1066" t="s">
        <v>2384</v>
      </c>
      <c r="AP86" s="1066" t="s">
        <v>2431</v>
      </c>
      <c r="AQ86" s="1066"/>
    </row>
    <row r="87" spans="1:43" ht="45">
      <c r="A87" s="18" t="s">
        <v>2622</v>
      </c>
      <c r="B87" s="18" t="s">
        <v>2623</v>
      </c>
      <c r="C87" s="642"/>
      <c r="D87" s="554" t="s">
        <v>2624</v>
      </c>
      <c r="E87" s="18" t="s">
        <v>2625</v>
      </c>
      <c r="F87" s="18" t="s">
        <v>2626</v>
      </c>
      <c r="G87" s="804">
        <f t="shared" si="143"/>
        <v>0.60808786140834437</v>
      </c>
      <c r="H87" s="804"/>
      <c r="I87" s="804"/>
      <c r="J87" s="805"/>
      <c r="K87" s="805"/>
      <c r="L87" s="805"/>
      <c r="M87" s="806">
        <f t="shared" ref="M87:O87" si="171">M88</f>
        <v>3010</v>
      </c>
      <c r="N87" s="806">
        <f t="shared" si="171"/>
        <v>3010</v>
      </c>
      <c r="O87" s="806">
        <f t="shared" si="171"/>
        <v>3010</v>
      </c>
      <c r="P87" s="805"/>
      <c r="Q87" s="805"/>
      <c r="R87" s="805"/>
      <c r="S87" s="806">
        <f t="shared" ref="S87:U87" si="172">S88</f>
        <v>3010</v>
      </c>
      <c r="T87" s="806">
        <f t="shared" si="172"/>
        <v>3010</v>
      </c>
      <c r="U87" s="806">
        <f t="shared" si="172"/>
        <v>3010</v>
      </c>
      <c r="V87" s="805"/>
      <c r="W87" s="805"/>
      <c r="X87" s="805"/>
      <c r="Y87" s="806">
        <f t="shared" ref="Y87:AA87" si="173">Y88</f>
        <v>3010</v>
      </c>
      <c r="Z87" s="806">
        <f t="shared" si="173"/>
        <v>3010</v>
      </c>
      <c r="AA87" s="806">
        <f t="shared" si="173"/>
        <v>3010</v>
      </c>
      <c r="AB87" s="805"/>
      <c r="AC87" s="805"/>
      <c r="AD87" s="805"/>
      <c r="AE87" s="806">
        <f t="shared" ref="AE87:AG87" si="174">AE88</f>
        <v>3010</v>
      </c>
      <c r="AF87" s="806">
        <f t="shared" si="174"/>
        <v>3010</v>
      </c>
      <c r="AG87" s="806">
        <f t="shared" si="174"/>
        <v>3020</v>
      </c>
      <c r="AH87" s="806">
        <f>AH88</f>
        <v>36130</v>
      </c>
      <c r="AI87" s="806">
        <f>AI88</f>
        <v>17510</v>
      </c>
      <c r="AJ87" s="806"/>
      <c r="AK87" s="806"/>
      <c r="AL87" s="806">
        <f>AL88</f>
        <v>18620</v>
      </c>
      <c r="AM87" s="806"/>
      <c r="AN87" s="806"/>
      <c r="AO87" s="1073" t="s">
        <v>2384</v>
      </c>
      <c r="AP87" s="1073" t="s">
        <v>2385</v>
      </c>
      <c r="AQ87" s="1073"/>
    </row>
    <row r="88" spans="1:43" ht="30">
      <c r="A88" s="22" t="s">
        <v>2627</v>
      </c>
      <c r="B88" s="22" t="s">
        <v>2628</v>
      </c>
      <c r="C88" s="1220">
        <f>+J88+K88+L88+P88+Q88+R88+V88+W88+X88+AB88+AC88+AD88</f>
        <v>1535</v>
      </c>
      <c r="D88" s="1221" t="s">
        <v>2403</v>
      </c>
      <c r="E88" s="22" t="s">
        <v>2629</v>
      </c>
      <c r="F88" s="22" t="s">
        <v>2405</v>
      </c>
      <c r="G88" s="824">
        <f t="shared" si="143"/>
        <v>0.60808786140834437</v>
      </c>
      <c r="H88" s="824"/>
      <c r="I88" s="824">
        <f>+AH88/AH87*100</f>
        <v>100</v>
      </c>
      <c r="J88" s="1222">
        <v>97</v>
      </c>
      <c r="K88" s="1222">
        <v>143</v>
      </c>
      <c r="L88" s="1222">
        <v>97</v>
      </c>
      <c r="M88" s="1223">
        <v>3010</v>
      </c>
      <c r="N88" s="1223">
        <v>3010</v>
      </c>
      <c r="O88" s="1223">
        <v>3010</v>
      </c>
      <c r="P88" s="1222">
        <v>106</v>
      </c>
      <c r="Q88" s="1222">
        <v>88</v>
      </c>
      <c r="R88" s="1222">
        <v>142</v>
      </c>
      <c r="S88" s="1223">
        <v>3010</v>
      </c>
      <c r="T88" s="1223">
        <v>3010</v>
      </c>
      <c r="U88" s="1223">
        <v>3010</v>
      </c>
      <c r="V88" s="1222">
        <v>141</v>
      </c>
      <c r="W88" s="1222">
        <v>177</v>
      </c>
      <c r="X88" s="1222">
        <v>193</v>
      </c>
      <c r="Y88" s="1223">
        <v>3010</v>
      </c>
      <c r="Z88" s="1223">
        <v>3010</v>
      </c>
      <c r="AA88" s="1223">
        <v>3010</v>
      </c>
      <c r="AB88" s="1222">
        <v>51</v>
      </c>
      <c r="AC88" s="1222">
        <v>150</v>
      </c>
      <c r="AD88" s="1222">
        <v>150</v>
      </c>
      <c r="AE88" s="1223">
        <v>3010</v>
      </c>
      <c r="AF88" s="1223">
        <v>3010</v>
      </c>
      <c r="AG88" s="1223">
        <v>3020</v>
      </c>
      <c r="AH88" s="1223">
        <f>M88+N88+O88+S88+T88+U88+Y88+Z88+AA88+AE88+AF88+AG88</f>
        <v>36130</v>
      </c>
      <c r="AI88" s="1223">
        <v>17510</v>
      </c>
      <c r="AJ88" s="1223"/>
      <c r="AK88" s="1223"/>
      <c r="AL88" s="1223">
        <v>18620</v>
      </c>
      <c r="AM88" s="1223"/>
      <c r="AN88" s="1223"/>
      <c r="AO88" s="1066" t="s">
        <v>2384</v>
      </c>
      <c r="AP88" s="1066" t="s">
        <v>2409</v>
      </c>
      <c r="AQ88" s="1066"/>
    </row>
    <row r="89" spans="1:43" ht="30">
      <c r="A89" s="14" t="s">
        <v>2630</v>
      </c>
      <c r="B89" s="14" t="s">
        <v>2631</v>
      </c>
      <c r="C89" s="15"/>
      <c r="D89" s="14"/>
      <c r="E89" s="14"/>
      <c r="F89" s="14"/>
      <c r="G89" s="683">
        <f t="shared" si="143"/>
        <v>1.8235062093630521</v>
      </c>
      <c r="H89" s="683">
        <f>+G89</f>
        <v>1.8235062093630521</v>
      </c>
      <c r="I89" s="683"/>
      <c r="J89" s="684"/>
      <c r="K89" s="684"/>
      <c r="L89" s="684"/>
      <c r="M89" s="685">
        <f>M90</f>
        <v>12370</v>
      </c>
      <c r="N89" s="685">
        <f t="shared" ref="N89:O89" si="175">N90</f>
        <v>20510</v>
      </c>
      <c r="O89" s="685">
        <f t="shared" si="175"/>
        <v>13710</v>
      </c>
      <c r="P89" s="684"/>
      <c r="Q89" s="684"/>
      <c r="R89" s="684"/>
      <c r="S89" s="685">
        <f t="shared" ref="S89:U89" si="176">S90</f>
        <v>11435</v>
      </c>
      <c r="T89" s="685">
        <f t="shared" si="176"/>
        <v>8795</v>
      </c>
      <c r="U89" s="685">
        <f t="shared" si="176"/>
        <v>7075</v>
      </c>
      <c r="V89" s="684"/>
      <c r="W89" s="684"/>
      <c r="X89" s="684"/>
      <c r="Y89" s="685">
        <f t="shared" ref="Y89:AA89" si="177">Y90</f>
        <v>9120</v>
      </c>
      <c r="Z89" s="685">
        <f t="shared" si="177"/>
        <v>5890</v>
      </c>
      <c r="AA89" s="685">
        <f t="shared" si="177"/>
        <v>3785</v>
      </c>
      <c r="AB89" s="684"/>
      <c r="AC89" s="684"/>
      <c r="AD89" s="684"/>
      <c r="AE89" s="685">
        <f t="shared" ref="AE89:AG89" si="178">AE90</f>
        <v>4305</v>
      </c>
      <c r="AF89" s="685">
        <f t="shared" si="178"/>
        <v>10000</v>
      </c>
      <c r="AG89" s="685">
        <f t="shared" si="178"/>
        <v>1350</v>
      </c>
      <c r="AH89" s="685">
        <f>AH90</f>
        <v>108345</v>
      </c>
      <c r="AI89" s="685">
        <f>AI90</f>
        <v>47060</v>
      </c>
      <c r="AJ89" s="685"/>
      <c r="AK89" s="685"/>
      <c r="AL89" s="685">
        <f>AL90</f>
        <v>61285</v>
      </c>
      <c r="AM89" s="685"/>
      <c r="AN89" s="685"/>
      <c r="AO89" s="1219" t="s">
        <v>2384</v>
      </c>
      <c r="AP89" s="1219" t="s">
        <v>2385</v>
      </c>
      <c r="AQ89" s="1219"/>
    </row>
    <row r="90" spans="1:43" ht="45">
      <c r="A90" s="18" t="s">
        <v>2632</v>
      </c>
      <c r="B90" s="18" t="s">
        <v>2633</v>
      </c>
      <c r="C90" s="642"/>
      <c r="D90" s="554" t="s">
        <v>2634</v>
      </c>
      <c r="E90" s="18" t="s">
        <v>2635</v>
      </c>
      <c r="F90" s="18" t="s">
        <v>2636</v>
      </c>
      <c r="G90" s="804">
        <f t="shared" si="143"/>
        <v>1.8235062093630521</v>
      </c>
      <c r="H90" s="804"/>
      <c r="I90" s="804"/>
      <c r="J90" s="805"/>
      <c r="K90" s="805"/>
      <c r="L90" s="805"/>
      <c r="M90" s="806">
        <f t="shared" ref="M90:O90" si="179">M91+M92+M93+M94+M95</f>
        <v>12370</v>
      </c>
      <c r="N90" s="806">
        <f t="shared" si="179"/>
        <v>20510</v>
      </c>
      <c r="O90" s="806">
        <f t="shared" si="179"/>
        <v>13710</v>
      </c>
      <c r="P90" s="805"/>
      <c r="Q90" s="805"/>
      <c r="R90" s="805"/>
      <c r="S90" s="806">
        <f t="shared" ref="S90:U90" si="180">S91+S92+S93+S94+S95</f>
        <v>11435</v>
      </c>
      <c r="T90" s="806">
        <f t="shared" si="180"/>
        <v>8795</v>
      </c>
      <c r="U90" s="806">
        <f t="shared" si="180"/>
        <v>7075</v>
      </c>
      <c r="V90" s="805"/>
      <c r="W90" s="805"/>
      <c r="X90" s="805"/>
      <c r="Y90" s="806">
        <f t="shared" ref="Y90:AA90" si="181">Y91+Y92+Y93+Y94+Y95</f>
        <v>9120</v>
      </c>
      <c r="Z90" s="806">
        <f t="shared" si="181"/>
        <v>5890</v>
      </c>
      <c r="AA90" s="806">
        <f t="shared" si="181"/>
        <v>3785</v>
      </c>
      <c r="AB90" s="805"/>
      <c r="AC90" s="805"/>
      <c r="AD90" s="805"/>
      <c r="AE90" s="806">
        <f t="shared" ref="AE90:AG90" si="182">AE91+AE92+AE93+AE94+AE95</f>
        <v>4305</v>
      </c>
      <c r="AF90" s="806">
        <f t="shared" si="182"/>
        <v>10000</v>
      </c>
      <c r="AG90" s="806">
        <f t="shared" si="182"/>
        <v>1350</v>
      </c>
      <c r="AH90" s="806">
        <f>AH91+AH92+AH93+AH94+AH95</f>
        <v>108345</v>
      </c>
      <c r="AI90" s="806">
        <f>AI91+AI92+AI93+AI94+AI95</f>
        <v>47060</v>
      </c>
      <c r="AJ90" s="806"/>
      <c r="AK90" s="806"/>
      <c r="AL90" s="806">
        <f>AL91+AL92+AL93+AL94+AL95</f>
        <v>61285</v>
      </c>
      <c r="AM90" s="806"/>
      <c r="AN90" s="806"/>
      <c r="AO90" s="1073" t="s">
        <v>2384</v>
      </c>
      <c r="AP90" s="1073" t="s">
        <v>2385</v>
      </c>
      <c r="AQ90" s="1073"/>
    </row>
    <row r="91" spans="1:43" ht="45">
      <c r="A91" s="22" t="s">
        <v>2637</v>
      </c>
      <c r="B91" s="22" t="s">
        <v>2638</v>
      </c>
      <c r="C91" s="1220">
        <f>+J91+K91+L91+P91+Q91+R91+V91+W91+X91+AB91+AC91+AD91</f>
        <v>146</v>
      </c>
      <c r="D91" s="1221" t="s">
        <v>2634</v>
      </c>
      <c r="E91" s="22" t="s">
        <v>2635</v>
      </c>
      <c r="F91" s="22" t="s">
        <v>2639</v>
      </c>
      <c r="G91" s="824">
        <f t="shared" si="143"/>
        <v>0.67120243324009887</v>
      </c>
      <c r="H91" s="824"/>
      <c r="I91" s="824">
        <f>+AH91/AH$90*100</f>
        <v>36.808343716830493</v>
      </c>
      <c r="J91" s="1222">
        <v>16</v>
      </c>
      <c r="K91" s="1222">
        <v>23</v>
      </c>
      <c r="L91" s="1222">
        <v>2</v>
      </c>
      <c r="M91" s="1223">
        <f>J91*270</f>
        <v>4320</v>
      </c>
      <c r="N91" s="1223">
        <f t="shared" ref="N91:O91" si="183">K91*270</f>
        <v>6210</v>
      </c>
      <c r="O91" s="1223">
        <f t="shared" si="183"/>
        <v>540</v>
      </c>
      <c r="P91" s="1222">
        <v>23</v>
      </c>
      <c r="Q91" s="1222">
        <v>11</v>
      </c>
      <c r="R91" s="1222">
        <v>6</v>
      </c>
      <c r="S91" s="1223">
        <f t="shared" ref="S91:T91" si="184">P91*270</f>
        <v>6210</v>
      </c>
      <c r="T91" s="1223">
        <f t="shared" si="184"/>
        <v>2970</v>
      </c>
      <c r="U91" s="1223">
        <f>R91*270</f>
        <v>1620</v>
      </c>
      <c r="V91" s="1222">
        <v>24</v>
      </c>
      <c r="W91" s="1222">
        <v>14</v>
      </c>
      <c r="X91" s="1222">
        <v>7</v>
      </c>
      <c r="Y91" s="1223">
        <f>V91*275</f>
        <v>6600</v>
      </c>
      <c r="Z91" s="1223">
        <f>W91*275</f>
        <v>3850</v>
      </c>
      <c r="AA91" s="1223">
        <f>X91*275</f>
        <v>1925</v>
      </c>
      <c r="AB91" s="1222">
        <v>8</v>
      </c>
      <c r="AC91" s="1222">
        <v>12</v>
      </c>
      <c r="AD91" s="1222"/>
      <c r="AE91" s="1223">
        <f>AB91*275+65</f>
        <v>2265</v>
      </c>
      <c r="AF91" s="1223">
        <f>AC91*275+70</f>
        <v>3370</v>
      </c>
      <c r="AG91" s="1223"/>
      <c r="AH91" s="1223">
        <f t="shared" ref="AH91:AH95" si="185">M91+N91+O91+S91+T91+U91+Y91+Z91+AA91+AE91+AF91+AG91</f>
        <v>39880</v>
      </c>
      <c r="AI91" s="1223">
        <v>19325</v>
      </c>
      <c r="AJ91" s="1223"/>
      <c r="AK91" s="1223"/>
      <c r="AL91" s="1223">
        <v>20555</v>
      </c>
      <c r="AM91" s="1223"/>
      <c r="AN91" s="1223"/>
      <c r="AO91" s="1066" t="s">
        <v>2395</v>
      </c>
      <c r="AP91" s="1066" t="s">
        <v>2396</v>
      </c>
      <c r="AQ91" s="1066"/>
    </row>
    <row r="92" spans="1:43" ht="30">
      <c r="A92" s="1228" t="s">
        <v>2640</v>
      </c>
      <c r="B92" s="1229" t="s">
        <v>2641</v>
      </c>
      <c r="C92" s="1220">
        <f>+J92+K92+L92+P92+Q92+R92+V92+W92+X92+AB92+AC92+AD92</f>
        <v>13</v>
      </c>
      <c r="D92" s="1221" t="s">
        <v>419</v>
      </c>
      <c r="E92" s="1229" t="s">
        <v>2642</v>
      </c>
      <c r="F92" s="1229" t="s">
        <v>2643</v>
      </c>
      <c r="G92" s="824">
        <f t="shared" si="143"/>
        <v>2.3646926246297363E-2</v>
      </c>
      <c r="H92" s="824"/>
      <c r="I92" s="824">
        <f t="shared" ref="I92:I95" si="186">+AH92/AH$90*100</f>
        <v>1.2967834233236422</v>
      </c>
      <c r="J92" s="1222"/>
      <c r="K92" s="1222"/>
      <c r="L92" s="1222">
        <v>4</v>
      </c>
      <c r="M92" s="1223"/>
      <c r="N92" s="1223"/>
      <c r="O92" s="1223">
        <f>L92*105+20</f>
        <v>440</v>
      </c>
      <c r="P92" s="1222"/>
      <c r="Q92" s="1222"/>
      <c r="R92" s="1222">
        <v>4</v>
      </c>
      <c r="S92" s="1223"/>
      <c r="T92" s="1223"/>
      <c r="U92" s="1223">
        <f>R92*105+20</f>
        <v>440</v>
      </c>
      <c r="V92" s="1222"/>
      <c r="W92" s="1222"/>
      <c r="X92" s="1222"/>
      <c r="Y92" s="1223"/>
      <c r="Z92" s="1223"/>
      <c r="AA92" s="1223"/>
      <c r="AB92" s="1222"/>
      <c r="AC92" s="1222"/>
      <c r="AD92" s="1222">
        <v>5</v>
      </c>
      <c r="AE92" s="1223"/>
      <c r="AF92" s="1223"/>
      <c r="AG92" s="1223">
        <f>AD92*105</f>
        <v>525</v>
      </c>
      <c r="AH92" s="1223">
        <f t="shared" si="185"/>
        <v>1405</v>
      </c>
      <c r="AI92" s="1223">
        <v>680</v>
      </c>
      <c r="AJ92" s="1223"/>
      <c r="AK92" s="1223"/>
      <c r="AL92" s="1223">
        <v>725</v>
      </c>
      <c r="AM92" s="1223"/>
      <c r="AN92" s="1223"/>
      <c r="AO92" s="1066" t="s">
        <v>2384</v>
      </c>
      <c r="AP92" s="1066" t="s">
        <v>2644</v>
      </c>
      <c r="AQ92" s="1066"/>
    </row>
    <row r="93" spans="1:43" ht="30">
      <c r="A93" s="1228" t="s">
        <v>2645</v>
      </c>
      <c r="B93" s="1229" t="s">
        <v>2641</v>
      </c>
      <c r="C93" s="1220">
        <f>+J93+K93+L93+P93+Q93+R93+V93+W93+X93+AB93+AC93+AD93</f>
        <v>8</v>
      </c>
      <c r="D93" s="1221" t="s">
        <v>424</v>
      </c>
      <c r="E93" s="1229" t="s">
        <v>2642</v>
      </c>
      <c r="F93" s="1229" t="s">
        <v>2643</v>
      </c>
      <c r="G93" s="824">
        <f t="shared" si="143"/>
        <v>2.3646926246297363E-2</v>
      </c>
      <c r="H93" s="824"/>
      <c r="I93" s="824">
        <f t="shared" si="186"/>
        <v>1.2967834233236422</v>
      </c>
      <c r="J93" s="1222"/>
      <c r="K93" s="1222"/>
      <c r="L93" s="1222">
        <v>1</v>
      </c>
      <c r="M93" s="1223"/>
      <c r="N93" s="1223"/>
      <c r="O93" s="1223">
        <f>L93*175</f>
        <v>175</v>
      </c>
      <c r="P93" s="1222"/>
      <c r="Q93" s="1222"/>
      <c r="R93" s="1222">
        <v>5</v>
      </c>
      <c r="S93" s="1223"/>
      <c r="T93" s="1223"/>
      <c r="U93" s="1223">
        <f>R93*175</f>
        <v>875</v>
      </c>
      <c r="V93" s="1222"/>
      <c r="W93" s="1222"/>
      <c r="X93" s="1222"/>
      <c r="Y93" s="1223"/>
      <c r="Z93" s="1223"/>
      <c r="AA93" s="1223"/>
      <c r="AB93" s="1222"/>
      <c r="AC93" s="1222"/>
      <c r="AD93" s="1222">
        <v>2</v>
      </c>
      <c r="AE93" s="1223"/>
      <c r="AF93" s="1223"/>
      <c r="AG93" s="1223">
        <f>AD93*175+5</f>
        <v>355</v>
      </c>
      <c r="AH93" s="1223">
        <f t="shared" si="185"/>
        <v>1405</v>
      </c>
      <c r="AI93" s="1223">
        <v>680</v>
      </c>
      <c r="AJ93" s="1223"/>
      <c r="AK93" s="1223"/>
      <c r="AL93" s="1223">
        <v>725</v>
      </c>
      <c r="AM93" s="1223"/>
      <c r="AN93" s="1223"/>
      <c r="AO93" s="1066" t="s">
        <v>2384</v>
      </c>
      <c r="AP93" s="1066" t="s">
        <v>2396</v>
      </c>
      <c r="AQ93" s="1066"/>
    </row>
    <row r="94" spans="1:43" ht="45">
      <c r="A94" s="22" t="s">
        <v>2646</v>
      </c>
      <c r="B94" s="22" t="s">
        <v>2647</v>
      </c>
      <c r="C94" s="1220">
        <f>+J94+K94+L94+P94+Q94+R94+V94+W94+X94+AB94+AC94+AD94</f>
        <v>13</v>
      </c>
      <c r="D94" s="1221" t="s">
        <v>2648</v>
      </c>
      <c r="E94" s="22" t="s">
        <v>2649</v>
      </c>
      <c r="F94" s="22" t="s">
        <v>2650</v>
      </c>
      <c r="G94" s="824">
        <f t="shared" si="143"/>
        <v>0.67120243324009887</v>
      </c>
      <c r="H94" s="824"/>
      <c r="I94" s="824">
        <f t="shared" si="186"/>
        <v>36.808343716830493</v>
      </c>
      <c r="J94" s="1222">
        <v>2</v>
      </c>
      <c r="K94" s="1222">
        <v>4</v>
      </c>
      <c r="L94" s="1222">
        <v>3</v>
      </c>
      <c r="M94" s="1223">
        <f>J94*3065</f>
        <v>6130</v>
      </c>
      <c r="N94" s="1223">
        <f>K94*3065</f>
        <v>12260</v>
      </c>
      <c r="O94" s="1223">
        <f>L94*3065</f>
        <v>9195</v>
      </c>
      <c r="P94" s="1222">
        <v>1</v>
      </c>
      <c r="Q94" s="1222">
        <v>1</v>
      </c>
      <c r="R94" s="1222"/>
      <c r="S94" s="1223">
        <f>P94*3065</f>
        <v>3065</v>
      </c>
      <c r="T94" s="1223">
        <f>Q94*3065</f>
        <v>3065</v>
      </c>
      <c r="U94" s="1223"/>
      <c r="V94" s="1222"/>
      <c r="W94" s="1222"/>
      <c r="X94" s="1222"/>
      <c r="Y94" s="1223"/>
      <c r="Z94" s="1223"/>
      <c r="AA94" s="1223"/>
      <c r="AB94" s="1222"/>
      <c r="AC94" s="1222">
        <v>2</v>
      </c>
      <c r="AD94" s="1222"/>
      <c r="AE94" s="1223"/>
      <c r="AF94" s="1223">
        <f>AC94*3065+35</f>
        <v>6165</v>
      </c>
      <c r="AG94" s="1223"/>
      <c r="AH94" s="1223">
        <f t="shared" si="185"/>
        <v>39880</v>
      </c>
      <c r="AI94" s="1223">
        <v>19325</v>
      </c>
      <c r="AJ94" s="1223"/>
      <c r="AK94" s="1223"/>
      <c r="AL94" s="1223">
        <v>20555</v>
      </c>
      <c r="AM94" s="1223"/>
      <c r="AN94" s="1223"/>
      <c r="AO94" s="1066" t="s">
        <v>2395</v>
      </c>
      <c r="AP94" s="1066" t="s">
        <v>2396</v>
      </c>
      <c r="AQ94" s="1066"/>
    </row>
    <row r="95" spans="1:43" ht="45">
      <c r="A95" s="22" t="s">
        <v>2651</v>
      </c>
      <c r="B95" s="22" t="s">
        <v>2652</v>
      </c>
      <c r="C95" s="1220">
        <f>+J95+K95+L95+P95+Q95+R95+V95+W95+X95+AB95+AC95+AD95</f>
        <v>424</v>
      </c>
      <c r="D95" s="1221" t="s">
        <v>2535</v>
      </c>
      <c r="E95" s="22" t="s">
        <v>2653</v>
      </c>
      <c r="F95" s="22" t="s">
        <v>2654</v>
      </c>
      <c r="G95" s="824">
        <f t="shared" si="143"/>
        <v>0.43380749039025951</v>
      </c>
      <c r="H95" s="824"/>
      <c r="I95" s="824">
        <f t="shared" si="186"/>
        <v>23.789745719691727</v>
      </c>
      <c r="J95" s="1222">
        <v>32</v>
      </c>
      <c r="K95" s="1222">
        <v>34</v>
      </c>
      <c r="L95" s="1222">
        <v>56</v>
      </c>
      <c r="M95" s="1223">
        <f>J95*60</f>
        <v>1920</v>
      </c>
      <c r="N95" s="1223">
        <f t="shared" ref="N95:O95" si="187">K95*60</f>
        <v>2040</v>
      </c>
      <c r="O95" s="1223">
        <f t="shared" si="187"/>
        <v>3360</v>
      </c>
      <c r="P95" s="1222">
        <v>36</v>
      </c>
      <c r="Q95" s="1222">
        <v>46</v>
      </c>
      <c r="R95" s="1222">
        <v>69</v>
      </c>
      <c r="S95" s="1223">
        <f t="shared" ref="S95:U95" si="188">P95*60</f>
        <v>2160</v>
      </c>
      <c r="T95" s="1223">
        <f t="shared" si="188"/>
        <v>2760</v>
      </c>
      <c r="U95" s="1223">
        <f t="shared" si="188"/>
        <v>4140</v>
      </c>
      <c r="V95" s="1222">
        <v>42</v>
      </c>
      <c r="W95" s="1222">
        <v>34</v>
      </c>
      <c r="X95" s="1222">
        <v>31</v>
      </c>
      <c r="Y95" s="1223">
        <f t="shared" ref="Y95:AA95" si="189">V95*60</f>
        <v>2520</v>
      </c>
      <c r="Z95" s="1223">
        <f t="shared" si="189"/>
        <v>2040</v>
      </c>
      <c r="AA95" s="1223">
        <f t="shared" si="189"/>
        <v>1860</v>
      </c>
      <c r="AB95" s="1222">
        <v>34</v>
      </c>
      <c r="AC95" s="1222">
        <v>5</v>
      </c>
      <c r="AD95" s="1222">
        <v>5</v>
      </c>
      <c r="AE95" s="1223">
        <f t="shared" ref="AE95" si="190">AB95*60</f>
        <v>2040</v>
      </c>
      <c r="AF95" s="1223">
        <f>AC95*65+140</f>
        <v>465</v>
      </c>
      <c r="AG95" s="1223">
        <f>AD95*65+145</f>
        <v>470</v>
      </c>
      <c r="AH95" s="1223">
        <f t="shared" si="185"/>
        <v>25775</v>
      </c>
      <c r="AI95" s="1223">
        <v>7050</v>
      </c>
      <c r="AJ95" s="1223"/>
      <c r="AK95" s="1223"/>
      <c r="AL95" s="1223">
        <v>18725</v>
      </c>
      <c r="AM95" s="1223"/>
      <c r="AN95" s="1223"/>
      <c r="AO95" s="1066" t="s">
        <v>2384</v>
      </c>
      <c r="AP95" s="1066" t="s">
        <v>2655</v>
      </c>
      <c r="AQ95" s="1066"/>
    </row>
    <row r="96" spans="1:43" ht="45">
      <c r="A96" s="14" t="s">
        <v>2656</v>
      </c>
      <c r="B96" s="14" t="s">
        <v>2657</v>
      </c>
      <c r="C96" s="15"/>
      <c r="D96" s="14"/>
      <c r="E96" s="14"/>
      <c r="F96" s="14"/>
      <c r="G96" s="683">
        <f t="shared" si="143"/>
        <v>0.30000459810693986</v>
      </c>
      <c r="H96" s="683">
        <f>+G96</f>
        <v>0.30000459810693986</v>
      </c>
      <c r="I96" s="683"/>
      <c r="J96" s="684"/>
      <c r="K96" s="684"/>
      <c r="L96" s="684"/>
      <c r="M96" s="685"/>
      <c r="N96" s="685"/>
      <c r="O96" s="685">
        <f>O97</f>
        <v>3345</v>
      </c>
      <c r="P96" s="684"/>
      <c r="Q96" s="684"/>
      <c r="R96" s="684"/>
      <c r="S96" s="685">
        <f t="shared" ref="S96:U97" si="191">S97</f>
        <v>4460</v>
      </c>
      <c r="T96" s="685">
        <f t="shared" si="191"/>
        <v>1115</v>
      </c>
      <c r="U96" s="685">
        <f t="shared" si="191"/>
        <v>2230</v>
      </c>
      <c r="V96" s="684"/>
      <c r="W96" s="684"/>
      <c r="X96" s="684"/>
      <c r="Y96" s="685">
        <f t="shared" ref="Y96:AA97" si="192">Y97</f>
        <v>1115</v>
      </c>
      <c r="Z96" s="685"/>
      <c r="AA96" s="685">
        <f t="shared" si="192"/>
        <v>1115</v>
      </c>
      <c r="AB96" s="684"/>
      <c r="AC96" s="684"/>
      <c r="AD96" s="684"/>
      <c r="AE96" s="685">
        <f t="shared" ref="AE96:AG97" si="193">AE97</f>
        <v>2230</v>
      </c>
      <c r="AF96" s="685">
        <f t="shared" si="193"/>
        <v>1115</v>
      </c>
      <c r="AG96" s="685">
        <f t="shared" si="193"/>
        <v>1100</v>
      </c>
      <c r="AH96" s="685">
        <f>AH97</f>
        <v>17825</v>
      </c>
      <c r="AI96" s="685">
        <f>AI97</f>
        <v>14195</v>
      </c>
      <c r="AJ96" s="685"/>
      <c r="AK96" s="685"/>
      <c r="AL96" s="685">
        <f>AL97</f>
        <v>3630</v>
      </c>
      <c r="AM96" s="685"/>
      <c r="AN96" s="685"/>
      <c r="AO96" s="1219" t="s">
        <v>2384</v>
      </c>
      <c r="AP96" s="1219" t="s">
        <v>2385</v>
      </c>
      <c r="AQ96" s="1219"/>
    </row>
    <row r="97" spans="1:43" ht="45">
      <c r="A97" s="18" t="s">
        <v>2658</v>
      </c>
      <c r="B97" s="18" t="s">
        <v>2659</v>
      </c>
      <c r="C97" s="642"/>
      <c r="D97" s="554" t="s">
        <v>52</v>
      </c>
      <c r="E97" s="18" t="s">
        <v>2660</v>
      </c>
      <c r="F97" s="18" t="s">
        <v>2661</v>
      </c>
      <c r="G97" s="804">
        <f t="shared" si="143"/>
        <v>0.30000459810693986</v>
      </c>
      <c r="H97" s="804"/>
      <c r="I97" s="804"/>
      <c r="J97" s="805"/>
      <c r="K97" s="805"/>
      <c r="L97" s="805"/>
      <c r="M97" s="806"/>
      <c r="N97" s="806"/>
      <c r="O97" s="806">
        <f>O98</f>
        <v>3345</v>
      </c>
      <c r="P97" s="805"/>
      <c r="Q97" s="805"/>
      <c r="R97" s="805"/>
      <c r="S97" s="806">
        <f t="shared" si="191"/>
        <v>4460</v>
      </c>
      <c r="T97" s="806">
        <f t="shared" si="191"/>
        <v>1115</v>
      </c>
      <c r="U97" s="806">
        <f t="shared" si="191"/>
        <v>2230</v>
      </c>
      <c r="V97" s="805"/>
      <c r="W97" s="805"/>
      <c r="X97" s="805"/>
      <c r="Y97" s="806">
        <f t="shared" si="192"/>
        <v>1115</v>
      </c>
      <c r="Z97" s="806"/>
      <c r="AA97" s="806">
        <f t="shared" si="192"/>
        <v>1115</v>
      </c>
      <c r="AB97" s="805"/>
      <c r="AC97" s="805"/>
      <c r="AD97" s="805"/>
      <c r="AE97" s="806">
        <f t="shared" si="193"/>
        <v>2230</v>
      </c>
      <c r="AF97" s="806">
        <f t="shared" si="193"/>
        <v>1115</v>
      </c>
      <c r="AG97" s="806">
        <f t="shared" si="193"/>
        <v>1100</v>
      </c>
      <c r="AH97" s="806">
        <f>AH98</f>
        <v>17825</v>
      </c>
      <c r="AI97" s="806">
        <f>AI98</f>
        <v>14195</v>
      </c>
      <c r="AJ97" s="806"/>
      <c r="AK97" s="806"/>
      <c r="AL97" s="806">
        <f>AL98</f>
        <v>3630</v>
      </c>
      <c r="AM97" s="806"/>
      <c r="AN97" s="806"/>
      <c r="AO97" s="1073" t="s">
        <v>2384</v>
      </c>
      <c r="AP97" s="1073" t="s">
        <v>2385</v>
      </c>
      <c r="AQ97" s="1073"/>
    </row>
    <row r="98" spans="1:43" ht="45">
      <c r="A98" s="22" t="s">
        <v>2662</v>
      </c>
      <c r="B98" s="22" t="s">
        <v>2663</v>
      </c>
      <c r="C98" s="1220">
        <f>+J98+K98+L98+P98+Q98+R98+V98+W98+X98+AB98+AC98+AD98</f>
        <v>16</v>
      </c>
      <c r="D98" s="1221" t="s">
        <v>52</v>
      </c>
      <c r="E98" s="22" t="s">
        <v>2660</v>
      </c>
      <c r="F98" s="22" t="s">
        <v>2661</v>
      </c>
      <c r="G98" s="824">
        <f t="shared" si="143"/>
        <v>0.30000459810693986</v>
      </c>
      <c r="H98" s="824"/>
      <c r="I98" s="824">
        <f>+AH98/AH97*100</f>
        <v>100</v>
      </c>
      <c r="J98" s="1222"/>
      <c r="K98" s="1222"/>
      <c r="L98" s="1222">
        <v>3</v>
      </c>
      <c r="M98" s="1223"/>
      <c r="N98" s="1223"/>
      <c r="O98" s="1223">
        <f>L98*1115</f>
        <v>3345</v>
      </c>
      <c r="P98" s="1222">
        <v>4</v>
      </c>
      <c r="Q98" s="1222">
        <v>1</v>
      </c>
      <c r="R98" s="1222">
        <v>2</v>
      </c>
      <c r="S98" s="1223">
        <f t="shared" ref="S98:U98" si="194">P98*1115</f>
        <v>4460</v>
      </c>
      <c r="T98" s="1223">
        <f t="shared" si="194"/>
        <v>1115</v>
      </c>
      <c r="U98" s="1223">
        <f t="shared" si="194"/>
        <v>2230</v>
      </c>
      <c r="V98" s="1222">
        <v>1</v>
      </c>
      <c r="W98" s="1222"/>
      <c r="X98" s="1222">
        <v>1</v>
      </c>
      <c r="Y98" s="1223">
        <f>V98*1115</f>
        <v>1115</v>
      </c>
      <c r="Z98" s="1223"/>
      <c r="AA98" s="1223">
        <f>X98*1115</f>
        <v>1115</v>
      </c>
      <c r="AB98" s="1222">
        <v>2</v>
      </c>
      <c r="AC98" s="1222">
        <v>1</v>
      </c>
      <c r="AD98" s="1222">
        <v>1</v>
      </c>
      <c r="AE98" s="1223">
        <f t="shared" ref="AE98:AF98" si="195">AB98*1115</f>
        <v>2230</v>
      </c>
      <c r="AF98" s="1223">
        <f t="shared" si="195"/>
        <v>1115</v>
      </c>
      <c r="AG98" s="1223">
        <f>AD98*1115-15</f>
        <v>1100</v>
      </c>
      <c r="AH98" s="1223">
        <f>M98+N98+O98+S98+T98+U98+Y98+Z98+AA98+AE98+AF98+AG98</f>
        <v>17825</v>
      </c>
      <c r="AI98" s="1223">
        <f>3410+10785</f>
        <v>14195</v>
      </c>
      <c r="AJ98" s="1223"/>
      <c r="AK98" s="1223"/>
      <c r="AL98" s="1223">
        <v>3630</v>
      </c>
      <c r="AM98" s="1223"/>
      <c r="AN98" s="1223"/>
      <c r="AO98" s="1066" t="s">
        <v>2384</v>
      </c>
      <c r="AP98" s="1066" t="s">
        <v>2431</v>
      </c>
      <c r="AQ98" s="1066"/>
    </row>
    <row r="99" spans="1:43" ht="30">
      <c r="A99" s="14" t="s">
        <v>2664</v>
      </c>
      <c r="B99" s="14" t="s">
        <v>2665</v>
      </c>
      <c r="C99" s="15"/>
      <c r="D99" s="14"/>
      <c r="E99" s="14"/>
      <c r="F99" s="14"/>
      <c r="G99" s="683">
        <f t="shared" si="143"/>
        <v>6.3069970867660086</v>
      </c>
      <c r="H99" s="683">
        <f>+G99</f>
        <v>6.3069970867660086</v>
      </c>
      <c r="I99" s="683"/>
      <c r="J99" s="684"/>
      <c r="K99" s="684"/>
      <c r="L99" s="684"/>
      <c r="M99" s="685">
        <f t="shared" ref="M99:O99" si="196">M100+M108+M112</f>
        <v>29620</v>
      </c>
      <c r="N99" s="685">
        <f t="shared" si="196"/>
        <v>28645</v>
      </c>
      <c r="O99" s="685">
        <f t="shared" si="196"/>
        <v>39615</v>
      </c>
      <c r="P99" s="684"/>
      <c r="Q99" s="684"/>
      <c r="R99" s="684"/>
      <c r="S99" s="685">
        <f t="shared" ref="S99:U99" si="197">S100+S108+S112</f>
        <v>50945</v>
      </c>
      <c r="T99" s="685">
        <f t="shared" si="197"/>
        <v>46470</v>
      </c>
      <c r="U99" s="685">
        <f t="shared" si="197"/>
        <v>30965</v>
      </c>
      <c r="V99" s="684"/>
      <c r="W99" s="684"/>
      <c r="X99" s="684"/>
      <c r="Y99" s="685">
        <f t="shared" ref="Y99:AA99" si="198">Y100+Y108+Y112</f>
        <v>31780</v>
      </c>
      <c r="Z99" s="685">
        <f t="shared" si="198"/>
        <v>22595</v>
      </c>
      <c r="AA99" s="685">
        <f t="shared" si="198"/>
        <v>29415</v>
      </c>
      <c r="AB99" s="684"/>
      <c r="AC99" s="684"/>
      <c r="AD99" s="684"/>
      <c r="AE99" s="685">
        <f t="shared" ref="AE99:AG99" si="199">AE100+AE108+AE112</f>
        <v>17050</v>
      </c>
      <c r="AF99" s="685">
        <f t="shared" si="199"/>
        <v>27825</v>
      </c>
      <c r="AG99" s="685">
        <f t="shared" si="199"/>
        <v>19810</v>
      </c>
      <c r="AH99" s="685">
        <f>AH100+AH108+AH112</f>
        <v>374735</v>
      </c>
      <c r="AI99" s="685">
        <f>AI100+AI108+AI112</f>
        <v>165495</v>
      </c>
      <c r="AJ99" s="685"/>
      <c r="AK99" s="685"/>
      <c r="AL99" s="685">
        <f>AL100+AL108+AL112</f>
        <v>209240</v>
      </c>
      <c r="AM99" s="685"/>
      <c r="AN99" s="685"/>
      <c r="AO99" s="1219" t="s">
        <v>2384</v>
      </c>
      <c r="AP99" s="1219" t="s">
        <v>2385</v>
      </c>
      <c r="AQ99" s="1219"/>
    </row>
    <row r="100" spans="1:43" ht="45">
      <c r="A100" s="18" t="s">
        <v>2666</v>
      </c>
      <c r="B100" s="18" t="s">
        <v>2667</v>
      </c>
      <c r="C100" s="642"/>
      <c r="D100" s="554" t="s">
        <v>1950</v>
      </c>
      <c r="E100" s="18" t="s">
        <v>2668</v>
      </c>
      <c r="F100" s="18" t="s">
        <v>2669</v>
      </c>
      <c r="G100" s="804">
        <f t="shared" si="143"/>
        <v>4.2464325456028869</v>
      </c>
      <c r="H100" s="804"/>
      <c r="I100" s="804"/>
      <c r="J100" s="805"/>
      <c r="K100" s="805"/>
      <c r="L100" s="805"/>
      <c r="M100" s="806">
        <f>M101+M102+M103+M104+M105+M106+M107</f>
        <v>16200</v>
      </c>
      <c r="N100" s="806">
        <f t="shared" ref="N100:O100" si="200">N101+N102+N103+N104+N105+N106+N107</f>
        <v>20780</v>
      </c>
      <c r="O100" s="806">
        <f t="shared" si="200"/>
        <v>28120</v>
      </c>
      <c r="P100" s="805"/>
      <c r="Q100" s="805"/>
      <c r="R100" s="805"/>
      <c r="S100" s="806">
        <f t="shared" ref="S100:U100" si="201">S101+S102+S103+S104+S105+S106+S107</f>
        <v>38610</v>
      </c>
      <c r="T100" s="806">
        <f t="shared" si="201"/>
        <v>38265</v>
      </c>
      <c r="U100" s="806">
        <f t="shared" si="201"/>
        <v>20660</v>
      </c>
      <c r="V100" s="805"/>
      <c r="W100" s="805"/>
      <c r="X100" s="805"/>
      <c r="Y100" s="806">
        <f t="shared" ref="Y100:AA100" si="202">Y101+Y102+Y103+Y104+Y105+Y106+Y107</f>
        <v>24695</v>
      </c>
      <c r="Z100" s="806">
        <f t="shared" si="202"/>
        <v>13165</v>
      </c>
      <c r="AA100" s="806">
        <f t="shared" si="202"/>
        <v>18335</v>
      </c>
      <c r="AB100" s="805"/>
      <c r="AC100" s="805"/>
      <c r="AD100" s="805"/>
      <c r="AE100" s="806">
        <f t="shared" ref="AE100:AG100" si="203">AE101+AE102+AE103+AE104+AE105+AE106+AE107</f>
        <v>10700</v>
      </c>
      <c r="AF100" s="806">
        <f t="shared" si="203"/>
        <v>15390</v>
      </c>
      <c r="AG100" s="806">
        <f t="shared" si="203"/>
        <v>7385</v>
      </c>
      <c r="AH100" s="806">
        <f>AH101+AH102+AH103+AH104+AH105+AH106+AH107</f>
        <v>252305</v>
      </c>
      <c r="AI100" s="806">
        <f>AI101+AI102+AI103+AI104+AI105+AI106+AI107</f>
        <v>106055</v>
      </c>
      <c r="AJ100" s="806"/>
      <c r="AK100" s="806"/>
      <c r="AL100" s="806">
        <f>AL101+AL102+AL103+AL104+AL105+AL106+AL107</f>
        <v>146250</v>
      </c>
      <c r="AM100" s="806"/>
      <c r="AN100" s="806"/>
      <c r="AO100" s="1073" t="s">
        <v>2384</v>
      </c>
      <c r="AP100" s="1073" t="s">
        <v>2385</v>
      </c>
      <c r="AQ100" s="1073"/>
    </row>
    <row r="101" spans="1:43" ht="60">
      <c r="A101" s="22" t="s">
        <v>2670</v>
      </c>
      <c r="B101" s="22" t="s">
        <v>2671</v>
      </c>
      <c r="C101" s="1220">
        <f t="shared" ref="C101:C107" si="204">+J101+K101+L101+P101+Q101+R101+V101+W101+X101+AB101+AC101+AD101</f>
        <v>692</v>
      </c>
      <c r="D101" s="1221" t="s">
        <v>1950</v>
      </c>
      <c r="E101" s="22" t="s">
        <v>2668</v>
      </c>
      <c r="F101" s="22" t="s">
        <v>2669</v>
      </c>
      <c r="G101" s="824">
        <f t="shared" si="143"/>
        <v>0.80542608933563009</v>
      </c>
      <c r="H101" s="824"/>
      <c r="I101" s="824">
        <f>+AH101/AH$100*100</f>
        <v>18.967123124789442</v>
      </c>
      <c r="J101" s="1222">
        <v>76</v>
      </c>
      <c r="K101" s="1222">
        <v>40</v>
      </c>
      <c r="L101" s="1222">
        <v>47</v>
      </c>
      <c r="M101" s="1223">
        <v>3190</v>
      </c>
      <c r="N101" s="1223">
        <v>3190</v>
      </c>
      <c r="O101" s="1223">
        <v>2395</v>
      </c>
      <c r="P101" s="1222">
        <v>66</v>
      </c>
      <c r="Q101" s="1222">
        <v>88</v>
      </c>
      <c r="R101" s="1222">
        <v>74</v>
      </c>
      <c r="S101" s="1223">
        <v>4785</v>
      </c>
      <c r="T101" s="1223">
        <v>4785</v>
      </c>
      <c r="U101" s="1223">
        <v>4785</v>
      </c>
      <c r="V101" s="1222">
        <v>62</v>
      </c>
      <c r="W101" s="1222">
        <v>45</v>
      </c>
      <c r="X101" s="1222">
        <v>60</v>
      </c>
      <c r="Y101" s="1223">
        <v>4785</v>
      </c>
      <c r="Z101" s="1223">
        <v>4785</v>
      </c>
      <c r="AA101" s="1223">
        <v>4785</v>
      </c>
      <c r="AB101" s="1222">
        <v>64</v>
      </c>
      <c r="AC101" s="1222">
        <v>50</v>
      </c>
      <c r="AD101" s="1222">
        <v>20</v>
      </c>
      <c r="AE101" s="1223">
        <v>4785</v>
      </c>
      <c r="AF101" s="1223">
        <v>3990</v>
      </c>
      <c r="AG101" s="1223">
        <v>1595</v>
      </c>
      <c r="AH101" s="1223">
        <f t="shared" ref="AH101:AH107" si="205">M101+N101+O101+S101+T101+U101+Y101+Z101+AA101+AE101+AF101+AG101</f>
        <v>47855</v>
      </c>
      <c r="AI101" s="1223">
        <v>23190</v>
      </c>
      <c r="AJ101" s="1223"/>
      <c r="AK101" s="1223"/>
      <c r="AL101" s="1223">
        <v>24665</v>
      </c>
      <c r="AM101" s="1223"/>
      <c r="AN101" s="1223"/>
      <c r="AO101" s="1066" t="s">
        <v>2384</v>
      </c>
      <c r="AP101" s="1066" t="s">
        <v>2431</v>
      </c>
      <c r="AQ101" s="1066"/>
    </row>
    <row r="102" spans="1:43" ht="60">
      <c r="A102" s="22" t="s">
        <v>2672</v>
      </c>
      <c r="B102" s="22" t="s">
        <v>2673</v>
      </c>
      <c r="C102" s="1220">
        <f t="shared" si="204"/>
        <v>24</v>
      </c>
      <c r="D102" s="1221" t="s">
        <v>2452</v>
      </c>
      <c r="E102" s="22" t="s">
        <v>2674</v>
      </c>
      <c r="F102" s="22" t="s">
        <v>2675</v>
      </c>
      <c r="G102" s="824">
        <f t="shared" si="143"/>
        <v>0.80542608933563009</v>
      </c>
      <c r="H102" s="824"/>
      <c r="I102" s="824">
        <f t="shared" ref="I102:I107" si="206">+AH102/AH$100*100</f>
        <v>18.967123124789442</v>
      </c>
      <c r="J102" s="1222"/>
      <c r="K102" s="1222">
        <v>3</v>
      </c>
      <c r="L102" s="1222">
        <v>1</v>
      </c>
      <c r="M102" s="1223"/>
      <c r="N102" s="1223">
        <f>K102*1990</f>
        <v>5970</v>
      </c>
      <c r="O102" s="1223">
        <f>L102*1990</f>
        <v>1990</v>
      </c>
      <c r="P102" s="1222">
        <v>1</v>
      </c>
      <c r="Q102" s="1222">
        <v>4</v>
      </c>
      <c r="R102" s="1222">
        <v>4</v>
      </c>
      <c r="S102" s="1223">
        <f t="shared" ref="S102:U102" si="207">P102*1990</f>
        <v>1990</v>
      </c>
      <c r="T102" s="1223">
        <f t="shared" si="207"/>
        <v>7960</v>
      </c>
      <c r="U102" s="1223">
        <f t="shared" si="207"/>
        <v>7960</v>
      </c>
      <c r="V102" s="1222">
        <v>4</v>
      </c>
      <c r="W102" s="1222">
        <v>2</v>
      </c>
      <c r="X102" s="1222">
        <v>1</v>
      </c>
      <c r="Y102" s="1223">
        <f t="shared" ref="Y102:AA102" si="208">V102*1990</f>
        <v>7960</v>
      </c>
      <c r="Z102" s="1223">
        <f t="shared" si="208"/>
        <v>3980</v>
      </c>
      <c r="AA102" s="1223">
        <f t="shared" si="208"/>
        <v>1990</v>
      </c>
      <c r="AB102" s="1222"/>
      <c r="AC102" s="1222">
        <v>2</v>
      </c>
      <c r="AD102" s="1222">
        <v>2</v>
      </c>
      <c r="AE102" s="1223"/>
      <c r="AF102" s="1223">
        <f t="shared" ref="AF102" si="209">AC102*1990</f>
        <v>3980</v>
      </c>
      <c r="AG102" s="1223">
        <f>AD102*1990+95</f>
        <v>4075</v>
      </c>
      <c r="AH102" s="1223">
        <f t="shared" si="205"/>
        <v>47855</v>
      </c>
      <c r="AI102" s="1223">
        <v>23190</v>
      </c>
      <c r="AJ102" s="1223"/>
      <c r="AK102" s="1223"/>
      <c r="AL102" s="1223">
        <v>24665</v>
      </c>
      <c r="AM102" s="1223"/>
      <c r="AN102" s="1223"/>
      <c r="AO102" s="1066" t="s">
        <v>2384</v>
      </c>
      <c r="AP102" s="1066" t="s">
        <v>2431</v>
      </c>
      <c r="AQ102" s="1066"/>
    </row>
    <row r="103" spans="1:43" ht="45">
      <c r="A103" s="22" t="s">
        <v>2676</v>
      </c>
      <c r="B103" s="22" t="s">
        <v>2677</v>
      </c>
      <c r="C103" s="1220">
        <f t="shared" si="204"/>
        <v>778</v>
      </c>
      <c r="D103" s="1221" t="s">
        <v>2441</v>
      </c>
      <c r="E103" s="22" t="s">
        <v>2678</v>
      </c>
      <c r="F103" s="22" t="s">
        <v>2443</v>
      </c>
      <c r="G103" s="824">
        <f t="shared" si="143"/>
        <v>0.76553767993796129</v>
      </c>
      <c r="H103" s="824"/>
      <c r="I103" s="824">
        <f t="shared" si="206"/>
        <v>18.027783833059193</v>
      </c>
      <c r="J103" s="1222">
        <v>73</v>
      </c>
      <c r="K103" s="1222">
        <v>64</v>
      </c>
      <c r="L103" s="1222">
        <v>70</v>
      </c>
      <c r="M103" s="1223">
        <f>J103*60</f>
        <v>4380</v>
      </c>
      <c r="N103" s="1223">
        <f t="shared" ref="N103:O103" si="210">K103*60</f>
        <v>3840</v>
      </c>
      <c r="O103" s="1223">
        <f t="shared" si="210"/>
        <v>4200</v>
      </c>
      <c r="P103" s="1222">
        <v>71</v>
      </c>
      <c r="Q103" s="1222">
        <v>80</v>
      </c>
      <c r="R103" s="1222">
        <v>83</v>
      </c>
      <c r="S103" s="1223">
        <f t="shared" ref="S103:U103" si="211">P103*60</f>
        <v>4260</v>
      </c>
      <c r="T103" s="1223">
        <f t="shared" si="211"/>
        <v>4800</v>
      </c>
      <c r="U103" s="1223">
        <f t="shared" si="211"/>
        <v>4980</v>
      </c>
      <c r="V103" s="1222">
        <v>85</v>
      </c>
      <c r="W103" s="1222">
        <v>80</v>
      </c>
      <c r="X103" s="1222">
        <v>45</v>
      </c>
      <c r="Y103" s="1223">
        <f>V103*60</f>
        <v>5100</v>
      </c>
      <c r="Z103" s="1223">
        <f>W103*55</f>
        <v>4400</v>
      </c>
      <c r="AA103" s="1223">
        <f>X103*55</f>
        <v>2475</v>
      </c>
      <c r="AB103" s="1222">
        <v>57</v>
      </c>
      <c r="AC103" s="1222">
        <v>40</v>
      </c>
      <c r="AD103" s="1222">
        <v>30</v>
      </c>
      <c r="AE103" s="1223">
        <f>AB103*55</f>
        <v>3135</v>
      </c>
      <c r="AF103" s="1223">
        <f>AC103*55</f>
        <v>2200</v>
      </c>
      <c r="AG103" s="1223">
        <f>AD103*55+65</f>
        <v>1715</v>
      </c>
      <c r="AH103" s="1223">
        <f t="shared" si="205"/>
        <v>45485</v>
      </c>
      <c r="AI103" s="1223">
        <v>16600</v>
      </c>
      <c r="AJ103" s="1223"/>
      <c r="AK103" s="1223"/>
      <c r="AL103" s="1223">
        <v>28885</v>
      </c>
      <c r="AM103" s="1223"/>
      <c r="AN103" s="1223"/>
      <c r="AO103" s="1066" t="s">
        <v>2384</v>
      </c>
      <c r="AP103" s="1066" t="s">
        <v>2431</v>
      </c>
      <c r="AQ103" s="1066"/>
    </row>
    <row r="104" spans="1:43" ht="60">
      <c r="A104" s="22" t="s">
        <v>2679</v>
      </c>
      <c r="B104" s="22" t="s">
        <v>2680</v>
      </c>
      <c r="C104" s="1220">
        <f t="shared" si="204"/>
        <v>38400</v>
      </c>
      <c r="D104" s="1221" t="s">
        <v>2426</v>
      </c>
      <c r="E104" s="22" t="s">
        <v>2681</v>
      </c>
      <c r="F104" s="22" t="s">
        <v>2682</v>
      </c>
      <c r="G104" s="824">
        <f t="shared" si="143"/>
        <v>0.78960536999647024</v>
      </c>
      <c r="H104" s="824"/>
      <c r="I104" s="824">
        <f t="shared" si="206"/>
        <v>18.594558173639047</v>
      </c>
      <c r="J104" s="1222"/>
      <c r="K104" s="1222"/>
      <c r="L104" s="1222">
        <v>5522</v>
      </c>
      <c r="M104" s="1223"/>
      <c r="N104" s="1223"/>
      <c r="O104" s="1223">
        <v>6740</v>
      </c>
      <c r="P104" s="1222">
        <v>16257</v>
      </c>
      <c r="Q104" s="1222">
        <v>15021</v>
      </c>
      <c r="R104" s="1222"/>
      <c r="S104" s="1223">
        <v>19835</v>
      </c>
      <c r="T104" s="1223">
        <v>18325</v>
      </c>
      <c r="U104" s="1223"/>
      <c r="V104" s="1222"/>
      <c r="W104" s="1222"/>
      <c r="X104" s="1222"/>
      <c r="Y104" s="1223"/>
      <c r="Z104" s="1223"/>
      <c r="AA104" s="1223"/>
      <c r="AB104" s="1222"/>
      <c r="AC104" s="1222">
        <v>1600</v>
      </c>
      <c r="AD104" s="1222"/>
      <c r="AE104" s="1223"/>
      <c r="AF104" s="1223">
        <f>1950+65</f>
        <v>2015</v>
      </c>
      <c r="AG104" s="1223"/>
      <c r="AH104" s="1223">
        <f t="shared" si="205"/>
        <v>46915</v>
      </c>
      <c r="AI104" s="1223">
        <f>17510+10785</f>
        <v>28295</v>
      </c>
      <c r="AJ104" s="1223"/>
      <c r="AK104" s="1223"/>
      <c r="AL104" s="1223">
        <v>18620</v>
      </c>
      <c r="AM104" s="1223"/>
      <c r="AN104" s="1223"/>
      <c r="AO104" s="1066" t="s">
        <v>2384</v>
      </c>
      <c r="AP104" s="1066" t="s">
        <v>2431</v>
      </c>
      <c r="AQ104" s="1066"/>
    </row>
    <row r="105" spans="1:43" ht="45">
      <c r="A105" s="1228" t="s">
        <v>2683</v>
      </c>
      <c r="B105" s="1229" t="s">
        <v>2684</v>
      </c>
      <c r="C105" s="1220">
        <f t="shared" si="204"/>
        <v>86</v>
      </c>
      <c r="D105" s="1221" t="s">
        <v>419</v>
      </c>
      <c r="E105" s="1229" t="s">
        <v>2685</v>
      </c>
      <c r="F105" s="1229" t="s">
        <v>2458</v>
      </c>
      <c r="G105" s="824">
        <f t="shared" si="143"/>
        <v>0.30749419396430805</v>
      </c>
      <c r="H105" s="824"/>
      <c r="I105" s="824">
        <f t="shared" si="206"/>
        <v>7.2412358058698789</v>
      </c>
      <c r="J105" s="1222">
        <v>16</v>
      </c>
      <c r="K105" s="1222">
        <v>13</v>
      </c>
      <c r="L105" s="1222">
        <v>17</v>
      </c>
      <c r="M105" s="1223">
        <f>J105*210</f>
        <v>3360</v>
      </c>
      <c r="N105" s="1223">
        <f t="shared" ref="N105:O105" si="212">K105*210</f>
        <v>2730</v>
      </c>
      <c r="O105" s="1223">
        <f t="shared" si="212"/>
        <v>3570</v>
      </c>
      <c r="P105" s="1222">
        <v>6</v>
      </c>
      <c r="Q105" s="1222">
        <v>2</v>
      </c>
      <c r="R105" s="1222">
        <v>3</v>
      </c>
      <c r="S105" s="1223">
        <f t="shared" ref="S105:U105" si="213">P105*210</f>
        <v>1260</v>
      </c>
      <c r="T105" s="1223">
        <f t="shared" si="213"/>
        <v>420</v>
      </c>
      <c r="U105" s="1223">
        <f t="shared" si="213"/>
        <v>630</v>
      </c>
      <c r="V105" s="1222">
        <v>7</v>
      </c>
      <c r="W105" s="1222"/>
      <c r="X105" s="1222">
        <v>14</v>
      </c>
      <c r="Y105" s="1223">
        <f>V105*210</f>
        <v>1470</v>
      </c>
      <c r="Z105" s="1223"/>
      <c r="AA105" s="1223">
        <f>X105*210</f>
        <v>2940</v>
      </c>
      <c r="AB105" s="1222">
        <v>3</v>
      </c>
      <c r="AC105" s="1222">
        <v>5</v>
      </c>
      <c r="AD105" s="1222"/>
      <c r="AE105" s="1223">
        <f>AB105*210+105</f>
        <v>735</v>
      </c>
      <c r="AF105" s="1223">
        <f>AC105*210+105</f>
        <v>1155</v>
      </c>
      <c r="AG105" s="1223"/>
      <c r="AH105" s="1223">
        <f t="shared" si="205"/>
        <v>18270</v>
      </c>
      <c r="AI105" s="1223">
        <v>3410</v>
      </c>
      <c r="AJ105" s="1223"/>
      <c r="AK105" s="1223"/>
      <c r="AL105" s="1223">
        <v>14860</v>
      </c>
      <c r="AM105" s="1223"/>
      <c r="AN105" s="1223"/>
      <c r="AO105" s="1066" t="s">
        <v>2384</v>
      </c>
      <c r="AP105" s="1066" t="s">
        <v>2431</v>
      </c>
      <c r="AQ105" s="1066"/>
    </row>
    <row r="106" spans="1:43" ht="45">
      <c r="A106" s="1228" t="s">
        <v>2686</v>
      </c>
      <c r="B106" s="1229" t="s">
        <v>2684</v>
      </c>
      <c r="C106" s="1220">
        <f t="shared" si="204"/>
        <v>167</v>
      </c>
      <c r="D106" s="1221" t="s">
        <v>424</v>
      </c>
      <c r="E106" s="1229" t="s">
        <v>2685</v>
      </c>
      <c r="F106" s="1229" t="s">
        <v>2458</v>
      </c>
      <c r="G106" s="824">
        <f t="shared" si="143"/>
        <v>0.30749419396430805</v>
      </c>
      <c r="H106" s="824"/>
      <c r="I106" s="824">
        <f t="shared" si="206"/>
        <v>7.2412358058698789</v>
      </c>
      <c r="J106" s="1222">
        <v>20</v>
      </c>
      <c r="K106" s="1222">
        <v>18</v>
      </c>
      <c r="L106" s="1222">
        <v>42</v>
      </c>
      <c r="M106" s="1223">
        <f>J106*110</f>
        <v>2200</v>
      </c>
      <c r="N106" s="1223">
        <f t="shared" ref="N106:O106" si="214">K106*110</f>
        <v>1980</v>
      </c>
      <c r="O106" s="1223">
        <f t="shared" si="214"/>
        <v>4620</v>
      </c>
      <c r="P106" s="1222">
        <v>31</v>
      </c>
      <c r="Q106" s="1222">
        <v>4</v>
      </c>
      <c r="R106" s="1222">
        <v>7</v>
      </c>
      <c r="S106" s="1223">
        <f t="shared" ref="S106:U106" si="215">P106*110</f>
        <v>3410</v>
      </c>
      <c r="T106" s="1223">
        <f t="shared" si="215"/>
        <v>440</v>
      </c>
      <c r="U106" s="1223">
        <f t="shared" si="215"/>
        <v>770</v>
      </c>
      <c r="V106" s="1222">
        <v>21</v>
      </c>
      <c r="W106" s="1222"/>
      <c r="X106" s="1222">
        <v>14</v>
      </c>
      <c r="Y106" s="1223">
        <f>V106*110</f>
        <v>2310</v>
      </c>
      <c r="Z106" s="1223"/>
      <c r="AA106" s="1223">
        <f>X106*110</f>
        <v>1540</v>
      </c>
      <c r="AB106" s="1222">
        <v>5</v>
      </c>
      <c r="AC106" s="1222">
        <v>5</v>
      </c>
      <c r="AD106" s="1222"/>
      <c r="AE106" s="1223">
        <f>AB106*110-50</f>
        <v>500</v>
      </c>
      <c r="AF106" s="1223">
        <f>AC106*110-50</f>
        <v>500</v>
      </c>
      <c r="AG106" s="1223"/>
      <c r="AH106" s="1223">
        <f t="shared" si="205"/>
        <v>18270</v>
      </c>
      <c r="AI106" s="1223">
        <v>3410</v>
      </c>
      <c r="AJ106" s="1223"/>
      <c r="AK106" s="1223"/>
      <c r="AL106" s="1223">
        <v>14860</v>
      </c>
      <c r="AM106" s="1223"/>
      <c r="AN106" s="1223"/>
      <c r="AO106" s="1066" t="s">
        <v>2384</v>
      </c>
      <c r="AP106" s="1066" t="s">
        <v>2431</v>
      </c>
      <c r="AQ106" s="1066"/>
    </row>
    <row r="107" spans="1:43" ht="45">
      <c r="A107" s="1228" t="s">
        <v>2687</v>
      </c>
      <c r="B107" s="1229" t="s">
        <v>2684</v>
      </c>
      <c r="C107" s="1220">
        <f t="shared" si="204"/>
        <v>18</v>
      </c>
      <c r="D107" s="1221" t="s">
        <v>944</v>
      </c>
      <c r="E107" s="1229" t="s">
        <v>2685</v>
      </c>
      <c r="F107" s="1229" t="s">
        <v>2458</v>
      </c>
      <c r="G107" s="824">
        <f t="shared" si="143"/>
        <v>0.4654489290685791</v>
      </c>
      <c r="H107" s="824"/>
      <c r="I107" s="824">
        <f t="shared" si="206"/>
        <v>10.960940131983115</v>
      </c>
      <c r="J107" s="1222">
        <v>2</v>
      </c>
      <c r="K107" s="1222">
        <v>2</v>
      </c>
      <c r="L107" s="1222">
        <v>3</v>
      </c>
      <c r="M107" s="1223">
        <f>J107*1535</f>
        <v>3070</v>
      </c>
      <c r="N107" s="1223">
        <f t="shared" ref="N107:O107" si="216">K107*1535</f>
        <v>3070</v>
      </c>
      <c r="O107" s="1223">
        <f t="shared" si="216"/>
        <v>4605</v>
      </c>
      <c r="P107" s="1222">
        <v>2</v>
      </c>
      <c r="Q107" s="1222">
        <v>1</v>
      </c>
      <c r="R107" s="1222">
        <v>1</v>
      </c>
      <c r="S107" s="1223">
        <f t="shared" ref="S107:U107" si="217">P107*1535</f>
        <v>3070</v>
      </c>
      <c r="T107" s="1223">
        <f t="shared" si="217"/>
        <v>1535</v>
      </c>
      <c r="U107" s="1223">
        <f t="shared" si="217"/>
        <v>1535</v>
      </c>
      <c r="V107" s="1222">
        <v>2</v>
      </c>
      <c r="W107" s="1222"/>
      <c r="X107" s="1222">
        <v>3</v>
      </c>
      <c r="Y107" s="1223">
        <f>V107*1535</f>
        <v>3070</v>
      </c>
      <c r="Z107" s="1223"/>
      <c r="AA107" s="1223">
        <f>X107*1535</f>
        <v>4605</v>
      </c>
      <c r="AB107" s="1222">
        <v>1</v>
      </c>
      <c r="AC107" s="1222">
        <v>1</v>
      </c>
      <c r="AD107" s="1222"/>
      <c r="AE107" s="1223">
        <f>AB107*1535+10</f>
        <v>1545</v>
      </c>
      <c r="AF107" s="1223">
        <f>AC107*1535+15</f>
        <v>1550</v>
      </c>
      <c r="AG107" s="1223"/>
      <c r="AH107" s="1223">
        <f t="shared" si="205"/>
        <v>27655</v>
      </c>
      <c r="AI107" s="1223">
        <v>7960</v>
      </c>
      <c r="AJ107" s="1223"/>
      <c r="AK107" s="1223"/>
      <c r="AL107" s="1223">
        <v>19695</v>
      </c>
      <c r="AM107" s="1223"/>
      <c r="AN107" s="1223"/>
      <c r="AO107" s="1066" t="s">
        <v>2384</v>
      </c>
      <c r="AP107" s="1066" t="s">
        <v>2431</v>
      </c>
      <c r="AQ107" s="1066"/>
    </row>
    <row r="108" spans="1:43" ht="75">
      <c r="A108" s="18" t="s">
        <v>2688</v>
      </c>
      <c r="B108" s="18" t="s">
        <v>2689</v>
      </c>
      <c r="C108" s="642"/>
      <c r="D108" s="554" t="s">
        <v>252</v>
      </c>
      <c r="E108" s="18" t="s">
        <v>2690</v>
      </c>
      <c r="F108" s="18" t="s">
        <v>2691</v>
      </c>
      <c r="G108" s="804">
        <f t="shared" si="143"/>
        <v>1.5867844886127511</v>
      </c>
      <c r="H108" s="804"/>
      <c r="I108" s="804"/>
      <c r="J108" s="805"/>
      <c r="K108" s="805"/>
      <c r="L108" s="805"/>
      <c r="M108" s="806">
        <f t="shared" ref="M108:O108" si="218">M109+M110+M111</f>
        <v>5600</v>
      </c>
      <c r="N108" s="806">
        <f t="shared" si="218"/>
        <v>7085</v>
      </c>
      <c r="O108" s="806">
        <f t="shared" si="218"/>
        <v>11495</v>
      </c>
      <c r="P108" s="805"/>
      <c r="Q108" s="805"/>
      <c r="R108" s="805"/>
      <c r="S108" s="806">
        <f t="shared" ref="S108:U108" si="219">S109+S110+S111</f>
        <v>11005</v>
      </c>
      <c r="T108" s="806">
        <f t="shared" si="219"/>
        <v>6595</v>
      </c>
      <c r="U108" s="806">
        <f t="shared" si="219"/>
        <v>8555</v>
      </c>
      <c r="V108" s="805"/>
      <c r="W108" s="805"/>
      <c r="X108" s="805"/>
      <c r="Y108" s="806">
        <f t="shared" ref="Y108:AA108" si="220">Y109+Y110+Y111</f>
        <v>7085</v>
      </c>
      <c r="Z108" s="806">
        <f t="shared" si="220"/>
        <v>7820</v>
      </c>
      <c r="AA108" s="806">
        <f t="shared" si="220"/>
        <v>10025</v>
      </c>
      <c r="AB108" s="805"/>
      <c r="AC108" s="805"/>
      <c r="AD108" s="805"/>
      <c r="AE108" s="806">
        <f t="shared" ref="AE108:AG108" si="221">AE109+AE110+AE111</f>
        <v>6350</v>
      </c>
      <c r="AF108" s="806">
        <f t="shared" si="221"/>
        <v>6350</v>
      </c>
      <c r="AG108" s="806">
        <f t="shared" si="221"/>
        <v>6315</v>
      </c>
      <c r="AH108" s="806">
        <f>AH109+AH110+AH111</f>
        <v>94280</v>
      </c>
      <c r="AI108" s="806">
        <f>AI109+AI110+AI111</f>
        <v>40245</v>
      </c>
      <c r="AJ108" s="806"/>
      <c r="AK108" s="806"/>
      <c r="AL108" s="806">
        <f>AL109+AL110+AL111</f>
        <v>54035</v>
      </c>
      <c r="AM108" s="806"/>
      <c r="AN108" s="806"/>
      <c r="AO108" s="1073" t="s">
        <v>2384</v>
      </c>
      <c r="AP108" s="1073" t="s">
        <v>2385</v>
      </c>
      <c r="AQ108" s="1073"/>
    </row>
    <row r="109" spans="1:43" ht="45">
      <c r="A109" s="22" t="s">
        <v>2692</v>
      </c>
      <c r="B109" s="22" t="s">
        <v>2693</v>
      </c>
      <c r="C109" s="1220">
        <f>+J109+K109+L109+P109+Q109+R109+V109+W109+X109+AB109+AC109+AD109</f>
        <v>13291</v>
      </c>
      <c r="D109" s="1221" t="s">
        <v>2403</v>
      </c>
      <c r="E109" s="22" t="s">
        <v>2694</v>
      </c>
      <c r="F109" s="22" t="s">
        <v>2691</v>
      </c>
      <c r="G109" s="824">
        <f t="shared" si="143"/>
        <v>0.48960077188953044</v>
      </c>
      <c r="H109" s="824"/>
      <c r="I109" s="824">
        <f>+AH109/AH$108*100</f>
        <v>30.854900296987697</v>
      </c>
      <c r="J109" s="1222">
        <v>854</v>
      </c>
      <c r="K109" s="1222">
        <v>1107</v>
      </c>
      <c r="L109" s="1222">
        <v>1106</v>
      </c>
      <c r="M109" s="1223">
        <v>2425</v>
      </c>
      <c r="N109" s="1223">
        <v>2425</v>
      </c>
      <c r="O109" s="1223">
        <v>2425</v>
      </c>
      <c r="P109" s="1222">
        <v>1453</v>
      </c>
      <c r="Q109" s="1222">
        <v>1215</v>
      </c>
      <c r="R109" s="1222">
        <v>1463</v>
      </c>
      <c r="S109" s="1223">
        <v>2425</v>
      </c>
      <c r="T109" s="1223">
        <v>2425</v>
      </c>
      <c r="U109" s="1223">
        <v>2425</v>
      </c>
      <c r="V109" s="1222">
        <v>1180</v>
      </c>
      <c r="W109" s="1222">
        <v>990</v>
      </c>
      <c r="X109" s="1222">
        <v>1164</v>
      </c>
      <c r="Y109" s="1223">
        <v>2425</v>
      </c>
      <c r="Z109" s="1223">
        <v>2425</v>
      </c>
      <c r="AA109" s="1223">
        <v>2425</v>
      </c>
      <c r="AB109" s="1222">
        <v>959</v>
      </c>
      <c r="AC109" s="1222">
        <v>900</v>
      </c>
      <c r="AD109" s="1222">
        <v>900</v>
      </c>
      <c r="AE109" s="1223">
        <v>2425</v>
      </c>
      <c r="AF109" s="1223">
        <v>2425</v>
      </c>
      <c r="AG109" s="1223">
        <v>2415</v>
      </c>
      <c r="AH109" s="1223">
        <f t="shared" ref="AH109:AH111" si="222">M109+N109+O109+S109+T109+U109+Y109+Z109+AA109+AE109+AF109+AG109</f>
        <v>29090</v>
      </c>
      <c r="AI109" s="1223">
        <v>14095</v>
      </c>
      <c r="AJ109" s="1223"/>
      <c r="AK109" s="1223"/>
      <c r="AL109" s="1223">
        <v>14995</v>
      </c>
      <c r="AM109" s="1223"/>
      <c r="AN109" s="1223"/>
      <c r="AO109" s="1066" t="s">
        <v>2384</v>
      </c>
      <c r="AP109" s="1066" t="s">
        <v>2409</v>
      </c>
      <c r="AQ109" s="1066"/>
    </row>
    <row r="110" spans="1:43" ht="45">
      <c r="A110" s="22" t="s">
        <v>2695</v>
      </c>
      <c r="B110" s="22" t="s">
        <v>2696</v>
      </c>
      <c r="C110" s="1220">
        <f>+J110+K110+L110+P110+Q110+R110+V110+W110+X110+AB110+AC110+AD110</f>
        <v>150</v>
      </c>
      <c r="D110" s="1221" t="s">
        <v>2412</v>
      </c>
      <c r="E110" s="22" t="s">
        <v>2697</v>
      </c>
      <c r="F110" s="22" t="s">
        <v>2698</v>
      </c>
      <c r="G110" s="824">
        <f t="shared" si="143"/>
        <v>0.54488913681414752</v>
      </c>
      <c r="H110" s="824"/>
      <c r="I110" s="824">
        <f t="shared" ref="I110:I111" si="223">+AH110/AH$108*100</f>
        <v>34.339202375901564</v>
      </c>
      <c r="J110" s="1222">
        <v>8</v>
      </c>
      <c r="K110" s="1222">
        <v>14</v>
      </c>
      <c r="L110" s="1222">
        <v>22</v>
      </c>
      <c r="M110" s="1223">
        <v>2700</v>
      </c>
      <c r="N110" s="1223">
        <v>2700</v>
      </c>
      <c r="O110" s="1223">
        <v>2700</v>
      </c>
      <c r="P110" s="1222">
        <v>13</v>
      </c>
      <c r="Q110" s="1222">
        <v>16</v>
      </c>
      <c r="R110" s="1222">
        <v>14</v>
      </c>
      <c r="S110" s="1223">
        <v>2700</v>
      </c>
      <c r="T110" s="1223">
        <v>2700</v>
      </c>
      <c r="U110" s="1223">
        <v>2700</v>
      </c>
      <c r="V110" s="1222">
        <v>14</v>
      </c>
      <c r="W110" s="1222">
        <v>11</v>
      </c>
      <c r="X110" s="1222">
        <v>8</v>
      </c>
      <c r="Y110" s="1223">
        <v>2700</v>
      </c>
      <c r="Z110" s="1223">
        <v>2700</v>
      </c>
      <c r="AA110" s="1223">
        <v>2700</v>
      </c>
      <c r="AB110" s="1222">
        <v>10</v>
      </c>
      <c r="AC110" s="1222">
        <v>10</v>
      </c>
      <c r="AD110" s="1222">
        <v>10</v>
      </c>
      <c r="AE110" s="1223">
        <v>2700</v>
      </c>
      <c r="AF110" s="1223">
        <v>2700</v>
      </c>
      <c r="AG110" s="1223">
        <v>2675</v>
      </c>
      <c r="AH110" s="1223">
        <f t="shared" si="222"/>
        <v>32375</v>
      </c>
      <c r="AI110" s="1223">
        <v>15690</v>
      </c>
      <c r="AJ110" s="1223"/>
      <c r="AK110" s="1223"/>
      <c r="AL110" s="1223">
        <v>16685</v>
      </c>
      <c r="AM110" s="1223"/>
      <c r="AN110" s="1223"/>
      <c r="AO110" s="1066" t="s">
        <v>2384</v>
      </c>
      <c r="AP110" s="1066" t="s">
        <v>2409</v>
      </c>
      <c r="AQ110" s="1066"/>
    </row>
    <row r="111" spans="1:43" ht="30">
      <c r="A111" s="22" t="s">
        <v>2699</v>
      </c>
      <c r="B111" s="22" t="s">
        <v>2700</v>
      </c>
      <c r="C111" s="1220">
        <f>+J111+K111+L111+P111+Q111+R111+V111+W111+X111+AB111+AC111+AD111</f>
        <v>133</v>
      </c>
      <c r="D111" s="1221" t="s">
        <v>2441</v>
      </c>
      <c r="E111" s="22" t="s">
        <v>2701</v>
      </c>
      <c r="F111" s="22" t="s">
        <v>2702</v>
      </c>
      <c r="G111" s="824">
        <f t="shared" si="143"/>
        <v>0.55229457990907338</v>
      </c>
      <c r="H111" s="824"/>
      <c r="I111" s="824">
        <f t="shared" si="223"/>
        <v>34.805897327110735</v>
      </c>
      <c r="J111" s="1222">
        <v>1</v>
      </c>
      <c r="K111" s="1222">
        <v>8</v>
      </c>
      <c r="L111" s="1222">
        <v>26</v>
      </c>
      <c r="M111" s="1223">
        <f>J111*245+230</f>
        <v>475</v>
      </c>
      <c r="N111" s="1223">
        <f>K111*245</f>
        <v>1960</v>
      </c>
      <c r="O111" s="1223">
        <f>L111*245</f>
        <v>6370</v>
      </c>
      <c r="P111" s="1222">
        <v>24</v>
      </c>
      <c r="Q111" s="1222">
        <v>6</v>
      </c>
      <c r="R111" s="1222">
        <v>14</v>
      </c>
      <c r="S111" s="1223">
        <f t="shared" ref="S111:U111" si="224">P111*245</f>
        <v>5880</v>
      </c>
      <c r="T111" s="1223">
        <f t="shared" si="224"/>
        <v>1470</v>
      </c>
      <c r="U111" s="1223">
        <f t="shared" si="224"/>
        <v>3430</v>
      </c>
      <c r="V111" s="1222">
        <v>8</v>
      </c>
      <c r="W111" s="1222">
        <v>11</v>
      </c>
      <c r="X111" s="1222">
        <v>20</v>
      </c>
      <c r="Y111" s="1223">
        <f t="shared" ref="Y111:AA111" si="225">V111*245</f>
        <v>1960</v>
      </c>
      <c r="Z111" s="1223">
        <f t="shared" si="225"/>
        <v>2695</v>
      </c>
      <c r="AA111" s="1223">
        <f t="shared" si="225"/>
        <v>4900</v>
      </c>
      <c r="AB111" s="1222">
        <v>5</v>
      </c>
      <c r="AC111" s="1222">
        <v>5</v>
      </c>
      <c r="AD111" s="1222">
        <v>5</v>
      </c>
      <c r="AE111" s="1223">
        <f t="shared" ref="AE111:AG111" si="226">AB111*245</f>
        <v>1225</v>
      </c>
      <c r="AF111" s="1223">
        <f t="shared" si="226"/>
        <v>1225</v>
      </c>
      <c r="AG111" s="1223">
        <f t="shared" si="226"/>
        <v>1225</v>
      </c>
      <c r="AH111" s="1223">
        <f t="shared" si="222"/>
        <v>32815</v>
      </c>
      <c r="AI111" s="1223">
        <v>10460</v>
      </c>
      <c r="AJ111" s="1223"/>
      <c r="AK111" s="1223"/>
      <c r="AL111" s="1223">
        <v>22355</v>
      </c>
      <c r="AM111" s="1223"/>
      <c r="AN111" s="1223"/>
      <c r="AO111" s="1066" t="s">
        <v>2384</v>
      </c>
      <c r="AP111" s="1066" t="s">
        <v>2409</v>
      </c>
      <c r="AQ111" s="1066"/>
    </row>
    <row r="112" spans="1:43" ht="30">
      <c r="A112" s="18" t="s">
        <v>2703</v>
      </c>
      <c r="B112" s="18" t="s">
        <v>2704</v>
      </c>
      <c r="C112" s="642"/>
      <c r="D112" s="554" t="s">
        <v>1661</v>
      </c>
      <c r="E112" s="18" t="s">
        <v>2705</v>
      </c>
      <c r="F112" s="18" t="s">
        <v>2572</v>
      </c>
      <c r="G112" s="804">
        <f t="shared" si="143"/>
        <v>0.4737800525503707</v>
      </c>
      <c r="H112" s="804"/>
      <c r="I112" s="804"/>
      <c r="J112" s="805"/>
      <c r="K112" s="805"/>
      <c r="L112" s="805"/>
      <c r="M112" s="806">
        <f t="shared" ref="M112:N112" si="227">M113+M114+M115</f>
        <v>7820</v>
      </c>
      <c r="N112" s="806">
        <f t="shared" si="227"/>
        <v>780</v>
      </c>
      <c r="O112" s="806"/>
      <c r="P112" s="805"/>
      <c r="Q112" s="805"/>
      <c r="R112" s="805"/>
      <c r="S112" s="806">
        <f t="shared" ref="S112:U112" si="228">S113+S114+S115</f>
        <v>1330</v>
      </c>
      <c r="T112" s="806">
        <f t="shared" si="228"/>
        <v>1610</v>
      </c>
      <c r="U112" s="806">
        <f t="shared" si="228"/>
        <v>1750</v>
      </c>
      <c r="V112" s="805"/>
      <c r="W112" s="805"/>
      <c r="X112" s="805"/>
      <c r="Y112" s="806"/>
      <c r="Z112" s="806">
        <f t="shared" ref="Z112:AA112" si="229">Z113+Z114+Z115</f>
        <v>1610</v>
      </c>
      <c r="AA112" s="806">
        <f t="shared" si="229"/>
        <v>1055</v>
      </c>
      <c r="AB112" s="805"/>
      <c r="AC112" s="805"/>
      <c r="AD112" s="805"/>
      <c r="AE112" s="806"/>
      <c r="AF112" s="806">
        <f t="shared" ref="AF112:AG112" si="230">AF113+AF114+AF115</f>
        <v>6085</v>
      </c>
      <c r="AG112" s="806">
        <f t="shared" si="230"/>
        <v>6110</v>
      </c>
      <c r="AH112" s="806">
        <f>AH113+AH114+AH115</f>
        <v>28150</v>
      </c>
      <c r="AI112" s="806">
        <f>AI113+AI114+AI115</f>
        <v>19195</v>
      </c>
      <c r="AJ112" s="806"/>
      <c r="AK112" s="806"/>
      <c r="AL112" s="806">
        <f>AL113+AL114+AL115</f>
        <v>8955</v>
      </c>
      <c r="AM112" s="806"/>
      <c r="AN112" s="806"/>
      <c r="AO112" s="1073" t="s">
        <v>2384</v>
      </c>
      <c r="AP112" s="1073" t="s">
        <v>2385</v>
      </c>
      <c r="AQ112" s="1073"/>
    </row>
    <row r="113" spans="1:43" ht="30">
      <c r="A113" s="22" t="s">
        <v>2706</v>
      </c>
      <c r="B113" s="22" t="s">
        <v>2707</v>
      </c>
      <c r="C113" s="1220">
        <f>+J113+K113+L113+P113+Q113+R113+V113+W113+X113+AB113+AC113+AD113</f>
        <v>155</v>
      </c>
      <c r="D113" s="1221" t="s">
        <v>1661</v>
      </c>
      <c r="E113" s="22" t="s">
        <v>2705</v>
      </c>
      <c r="F113" s="22" t="s">
        <v>2572</v>
      </c>
      <c r="G113" s="824">
        <f t="shared" si="143"/>
        <v>0.11848708951881384</v>
      </c>
      <c r="H113" s="824"/>
      <c r="I113" s="824">
        <f>+AH113/AH$112*100</f>
        <v>25.008880994671401</v>
      </c>
      <c r="J113" s="1222">
        <v>45</v>
      </c>
      <c r="K113" s="1222">
        <v>17</v>
      </c>
      <c r="L113" s="1222"/>
      <c r="M113" s="1223">
        <v>780</v>
      </c>
      <c r="N113" s="1223">
        <v>780</v>
      </c>
      <c r="O113" s="1223"/>
      <c r="P113" s="1222">
        <v>11</v>
      </c>
      <c r="Q113" s="1222">
        <v>12</v>
      </c>
      <c r="R113" s="1222">
        <v>7</v>
      </c>
      <c r="S113" s="1223">
        <v>780</v>
      </c>
      <c r="T113" s="1223">
        <v>780</v>
      </c>
      <c r="U113" s="1223">
        <v>780</v>
      </c>
      <c r="V113" s="1222"/>
      <c r="W113" s="1222">
        <v>5</v>
      </c>
      <c r="X113" s="1222">
        <v>8</v>
      </c>
      <c r="Y113" s="1223"/>
      <c r="Z113" s="1223">
        <v>780</v>
      </c>
      <c r="AA113" s="1223">
        <v>780</v>
      </c>
      <c r="AB113" s="1222"/>
      <c r="AC113" s="1222">
        <v>25</v>
      </c>
      <c r="AD113" s="1222">
        <v>25</v>
      </c>
      <c r="AE113" s="1223"/>
      <c r="AF113" s="1223">
        <v>780</v>
      </c>
      <c r="AG113" s="1223">
        <v>800</v>
      </c>
      <c r="AH113" s="1223">
        <f t="shared" ref="AH113:AH115" si="231">M113+N113+O113+S113+T113+U113+Y113+Z113+AA113+AE113+AF113+AG113</f>
        <v>7040</v>
      </c>
      <c r="AI113" s="1223">
        <v>3410</v>
      </c>
      <c r="AJ113" s="1223"/>
      <c r="AK113" s="1223"/>
      <c r="AL113" s="1223">
        <v>3630</v>
      </c>
      <c r="AM113" s="1223"/>
      <c r="AN113" s="1223"/>
      <c r="AO113" s="1066" t="s">
        <v>2384</v>
      </c>
      <c r="AP113" s="1066" t="s">
        <v>2481</v>
      </c>
      <c r="AQ113" s="1066"/>
    </row>
    <row r="114" spans="1:43" ht="30">
      <c r="A114" s="22" t="s">
        <v>2708</v>
      </c>
      <c r="B114" s="22" t="s">
        <v>2709</v>
      </c>
      <c r="C114" s="1220">
        <f>+J114+K114+L114+P114+Q114+R114+V114+W114+X114+AB114+AC114+AD114</f>
        <v>90</v>
      </c>
      <c r="D114" s="1221" t="s">
        <v>50</v>
      </c>
      <c r="E114" s="22" t="s">
        <v>2710</v>
      </c>
      <c r="F114" s="22" t="s">
        <v>2572</v>
      </c>
      <c r="G114" s="824">
        <f t="shared" si="143"/>
        <v>0.20928792019409803</v>
      </c>
      <c r="H114" s="824"/>
      <c r="I114" s="824">
        <f t="shared" ref="I114:I115" si="232">+AH114/AH$112*100</f>
        <v>44.174067495559505</v>
      </c>
      <c r="J114" s="1222">
        <v>51</v>
      </c>
      <c r="K114" s="1222"/>
      <c r="L114" s="1222"/>
      <c r="M114" s="1223">
        <v>7040</v>
      </c>
      <c r="N114" s="1223"/>
      <c r="O114" s="1223"/>
      <c r="P114" s="1222">
        <v>4</v>
      </c>
      <c r="Q114" s="1222">
        <v>6</v>
      </c>
      <c r="R114" s="1222">
        <v>7</v>
      </c>
      <c r="S114" s="1223">
        <v>550</v>
      </c>
      <c r="T114" s="1223">
        <v>830</v>
      </c>
      <c r="U114" s="1223">
        <v>970</v>
      </c>
      <c r="V114" s="1222"/>
      <c r="W114" s="1222">
        <v>6</v>
      </c>
      <c r="X114" s="1222">
        <v>2</v>
      </c>
      <c r="Y114" s="1223"/>
      <c r="Z114" s="1223">
        <v>830</v>
      </c>
      <c r="AA114" s="1223">
        <v>275</v>
      </c>
      <c r="AB114" s="1222"/>
      <c r="AC114" s="1222">
        <v>7</v>
      </c>
      <c r="AD114" s="1222">
        <v>7</v>
      </c>
      <c r="AE114" s="1223"/>
      <c r="AF114" s="1223">
        <v>970</v>
      </c>
      <c r="AG114" s="1223">
        <v>970</v>
      </c>
      <c r="AH114" s="1223">
        <f t="shared" si="231"/>
        <v>12435</v>
      </c>
      <c r="AI114" s="1223">
        <f>3410+5395</f>
        <v>8805</v>
      </c>
      <c r="AJ114" s="1223"/>
      <c r="AK114" s="1223"/>
      <c r="AL114" s="1223">
        <v>3630</v>
      </c>
      <c r="AM114" s="1223"/>
      <c r="AN114" s="1223"/>
      <c r="AO114" s="1066" t="s">
        <v>2384</v>
      </c>
      <c r="AP114" s="1066" t="s">
        <v>2481</v>
      </c>
      <c r="AQ114" s="1066"/>
    </row>
    <row r="115" spans="1:43" ht="30">
      <c r="A115" s="22" t="s">
        <v>2711</v>
      </c>
      <c r="B115" s="22" t="s">
        <v>2712</v>
      </c>
      <c r="C115" s="1220">
        <f>+J115+K115+L115+P115+Q115+R115+V115+W115+X115+AB115+AC115+AD115</f>
        <v>120</v>
      </c>
      <c r="D115" s="1221" t="s">
        <v>2713</v>
      </c>
      <c r="E115" s="22" t="s">
        <v>2714</v>
      </c>
      <c r="F115" s="22" t="s">
        <v>2572</v>
      </c>
      <c r="G115" s="824">
        <f t="shared" si="143"/>
        <v>0.1460050428374588</v>
      </c>
      <c r="H115" s="824"/>
      <c r="I115" s="824">
        <f t="shared" si="232"/>
        <v>30.817051509769094</v>
      </c>
      <c r="J115" s="1222"/>
      <c r="K115" s="1222"/>
      <c r="L115" s="1222"/>
      <c r="M115" s="1223"/>
      <c r="N115" s="1223"/>
      <c r="O115" s="1223"/>
      <c r="P115" s="1222"/>
      <c r="Q115" s="1222"/>
      <c r="R115" s="1222"/>
      <c r="S115" s="1223"/>
      <c r="T115" s="1223"/>
      <c r="U115" s="1223"/>
      <c r="V115" s="1222"/>
      <c r="W115" s="1222"/>
      <c r="X115" s="1222"/>
      <c r="Y115" s="1223"/>
      <c r="Z115" s="1223"/>
      <c r="AA115" s="1223"/>
      <c r="AB115" s="1222"/>
      <c r="AC115" s="1222">
        <v>60</v>
      </c>
      <c r="AD115" s="1222">
        <v>60</v>
      </c>
      <c r="AE115" s="1223"/>
      <c r="AF115" s="1223">
        <v>4335</v>
      </c>
      <c r="AG115" s="1223">
        <v>4340</v>
      </c>
      <c r="AH115" s="1223">
        <f t="shared" si="231"/>
        <v>8675</v>
      </c>
      <c r="AI115" s="1223">
        <f>1590+5390</f>
        <v>6980</v>
      </c>
      <c r="AJ115" s="1223"/>
      <c r="AK115" s="1223"/>
      <c r="AL115" s="1223">
        <v>1695</v>
      </c>
      <c r="AM115" s="1223"/>
      <c r="AN115" s="1223"/>
      <c r="AO115" s="1066" t="s">
        <v>2384</v>
      </c>
      <c r="AP115" s="1066" t="s">
        <v>2481</v>
      </c>
      <c r="AQ115" s="1066"/>
    </row>
    <row r="116" spans="1:43" ht="30">
      <c r="A116" s="14" t="s">
        <v>1822</v>
      </c>
      <c r="B116" s="14" t="s">
        <v>1823</v>
      </c>
      <c r="C116" s="15"/>
      <c r="D116" s="14"/>
      <c r="E116" s="14"/>
      <c r="F116" s="14"/>
      <c r="G116" s="683">
        <f t="shared" si="143"/>
        <v>7.9841616422418324</v>
      </c>
      <c r="H116" s="683">
        <f>+G116</f>
        <v>7.9841616422418324</v>
      </c>
      <c r="I116" s="683"/>
      <c r="J116" s="684"/>
      <c r="K116" s="684"/>
      <c r="L116" s="684"/>
      <c r="M116" s="685"/>
      <c r="N116" s="685"/>
      <c r="O116" s="685">
        <f>O117+O119</f>
        <v>187205</v>
      </c>
      <c r="P116" s="684"/>
      <c r="Q116" s="684"/>
      <c r="R116" s="684"/>
      <c r="S116" s="685"/>
      <c r="T116" s="685"/>
      <c r="U116" s="685">
        <f>U117+U119</f>
        <v>187205</v>
      </c>
      <c r="V116" s="684"/>
      <c r="W116" s="684"/>
      <c r="X116" s="684"/>
      <c r="Y116" s="685"/>
      <c r="Z116" s="685"/>
      <c r="AA116" s="685"/>
      <c r="AB116" s="684"/>
      <c r="AC116" s="684"/>
      <c r="AD116" s="684"/>
      <c r="AE116" s="685">
        <f t="shared" ref="AE116:AL116" si="233">AE117+AE119</f>
        <v>98100</v>
      </c>
      <c r="AF116" s="685"/>
      <c r="AG116" s="685">
        <f t="shared" si="233"/>
        <v>1875</v>
      </c>
      <c r="AH116" s="685">
        <f t="shared" si="233"/>
        <v>474385</v>
      </c>
      <c r="AI116" s="685">
        <f t="shared" si="233"/>
        <v>910</v>
      </c>
      <c r="AJ116" s="685"/>
      <c r="AK116" s="685">
        <f t="shared" si="233"/>
        <v>472510</v>
      </c>
      <c r="AL116" s="685">
        <f t="shared" si="233"/>
        <v>965</v>
      </c>
      <c r="AM116" s="685"/>
      <c r="AN116" s="685"/>
      <c r="AO116" s="1219" t="s">
        <v>2384</v>
      </c>
      <c r="AP116" s="1219" t="s">
        <v>2385</v>
      </c>
      <c r="AQ116" s="1219"/>
    </row>
    <row r="117" spans="1:43" ht="45">
      <c r="A117" s="18" t="s">
        <v>2715</v>
      </c>
      <c r="B117" s="18" t="s">
        <v>2716</v>
      </c>
      <c r="C117" s="642"/>
      <c r="D117" s="554" t="s">
        <v>52</v>
      </c>
      <c r="E117" s="18" t="s">
        <v>2717</v>
      </c>
      <c r="F117" s="18" t="s">
        <v>2718</v>
      </c>
      <c r="G117" s="804">
        <f t="shared" si="143"/>
        <v>3.155728591587726E-2</v>
      </c>
      <c r="H117" s="804"/>
      <c r="I117" s="804"/>
      <c r="J117" s="805"/>
      <c r="K117" s="805"/>
      <c r="L117" s="805"/>
      <c r="M117" s="806"/>
      <c r="N117" s="806"/>
      <c r="O117" s="806"/>
      <c r="P117" s="805"/>
      <c r="Q117" s="805"/>
      <c r="R117" s="805"/>
      <c r="S117" s="806"/>
      <c r="T117" s="806"/>
      <c r="U117" s="806"/>
      <c r="V117" s="805"/>
      <c r="W117" s="805"/>
      <c r="X117" s="805"/>
      <c r="Y117" s="806"/>
      <c r="Z117" s="806"/>
      <c r="AA117" s="806"/>
      <c r="AB117" s="805"/>
      <c r="AC117" s="805"/>
      <c r="AD117" s="805"/>
      <c r="AE117" s="806"/>
      <c r="AF117" s="806"/>
      <c r="AG117" s="806">
        <f t="shared" ref="AG117" si="234">AG118</f>
        <v>1875</v>
      </c>
      <c r="AH117" s="806">
        <f>AH118</f>
        <v>1875</v>
      </c>
      <c r="AI117" s="806">
        <f>AI118</f>
        <v>910</v>
      </c>
      <c r="AJ117" s="806"/>
      <c r="AK117" s="806"/>
      <c r="AL117" s="806">
        <f>AL118</f>
        <v>965</v>
      </c>
      <c r="AM117" s="806"/>
      <c r="AN117" s="806"/>
      <c r="AO117" s="1073" t="s">
        <v>2384</v>
      </c>
      <c r="AP117" s="1073" t="s">
        <v>2385</v>
      </c>
      <c r="AQ117" s="1073"/>
    </row>
    <row r="118" spans="1:43" ht="30">
      <c r="A118" s="22" t="s">
        <v>2719</v>
      </c>
      <c r="B118" s="22" t="s">
        <v>2720</v>
      </c>
      <c r="C118" s="1220">
        <f>+J118+K118+L118+P118+Q118+R118+V118+W118+X118+AB118+AC118+AD118</f>
        <v>1</v>
      </c>
      <c r="D118" s="1221" t="s">
        <v>52</v>
      </c>
      <c r="E118" s="22" t="s">
        <v>2717</v>
      </c>
      <c r="F118" s="22" t="s">
        <v>52</v>
      </c>
      <c r="G118" s="824">
        <f t="shared" si="143"/>
        <v>3.155728591587726E-2</v>
      </c>
      <c r="H118" s="824"/>
      <c r="I118" s="824">
        <f>+AH118/AH117*100</f>
        <v>100</v>
      </c>
      <c r="J118" s="1222"/>
      <c r="K118" s="1222"/>
      <c r="L118" s="1222"/>
      <c r="M118" s="1223"/>
      <c r="N118" s="1223"/>
      <c r="O118" s="1223"/>
      <c r="P118" s="1222"/>
      <c r="Q118" s="1222"/>
      <c r="R118" s="1222"/>
      <c r="S118" s="1223"/>
      <c r="T118" s="1223"/>
      <c r="U118" s="1223"/>
      <c r="V118" s="1222"/>
      <c r="W118" s="1222"/>
      <c r="X118" s="1222"/>
      <c r="Y118" s="1223"/>
      <c r="Z118" s="1223"/>
      <c r="AA118" s="1223"/>
      <c r="AB118" s="1222"/>
      <c r="AC118" s="1222"/>
      <c r="AD118" s="1222">
        <v>1</v>
      </c>
      <c r="AE118" s="1223"/>
      <c r="AF118" s="1223"/>
      <c r="AG118" s="1223">
        <v>1875</v>
      </c>
      <c r="AH118" s="1223">
        <f>M118+N118+O118+S118+T118+U118+Y118+Z118+AA118+AE118+AF118+AG118</f>
        <v>1875</v>
      </c>
      <c r="AI118" s="1223">
        <v>910</v>
      </c>
      <c r="AJ118" s="1223"/>
      <c r="AK118" s="1223"/>
      <c r="AL118" s="1223">
        <v>965</v>
      </c>
      <c r="AM118" s="1223"/>
      <c r="AN118" s="1223"/>
      <c r="AO118" s="1066" t="s">
        <v>2384</v>
      </c>
      <c r="AP118" s="1066" t="s">
        <v>2431</v>
      </c>
      <c r="AQ118" s="1066"/>
    </row>
    <row r="119" spans="1:43" ht="60">
      <c r="A119" s="18" t="s">
        <v>2721</v>
      </c>
      <c r="B119" s="18" t="s">
        <v>2722</v>
      </c>
      <c r="C119" s="642"/>
      <c r="D119" s="554" t="s">
        <v>2446</v>
      </c>
      <c r="E119" s="18" t="s">
        <v>2723</v>
      </c>
      <c r="F119" s="18"/>
      <c r="G119" s="804">
        <f t="shared" si="143"/>
        <v>7.9526043563259554</v>
      </c>
      <c r="H119" s="804"/>
      <c r="I119" s="804"/>
      <c r="J119" s="805"/>
      <c r="K119" s="805"/>
      <c r="L119" s="805"/>
      <c r="M119" s="806"/>
      <c r="N119" s="806"/>
      <c r="O119" s="806">
        <f t="shared" ref="O119" si="235">O120</f>
        <v>187205</v>
      </c>
      <c r="P119" s="805"/>
      <c r="Q119" s="805"/>
      <c r="R119" s="805"/>
      <c r="S119" s="806"/>
      <c r="T119" s="806"/>
      <c r="U119" s="806">
        <f t="shared" ref="U119" si="236">U120</f>
        <v>187205</v>
      </c>
      <c r="V119" s="805"/>
      <c r="W119" s="805"/>
      <c r="X119" s="805"/>
      <c r="Y119" s="806"/>
      <c r="Z119" s="806"/>
      <c r="AA119" s="806"/>
      <c r="AB119" s="805"/>
      <c r="AC119" s="805"/>
      <c r="AD119" s="805"/>
      <c r="AE119" s="806">
        <f t="shared" ref="AE119" si="237">AE120</f>
        <v>98100</v>
      </c>
      <c r="AF119" s="806"/>
      <c r="AG119" s="806"/>
      <c r="AH119" s="806">
        <f>AH120</f>
        <v>472510</v>
      </c>
      <c r="AI119" s="806"/>
      <c r="AJ119" s="806"/>
      <c r="AK119" s="806">
        <f>AK120</f>
        <v>472510</v>
      </c>
      <c r="AL119" s="806"/>
      <c r="AM119" s="806"/>
      <c r="AN119" s="806"/>
      <c r="AO119" s="1073" t="s">
        <v>2384</v>
      </c>
      <c r="AP119" s="1073" t="s">
        <v>2385</v>
      </c>
      <c r="AQ119" s="1073"/>
    </row>
    <row r="120" spans="1:43" ht="60">
      <c r="A120" s="22" t="s">
        <v>2724</v>
      </c>
      <c r="B120" s="22" t="s">
        <v>2725</v>
      </c>
      <c r="C120" s="24">
        <f>+J120+K120+L120+P120+Q120+R120+V120+W120+X120+AB120+AC120+AD120</f>
        <v>56</v>
      </c>
      <c r="D120" s="1221" t="s">
        <v>2446</v>
      </c>
      <c r="E120" s="22" t="s">
        <v>2723</v>
      </c>
      <c r="F120" s="22" t="s">
        <v>2726</v>
      </c>
      <c r="G120" s="824">
        <f t="shared" si="143"/>
        <v>7.9526043563259554</v>
      </c>
      <c r="H120" s="824"/>
      <c r="I120" s="824">
        <f>+AH120/AH119*100</f>
        <v>100</v>
      </c>
      <c r="J120" s="1223"/>
      <c r="K120" s="1223"/>
      <c r="L120" s="1223">
        <v>4</v>
      </c>
      <c r="M120" s="1223"/>
      <c r="N120" s="1223"/>
      <c r="O120" s="1223">
        <v>187205</v>
      </c>
      <c r="P120" s="1223"/>
      <c r="Q120" s="1223"/>
      <c r="R120" s="1223">
        <v>8</v>
      </c>
      <c r="S120" s="1223"/>
      <c r="T120" s="1223"/>
      <c r="U120" s="1223">
        <v>187205</v>
      </c>
      <c r="V120" s="1222"/>
      <c r="W120" s="1222"/>
      <c r="X120" s="1222"/>
      <c r="Y120" s="1223"/>
      <c r="Z120" s="1223"/>
      <c r="AA120" s="1223"/>
      <c r="AB120" s="1223">
        <v>44</v>
      </c>
      <c r="AC120" s="1223"/>
      <c r="AD120" s="1223"/>
      <c r="AE120" s="1223">
        <v>98100</v>
      </c>
      <c r="AF120" s="1223"/>
      <c r="AG120" s="1223"/>
      <c r="AH120" s="1223">
        <f>M120+N120+O120+S120+T120+U120+Y120+Z120+AA120+AE120+AF120+AG120</f>
        <v>472510</v>
      </c>
      <c r="AI120" s="1223"/>
      <c r="AJ120" s="1223"/>
      <c r="AK120" s="1223">
        <v>472510</v>
      </c>
      <c r="AL120" s="1223"/>
      <c r="AM120" s="1223"/>
      <c r="AN120" s="1223"/>
      <c r="AO120" s="1066" t="s">
        <v>2727</v>
      </c>
      <c r="AP120" s="1066" t="s">
        <v>2409</v>
      </c>
      <c r="AQ120" s="1066" t="s">
        <v>2728</v>
      </c>
    </row>
    <row r="121" spans="1:43" ht="45">
      <c r="A121" s="14" t="s">
        <v>2729</v>
      </c>
      <c r="B121" s="14" t="s">
        <v>2730</v>
      </c>
      <c r="C121" s="15"/>
      <c r="D121" s="14"/>
      <c r="E121" s="14"/>
      <c r="F121" s="14"/>
      <c r="G121" s="683">
        <f t="shared" si="143"/>
        <v>0.11848708951881384</v>
      </c>
      <c r="H121" s="683">
        <f>+G121</f>
        <v>0.11848708951881384</v>
      </c>
      <c r="I121" s="683"/>
      <c r="J121" s="684"/>
      <c r="K121" s="684"/>
      <c r="L121" s="684"/>
      <c r="M121" s="685">
        <f t="shared" ref="M121:M122" si="238">M122</f>
        <v>1760</v>
      </c>
      <c r="N121" s="685"/>
      <c r="O121" s="685"/>
      <c r="P121" s="684"/>
      <c r="Q121" s="684"/>
      <c r="R121" s="684"/>
      <c r="S121" s="685"/>
      <c r="T121" s="685"/>
      <c r="U121" s="685">
        <f t="shared" ref="U121:U122" si="239">U122</f>
        <v>1760</v>
      </c>
      <c r="V121" s="684"/>
      <c r="W121" s="684"/>
      <c r="X121" s="684"/>
      <c r="Y121" s="685"/>
      <c r="Z121" s="685"/>
      <c r="AA121" s="685">
        <f t="shared" ref="AA121:AA122" si="240">AA122</f>
        <v>1760</v>
      </c>
      <c r="AB121" s="684"/>
      <c r="AC121" s="684"/>
      <c r="AD121" s="684"/>
      <c r="AE121" s="685"/>
      <c r="AF121" s="685"/>
      <c r="AG121" s="685">
        <f t="shared" ref="AG121:AG122" si="241">AG122</f>
        <v>1760</v>
      </c>
      <c r="AH121" s="685">
        <f>AH122</f>
        <v>7040</v>
      </c>
      <c r="AI121" s="685">
        <f>AI122</f>
        <v>3410</v>
      </c>
      <c r="AJ121" s="685"/>
      <c r="AK121" s="685"/>
      <c r="AL121" s="685">
        <f>AL122</f>
        <v>3630</v>
      </c>
      <c r="AM121" s="685"/>
      <c r="AN121" s="685"/>
      <c r="AO121" s="1219" t="s">
        <v>2384</v>
      </c>
      <c r="AP121" s="1219" t="s">
        <v>2385</v>
      </c>
      <c r="AQ121" s="1219"/>
    </row>
    <row r="122" spans="1:43" ht="90">
      <c r="A122" s="18" t="s">
        <v>2731</v>
      </c>
      <c r="B122" s="18" t="s">
        <v>2732</v>
      </c>
      <c r="C122" s="642"/>
      <c r="D122" s="554" t="s">
        <v>52</v>
      </c>
      <c r="E122" s="18" t="s">
        <v>2733</v>
      </c>
      <c r="F122" s="18" t="s">
        <v>2734</v>
      </c>
      <c r="G122" s="804">
        <f t="shared" si="143"/>
        <v>0.11848708951881384</v>
      </c>
      <c r="H122" s="804"/>
      <c r="I122" s="804"/>
      <c r="J122" s="805"/>
      <c r="K122" s="805"/>
      <c r="L122" s="805"/>
      <c r="M122" s="806">
        <f t="shared" si="238"/>
        <v>1760</v>
      </c>
      <c r="N122" s="806"/>
      <c r="O122" s="806"/>
      <c r="P122" s="805"/>
      <c r="Q122" s="805"/>
      <c r="R122" s="805"/>
      <c r="S122" s="806"/>
      <c r="T122" s="806"/>
      <c r="U122" s="806">
        <f t="shared" si="239"/>
        <v>1760</v>
      </c>
      <c r="V122" s="805"/>
      <c r="W122" s="805"/>
      <c r="X122" s="805"/>
      <c r="Y122" s="806"/>
      <c r="Z122" s="806"/>
      <c r="AA122" s="806">
        <f t="shared" si="240"/>
        <v>1760</v>
      </c>
      <c r="AB122" s="805"/>
      <c r="AC122" s="805"/>
      <c r="AD122" s="805"/>
      <c r="AE122" s="806"/>
      <c r="AF122" s="806"/>
      <c r="AG122" s="806">
        <f t="shared" si="241"/>
        <v>1760</v>
      </c>
      <c r="AH122" s="806">
        <f>AH123</f>
        <v>7040</v>
      </c>
      <c r="AI122" s="806">
        <f>AI123</f>
        <v>3410</v>
      </c>
      <c r="AJ122" s="806"/>
      <c r="AK122" s="806"/>
      <c r="AL122" s="806">
        <f>AL123</f>
        <v>3630</v>
      </c>
      <c r="AM122" s="806"/>
      <c r="AN122" s="806"/>
      <c r="AO122" s="1073" t="s">
        <v>2384</v>
      </c>
      <c r="AP122" s="1073" t="s">
        <v>2385</v>
      </c>
      <c r="AQ122" s="1073"/>
    </row>
    <row r="123" spans="1:43" ht="45">
      <c r="A123" s="22" t="s">
        <v>2735</v>
      </c>
      <c r="B123" s="22" t="s">
        <v>2736</v>
      </c>
      <c r="C123" s="1220">
        <f>+J123+K123+L123+P123+Q123+R123+V123+W123+X123+AB123+AC123+AD123</f>
        <v>4</v>
      </c>
      <c r="D123" s="1221" t="s">
        <v>52</v>
      </c>
      <c r="E123" s="22" t="s">
        <v>2733</v>
      </c>
      <c r="F123" s="22" t="s">
        <v>2734</v>
      </c>
      <c r="G123" s="824">
        <f t="shared" si="143"/>
        <v>0.11848708951881384</v>
      </c>
      <c r="H123" s="824"/>
      <c r="I123" s="824">
        <f>+AH123/AH122*100</f>
        <v>100</v>
      </c>
      <c r="J123" s="1222">
        <v>1</v>
      </c>
      <c r="K123" s="1222"/>
      <c r="L123" s="1222"/>
      <c r="M123" s="1223">
        <f>J123*1760</f>
        <v>1760</v>
      </c>
      <c r="N123" s="1223"/>
      <c r="O123" s="1223"/>
      <c r="P123" s="1222"/>
      <c r="Q123" s="1222"/>
      <c r="R123" s="1222">
        <v>1</v>
      </c>
      <c r="S123" s="1223"/>
      <c r="T123" s="1223"/>
      <c r="U123" s="1223">
        <f>R123*1760</f>
        <v>1760</v>
      </c>
      <c r="V123" s="1222"/>
      <c r="W123" s="1222"/>
      <c r="X123" s="1222">
        <v>1</v>
      </c>
      <c r="Y123" s="1223"/>
      <c r="Z123" s="1223"/>
      <c r="AA123" s="1223">
        <f>X123*1760</f>
        <v>1760</v>
      </c>
      <c r="AB123" s="1222"/>
      <c r="AC123" s="1222"/>
      <c r="AD123" s="1222">
        <v>1</v>
      </c>
      <c r="AE123" s="1223"/>
      <c r="AF123" s="1223"/>
      <c r="AG123" s="1223">
        <f>AD123*1760</f>
        <v>1760</v>
      </c>
      <c r="AH123" s="1223">
        <f>M123+N123+O123+S123+T123+U123+Y123+Z123+AA123+AE123+AF123+AG123</f>
        <v>7040</v>
      </c>
      <c r="AI123" s="1223">
        <v>3410</v>
      </c>
      <c r="AJ123" s="1223"/>
      <c r="AK123" s="1223"/>
      <c r="AL123" s="1223">
        <v>3630</v>
      </c>
      <c r="AM123" s="1223"/>
      <c r="AN123" s="1223"/>
      <c r="AO123" s="1066" t="s">
        <v>2384</v>
      </c>
      <c r="AP123" s="1066" t="s">
        <v>2431</v>
      </c>
      <c r="AQ123" s="1066"/>
    </row>
    <row r="124" spans="1:43" ht="30">
      <c r="A124" s="14" t="s">
        <v>2737</v>
      </c>
      <c r="B124" s="14" t="s">
        <v>557</v>
      </c>
      <c r="C124" s="15"/>
      <c r="D124" s="14"/>
      <c r="E124" s="14"/>
      <c r="F124" s="14"/>
      <c r="G124" s="683">
        <f t="shared" si="143"/>
        <v>0.29217839119980227</v>
      </c>
      <c r="H124" s="683">
        <f>+G124</f>
        <v>0.29217839119980227</v>
      </c>
      <c r="I124" s="683"/>
      <c r="J124" s="684"/>
      <c r="K124" s="684"/>
      <c r="L124" s="684"/>
      <c r="M124" s="685">
        <f t="shared" ref="M124:O124" si="242">M125+M129</f>
        <v>1130</v>
      </c>
      <c r="N124" s="685"/>
      <c r="O124" s="685">
        <f t="shared" si="242"/>
        <v>1055</v>
      </c>
      <c r="P124" s="684"/>
      <c r="Q124" s="684"/>
      <c r="R124" s="684"/>
      <c r="S124" s="685"/>
      <c r="T124" s="685">
        <f t="shared" ref="T124" si="243">T125+T129</f>
        <v>1405</v>
      </c>
      <c r="U124" s="685"/>
      <c r="V124" s="684"/>
      <c r="W124" s="684"/>
      <c r="X124" s="684"/>
      <c r="Y124" s="685"/>
      <c r="Z124" s="685"/>
      <c r="AA124" s="685">
        <f t="shared" ref="AA124" si="244">AA125+AA129</f>
        <v>6935</v>
      </c>
      <c r="AB124" s="684"/>
      <c r="AC124" s="684"/>
      <c r="AD124" s="684"/>
      <c r="AE124" s="685">
        <f t="shared" ref="AE124:AG124" si="245">AE125+AE129</f>
        <v>1650</v>
      </c>
      <c r="AF124" s="685">
        <f t="shared" si="245"/>
        <v>3485</v>
      </c>
      <c r="AG124" s="685">
        <f t="shared" si="245"/>
        <v>1700</v>
      </c>
      <c r="AH124" s="685">
        <f>AH125+AH129</f>
        <v>17360</v>
      </c>
      <c r="AI124" s="685">
        <f>AI125+AI129</f>
        <v>8415</v>
      </c>
      <c r="AJ124" s="685"/>
      <c r="AK124" s="685"/>
      <c r="AL124" s="685">
        <f>AL125+AL129</f>
        <v>8945</v>
      </c>
      <c r="AM124" s="685"/>
      <c r="AN124" s="685"/>
      <c r="AO124" s="1219" t="s">
        <v>2384</v>
      </c>
      <c r="AP124" s="1219" t="s">
        <v>2385</v>
      </c>
      <c r="AQ124" s="1219"/>
    </row>
    <row r="125" spans="1:43" ht="30">
      <c r="A125" s="18" t="s">
        <v>2738</v>
      </c>
      <c r="B125" s="18" t="s">
        <v>2739</v>
      </c>
      <c r="C125" s="642"/>
      <c r="D125" s="554" t="s">
        <v>445</v>
      </c>
      <c r="E125" s="18" t="s">
        <v>2740</v>
      </c>
      <c r="F125" s="18" t="s">
        <v>2741</v>
      </c>
      <c r="G125" s="804">
        <f t="shared" si="143"/>
        <v>0.26062110528392507</v>
      </c>
      <c r="H125" s="804"/>
      <c r="I125" s="804"/>
      <c r="J125" s="805"/>
      <c r="K125" s="805"/>
      <c r="L125" s="805"/>
      <c r="M125" s="806">
        <f t="shared" ref="M125:O125" si="246">M126+M127+M128</f>
        <v>1130</v>
      </c>
      <c r="N125" s="806"/>
      <c r="O125" s="806">
        <f t="shared" si="246"/>
        <v>1055</v>
      </c>
      <c r="P125" s="805"/>
      <c r="Q125" s="805"/>
      <c r="R125" s="805"/>
      <c r="S125" s="806"/>
      <c r="T125" s="806">
        <f t="shared" ref="T125" si="247">T126+T127+T128</f>
        <v>1405</v>
      </c>
      <c r="U125" s="806"/>
      <c r="V125" s="805"/>
      <c r="W125" s="805"/>
      <c r="X125" s="805"/>
      <c r="Y125" s="806"/>
      <c r="Z125" s="806"/>
      <c r="AA125" s="806">
        <f t="shared" ref="AA125" si="248">AA126+AA127+AA128</f>
        <v>6935</v>
      </c>
      <c r="AB125" s="805"/>
      <c r="AC125" s="805"/>
      <c r="AD125" s="805"/>
      <c r="AE125" s="806">
        <f t="shared" ref="AE125:AG125" si="249">AE126+AE127+AE128</f>
        <v>1650</v>
      </c>
      <c r="AF125" s="806">
        <f t="shared" si="249"/>
        <v>1610</v>
      </c>
      <c r="AG125" s="806">
        <f t="shared" si="249"/>
        <v>1700</v>
      </c>
      <c r="AH125" s="806">
        <f>AH126+AH127+AH128</f>
        <v>15485</v>
      </c>
      <c r="AI125" s="806">
        <f>AI126+AI127+AI128</f>
        <v>7505</v>
      </c>
      <c r="AJ125" s="806"/>
      <c r="AK125" s="806"/>
      <c r="AL125" s="806">
        <f>AL126+AL127+AL128</f>
        <v>7980</v>
      </c>
      <c r="AM125" s="806"/>
      <c r="AN125" s="806"/>
      <c r="AO125" s="1073" t="s">
        <v>2384</v>
      </c>
      <c r="AP125" s="1073" t="s">
        <v>2385</v>
      </c>
      <c r="AQ125" s="1073"/>
    </row>
    <row r="126" spans="1:43" ht="45">
      <c r="A126" s="1228" t="s">
        <v>2742</v>
      </c>
      <c r="B126" s="1229" t="s">
        <v>2743</v>
      </c>
      <c r="C126" s="1220">
        <f>+J126+K126+L126+P126+Q126+R126+V126+W126+X126+AB126+AC126+AD126</f>
        <v>149</v>
      </c>
      <c r="D126" s="1221" t="s">
        <v>419</v>
      </c>
      <c r="E126" s="1229" t="s">
        <v>2740</v>
      </c>
      <c r="F126" s="1229" t="s">
        <v>2741</v>
      </c>
      <c r="G126" s="824">
        <f t="shared" si="143"/>
        <v>6.319872459419687E-2</v>
      </c>
      <c r="H126" s="824"/>
      <c r="I126" s="824">
        <f>+AH126/AH$125*100</f>
        <v>24.24927349047465</v>
      </c>
      <c r="J126" s="1222">
        <v>6</v>
      </c>
      <c r="K126" s="1222"/>
      <c r="L126" s="1222">
        <v>3</v>
      </c>
      <c r="M126" s="1223">
        <f>J126*25</f>
        <v>150</v>
      </c>
      <c r="N126" s="1223"/>
      <c r="O126" s="1223">
        <f>L126*25</f>
        <v>75</v>
      </c>
      <c r="P126" s="1222"/>
      <c r="Q126" s="1222">
        <v>17</v>
      </c>
      <c r="R126" s="1222"/>
      <c r="S126" s="1223"/>
      <c r="T126" s="1223">
        <f>Q126*25</f>
        <v>425</v>
      </c>
      <c r="U126" s="1223"/>
      <c r="V126" s="1222"/>
      <c r="W126" s="1222"/>
      <c r="X126" s="1222">
        <v>91</v>
      </c>
      <c r="Y126" s="1223"/>
      <c r="Z126" s="1223"/>
      <c r="AA126" s="1223">
        <f>X126*25</f>
        <v>2275</v>
      </c>
      <c r="AB126" s="1222">
        <v>12</v>
      </c>
      <c r="AC126" s="1222">
        <v>10</v>
      </c>
      <c r="AD126" s="1222">
        <v>10</v>
      </c>
      <c r="AE126" s="1223">
        <f t="shared" ref="AE126:AF126" si="250">AB126*25</f>
        <v>300</v>
      </c>
      <c r="AF126" s="1223">
        <f t="shared" si="250"/>
        <v>250</v>
      </c>
      <c r="AG126" s="1223">
        <f>AD126*25+30</f>
        <v>280</v>
      </c>
      <c r="AH126" s="1223">
        <f t="shared" ref="AH126:AH128" si="251">M126+N126+O126+S126+T126+U126+Y126+Z126+AA126+AE126+AF126+AG126</f>
        <v>3755</v>
      </c>
      <c r="AI126" s="1223">
        <v>1820</v>
      </c>
      <c r="AJ126" s="1223"/>
      <c r="AK126" s="1223"/>
      <c r="AL126" s="1223">
        <v>1935</v>
      </c>
      <c r="AM126" s="1223"/>
      <c r="AN126" s="1223"/>
      <c r="AO126" s="1066" t="s">
        <v>2384</v>
      </c>
      <c r="AP126" s="1066" t="s">
        <v>2409</v>
      </c>
      <c r="AQ126" s="1066"/>
    </row>
    <row r="127" spans="1:43" ht="45">
      <c r="A127" s="1228" t="s">
        <v>2744</v>
      </c>
      <c r="B127" s="1229" t="s">
        <v>2743</v>
      </c>
      <c r="C127" s="1220">
        <f>+J127+K127+L127+P127+Q127+R127+V127+W127+X127+AB127+AC127+AD127</f>
        <v>20</v>
      </c>
      <c r="D127" s="1221" t="s">
        <v>424</v>
      </c>
      <c r="E127" s="1229" t="s">
        <v>2740</v>
      </c>
      <c r="F127" s="1229" t="s">
        <v>2741</v>
      </c>
      <c r="G127" s="824">
        <f t="shared" si="143"/>
        <v>6.319872459419687E-2</v>
      </c>
      <c r="H127" s="824"/>
      <c r="I127" s="824">
        <f t="shared" ref="I127:I128" si="252">+AH127/AH$125*100</f>
        <v>24.24927349047465</v>
      </c>
      <c r="J127" s="1222">
        <v>1</v>
      </c>
      <c r="K127" s="1222"/>
      <c r="L127" s="1222">
        <v>1</v>
      </c>
      <c r="M127" s="1223">
        <f>J127*185</f>
        <v>185</v>
      </c>
      <c r="N127" s="1223"/>
      <c r="O127" s="1223">
        <f>L127*185</f>
        <v>185</v>
      </c>
      <c r="P127" s="1222"/>
      <c r="Q127" s="1222">
        <v>1</v>
      </c>
      <c r="R127" s="1222"/>
      <c r="S127" s="1223"/>
      <c r="T127" s="1223">
        <f>Q127*185</f>
        <v>185</v>
      </c>
      <c r="U127" s="1223"/>
      <c r="V127" s="1222"/>
      <c r="W127" s="1222"/>
      <c r="X127" s="1222">
        <v>8</v>
      </c>
      <c r="Y127" s="1223"/>
      <c r="Z127" s="1223"/>
      <c r="AA127" s="1223">
        <f>X127*185</f>
        <v>1480</v>
      </c>
      <c r="AB127" s="1222">
        <v>3</v>
      </c>
      <c r="AC127" s="1222">
        <v>3</v>
      </c>
      <c r="AD127" s="1222">
        <v>3</v>
      </c>
      <c r="AE127" s="1223">
        <f t="shared" ref="AE127:AF127" si="253">AB127*185</f>
        <v>555</v>
      </c>
      <c r="AF127" s="1223">
        <f t="shared" si="253"/>
        <v>555</v>
      </c>
      <c r="AG127" s="1223">
        <f>AD127*185+55</f>
        <v>610</v>
      </c>
      <c r="AH127" s="1223">
        <f t="shared" si="251"/>
        <v>3755</v>
      </c>
      <c r="AI127" s="1223">
        <v>1820</v>
      </c>
      <c r="AJ127" s="1223"/>
      <c r="AK127" s="1223"/>
      <c r="AL127" s="1223">
        <v>1935</v>
      </c>
      <c r="AM127" s="1223"/>
      <c r="AN127" s="1223"/>
      <c r="AO127" s="1066" t="s">
        <v>2384</v>
      </c>
      <c r="AP127" s="1066" t="s">
        <v>2409</v>
      </c>
      <c r="AQ127" s="1066"/>
    </row>
    <row r="128" spans="1:43" ht="45">
      <c r="A128" s="1228" t="s">
        <v>2745</v>
      </c>
      <c r="B128" s="1229" t="s">
        <v>2743</v>
      </c>
      <c r="C128" s="1220">
        <f>+J128+K128+L128+P128+Q128+R128+V128+W128+X128+AB128+AC128+AD128</f>
        <v>10</v>
      </c>
      <c r="D128" s="1221" t="s">
        <v>944</v>
      </c>
      <c r="E128" s="1229" t="s">
        <v>2740</v>
      </c>
      <c r="F128" s="1229" t="s">
        <v>2741</v>
      </c>
      <c r="G128" s="824">
        <f t="shared" si="143"/>
        <v>0.1342236560955313</v>
      </c>
      <c r="H128" s="824"/>
      <c r="I128" s="824">
        <f t="shared" si="252"/>
        <v>51.501453019050693</v>
      </c>
      <c r="J128" s="1222">
        <v>1</v>
      </c>
      <c r="K128" s="1222"/>
      <c r="L128" s="1222">
        <v>1</v>
      </c>
      <c r="M128" s="1223">
        <f>J128*795</f>
        <v>795</v>
      </c>
      <c r="N128" s="1223"/>
      <c r="O128" s="1223">
        <f>L128*795</f>
        <v>795</v>
      </c>
      <c r="P128" s="1222"/>
      <c r="Q128" s="1222">
        <v>1</v>
      </c>
      <c r="R128" s="1222"/>
      <c r="S128" s="1223"/>
      <c r="T128" s="1223">
        <f>Q128*795</f>
        <v>795</v>
      </c>
      <c r="U128" s="1223"/>
      <c r="V128" s="1222"/>
      <c r="W128" s="1222"/>
      <c r="X128" s="1222">
        <v>4</v>
      </c>
      <c r="Y128" s="1223"/>
      <c r="Z128" s="1223"/>
      <c r="AA128" s="1223">
        <f>X128*795</f>
        <v>3180</v>
      </c>
      <c r="AB128" s="1222">
        <v>1</v>
      </c>
      <c r="AC128" s="1222">
        <v>1</v>
      </c>
      <c r="AD128" s="1222">
        <v>1</v>
      </c>
      <c r="AE128" s="1223">
        <f t="shared" ref="AE128" si="254">AB128*795</f>
        <v>795</v>
      </c>
      <c r="AF128" s="1223">
        <f>AC128*795+10</f>
        <v>805</v>
      </c>
      <c r="AG128" s="1223">
        <f>AD128*795+15</f>
        <v>810</v>
      </c>
      <c r="AH128" s="1223">
        <f t="shared" si="251"/>
        <v>7975</v>
      </c>
      <c r="AI128" s="1223">
        <v>3865</v>
      </c>
      <c r="AJ128" s="1223"/>
      <c r="AK128" s="1223"/>
      <c r="AL128" s="1223">
        <v>4110</v>
      </c>
      <c r="AM128" s="1223"/>
      <c r="AN128" s="1223"/>
      <c r="AO128" s="1066" t="s">
        <v>2384</v>
      </c>
      <c r="AP128" s="1066" t="s">
        <v>2409</v>
      </c>
      <c r="AQ128" s="1066"/>
    </row>
    <row r="129" spans="1:43" ht="30">
      <c r="A129" s="18" t="s">
        <v>2746</v>
      </c>
      <c r="B129" s="18" t="s">
        <v>2747</v>
      </c>
      <c r="C129" s="642"/>
      <c r="D129" s="554" t="s">
        <v>52</v>
      </c>
      <c r="E129" s="18" t="s">
        <v>2748</v>
      </c>
      <c r="F129" s="18" t="s">
        <v>2749</v>
      </c>
      <c r="G129" s="804">
        <f t="shared" si="143"/>
        <v>3.155728591587726E-2</v>
      </c>
      <c r="H129" s="804"/>
      <c r="I129" s="804"/>
      <c r="J129" s="805"/>
      <c r="K129" s="805"/>
      <c r="L129" s="805"/>
      <c r="M129" s="806"/>
      <c r="N129" s="806"/>
      <c r="O129" s="806"/>
      <c r="P129" s="805"/>
      <c r="Q129" s="805"/>
      <c r="R129" s="805"/>
      <c r="S129" s="806"/>
      <c r="T129" s="806"/>
      <c r="U129" s="806"/>
      <c r="V129" s="805"/>
      <c r="W129" s="805"/>
      <c r="X129" s="805"/>
      <c r="Y129" s="806"/>
      <c r="Z129" s="806"/>
      <c r="AA129" s="806"/>
      <c r="AB129" s="805"/>
      <c r="AC129" s="805"/>
      <c r="AD129" s="805"/>
      <c r="AE129" s="806"/>
      <c r="AF129" s="806">
        <f t="shared" ref="AF129:AG129" si="255">AF130</f>
        <v>1875</v>
      </c>
      <c r="AG129" s="806">
        <f t="shared" si="255"/>
        <v>0</v>
      </c>
      <c r="AH129" s="806">
        <f>AH130</f>
        <v>1875</v>
      </c>
      <c r="AI129" s="806">
        <f>AI130</f>
        <v>910</v>
      </c>
      <c r="AJ129" s="806"/>
      <c r="AK129" s="806"/>
      <c r="AL129" s="806">
        <f>AL130</f>
        <v>965</v>
      </c>
      <c r="AM129" s="806"/>
      <c r="AN129" s="806"/>
      <c r="AO129" s="1073" t="s">
        <v>2384</v>
      </c>
      <c r="AP129" s="1073" t="s">
        <v>2385</v>
      </c>
      <c r="AQ129" s="1073"/>
    </row>
    <row r="130" spans="1:43" ht="30">
      <c r="A130" s="22" t="s">
        <v>2750</v>
      </c>
      <c r="B130" s="22" t="s">
        <v>2751</v>
      </c>
      <c r="C130" s="1220">
        <f>+J130+K130+L130+P130+Q130+R130+V130+W130+X130+AB130+AC130+AD130</f>
        <v>1</v>
      </c>
      <c r="D130" s="1221" t="s">
        <v>52</v>
      </c>
      <c r="E130" s="22" t="s">
        <v>2748</v>
      </c>
      <c r="F130" s="22" t="s">
        <v>2752</v>
      </c>
      <c r="G130" s="824">
        <f t="shared" si="143"/>
        <v>3.155728591587726E-2</v>
      </c>
      <c r="H130" s="824"/>
      <c r="I130" s="824">
        <f>+AH130/AH129*100</f>
        <v>100</v>
      </c>
      <c r="J130" s="1222"/>
      <c r="K130" s="1222"/>
      <c r="L130" s="1222"/>
      <c r="M130" s="1223"/>
      <c r="N130" s="1223"/>
      <c r="O130" s="1223"/>
      <c r="P130" s="1222"/>
      <c r="Q130" s="1222"/>
      <c r="R130" s="1222"/>
      <c r="S130" s="1223"/>
      <c r="T130" s="1223"/>
      <c r="U130" s="1223"/>
      <c r="V130" s="1222"/>
      <c r="W130" s="1222"/>
      <c r="X130" s="1222"/>
      <c r="Y130" s="1223"/>
      <c r="Z130" s="1223"/>
      <c r="AA130" s="1223"/>
      <c r="AB130" s="1222"/>
      <c r="AC130" s="1222">
        <v>1</v>
      </c>
      <c r="AD130" s="1222"/>
      <c r="AE130" s="1223"/>
      <c r="AF130" s="1223">
        <v>1875</v>
      </c>
      <c r="AG130" s="1223"/>
      <c r="AH130" s="1223">
        <f>M130+N130+O130+S130+T130+U130+Y130+Z130+AA130+AE130+AF130+AG130</f>
        <v>1875</v>
      </c>
      <c r="AI130" s="1223">
        <v>910</v>
      </c>
      <c r="AJ130" s="1223"/>
      <c r="AK130" s="1223"/>
      <c r="AL130" s="1223">
        <v>965</v>
      </c>
      <c r="AM130" s="1223"/>
      <c r="AN130" s="1223"/>
      <c r="AO130" s="1066" t="s">
        <v>2384</v>
      </c>
      <c r="AP130" s="1066" t="s">
        <v>2481</v>
      </c>
      <c r="AQ130" s="1066" t="s">
        <v>2753</v>
      </c>
    </row>
    <row r="131" spans="1:43" ht="45">
      <c r="A131" s="14" t="s">
        <v>2754</v>
      </c>
      <c r="B131" s="14" t="s">
        <v>2755</v>
      </c>
      <c r="C131" s="15"/>
      <c r="D131" s="14"/>
      <c r="E131" s="14"/>
      <c r="F131" s="14"/>
      <c r="G131" s="683">
        <f t="shared" si="143"/>
        <v>1.4310177253319809</v>
      </c>
      <c r="H131" s="683">
        <f>+G131</f>
        <v>1.4310177253319809</v>
      </c>
      <c r="I131" s="683"/>
      <c r="J131" s="684"/>
      <c r="K131" s="684"/>
      <c r="L131" s="684"/>
      <c r="M131" s="685">
        <f t="shared" ref="M131:AG131" si="256">M132</f>
        <v>2520</v>
      </c>
      <c r="N131" s="685">
        <f t="shared" si="256"/>
        <v>12425</v>
      </c>
      <c r="O131" s="685">
        <f t="shared" si="256"/>
        <v>11110</v>
      </c>
      <c r="P131" s="684"/>
      <c r="Q131" s="684"/>
      <c r="R131" s="684"/>
      <c r="S131" s="685">
        <f t="shared" si="256"/>
        <v>15595</v>
      </c>
      <c r="T131" s="685">
        <f t="shared" si="256"/>
        <v>9470</v>
      </c>
      <c r="U131" s="685">
        <f t="shared" si="256"/>
        <v>9800</v>
      </c>
      <c r="V131" s="684"/>
      <c r="W131" s="684"/>
      <c r="X131" s="684"/>
      <c r="Y131" s="685">
        <f t="shared" si="256"/>
        <v>6670</v>
      </c>
      <c r="Z131" s="685">
        <f t="shared" si="256"/>
        <v>2640</v>
      </c>
      <c r="AA131" s="685">
        <f t="shared" si="256"/>
        <v>6170</v>
      </c>
      <c r="AB131" s="684"/>
      <c r="AC131" s="684"/>
      <c r="AD131" s="684"/>
      <c r="AE131" s="685">
        <f t="shared" si="256"/>
        <v>3190</v>
      </c>
      <c r="AF131" s="685">
        <f t="shared" si="256"/>
        <v>2715</v>
      </c>
      <c r="AG131" s="685">
        <f t="shared" si="256"/>
        <v>2720</v>
      </c>
      <c r="AH131" s="685">
        <f>AH132</f>
        <v>85025</v>
      </c>
      <c r="AI131" s="685">
        <f t="shared" ref="AI131:AL131" si="257">AI132</f>
        <v>25920</v>
      </c>
      <c r="AJ131" s="685"/>
      <c r="AK131" s="685"/>
      <c r="AL131" s="685">
        <f t="shared" si="257"/>
        <v>59105</v>
      </c>
      <c r="AM131" s="685"/>
      <c r="AN131" s="685"/>
      <c r="AO131" s="1219" t="s">
        <v>2384</v>
      </c>
      <c r="AP131" s="1219" t="s">
        <v>2385</v>
      </c>
      <c r="AQ131" s="1219"/>
    </row>
    <row r="132" spans="1:43" ht="60">
      <c r="A132" s="18" t="s">
        <v>2756</v>
      </c>
      <c r="B132" s="18" t="s">
        <v>2757</v>
      </c>
      <c r="C132" s="642"/>
      <c r="D132" s="554" t="s">
        <v>1950</v>
      </c>
      <c r="E132" s="18" t="s">
        <v>2758</v>
      </c>
      <c r="F132" s="18" t="s">
        <v>2759</v>
      </c>
      <c r="G132" s="804">
        <f t="shared" si="143"/>
        <v>1.4310177253319809</v>
      </c>
      <c r="H132" s="804"/>
      <c r="I132" s="804"/>
      <c r="J132" s="805"/>
      <c r="K132" s="805"/>
      <c r="L132" s="805"/>
      <c r="M132" s="806">
        <f t="shared" ref="M132:O132" si="258">M133+M134+M135+M136</f>
        <v>2520</v>
      </c>
      <c r="N132" s="806">
        <f t="shared" si="258"/>
        <v>12425</v>
      </c>
      <c r="O132" s="806">
        <f t="shared" si="258"/>
        <v>11110</v>
      </c>
      <c r="P132" s="805"/>
      <c r="Q132" s="805"/>
      <c r="R132" s="805"/>
      <c r="S132" s="806">
        <f t="shared" ref="S132:U132" si="259">S133+S134+S135+S136</f>
        <v>15595</v>
      </c>
      <c r="T132" s="806">
        <f t="shared" si="259"/>
        <v>9470</v>
      </c>
      <c r="U132" s="806">
        <f t="shared" si="259"/>
        <v>9800</v>
      </c>
      <c r="V132" s="805"/>
      <c r="W132" s="805"/>
      <c r="X132" s="805"/>
      <c r="Y132" s="806">
        <f t="shared" ref="Y132:AA132" si="260">Y133+Y134+Y135+Y136</f>
        <v>6670</v>
      </c>
      <c r="Z132" s="806">
        <f t="shared" si="260"/>
        <v>2640</v>
      </c>
      <c r="AA132" s="806">
        <f t="shared" si="260"/>
        <v>6170</v>
      </c>
      <c r="AB132" s="805"/>
      <c r="AC132" s="805"/>
      <c r="AD132" s="805"/>
      <c r="AE132" s="806">
        <f t="shared" ref="AE132:AG132" si="261">AE133+AE134+AE135+AE136</f>
        <v>3190</v>
      </c>
      <c r="AF132" s="806">
        <f t="shared" si="261"/>
        <v>2715</v>
      </c>
      <c r="AG132" s="806">
        <f t="shared" si="261"/>
        <v>2720</v>
      </c>
      <c r="AH132" s="806">
        <f>AH133+AH134+AH135+AH136</f>
        <v>85025</v>
      </c>
      <c r="AI132" s="806">
        <f>AI133+AI134+AI135+AI136</f>
        <v>25920</v>
      </c>
      <c r="AJ132" s="806"/>
      <c r="AK132" s="806"/>
      <c r="AL132" s="806">
        <f>AL133+AL134+AL135+AL136</f>
        <v>59105</v>
      </c>
      <c r="AM132" s="806"/>
      <c r="AN132" s="806"/>
      <c r="AO132" s="1073" t="s">
        <v>2384</v>
      </c>
      <c r="AP132" s="1073" t="s">
        <v>2385</v>
      </c>
      <c r="AQ132" s="1073"/>
    </row>
    <row r="133" spans="1:43" ht="60">
      <c r="A133" s="22" t="s">
        <v>2760</v>
      </c>
      <c r="B133" s="22" t="s">
        <v>2761</v>
      </c>
      <c r="C133" s="1220">
        <f>+J133+K133+L133+P133+Q133+R133+V133+W133+X133+AB133+AC133+AD133</f>
        <v>554</v>
      </c>
      <c r="D133" s="1221" t="s">
        <v>1950</v>
      </c>
      <c r="E133" s="22" t="s">
        <v>2758</v>
      </c>
      <c r="F133" s="22" t="s">
        <v>2759</v>
      </c>
      <c r="G133" s="824">
        <f t="shared" si="143"/>
        <v>0.76166665286561364</v>
      </c>
      <c r="H133" s="824"/>
      <c r="I133" s="824">
        <f>+AH133/AH$132*100</f>
        <v>53.225521905321962</v>
      </c>
      <c r="J133" s="1222">
        <v>19</v>
      </c>
      <c r="K133" s="1222">
        <v>12</v>
      </c>
      <c r="L133" s="1222">
        <v>94</v>
      </c>
      <c r="M133" s="1223">
        <f>J133*80</f>
        <v>1520</v>
      </c>
      <c r="N133" s="1223">
        <f t="shared" ref="N133:O133" si="262">K133*80</f>
        <v>960</v>
      </c>
      <c r="O133" s="1223">
        <f t="shared" si="262"/>
        <v>7520</v>
      </c>
      <c r="P133" s="1222">
        <v>84</v>
      </c>
      <c r="Q133" s="1222">
        <v>61</v>
      </c>
      <c r="R133" s="1222">
        <v>62</v>
      </c>
      <c r="S133" s="1223">
        <f t="shared" ref="S133:U133" si="263">P133*80</f>
        <v>6720</v>
      </c>
      <c r="T133" s="1223">
        <f t="shared" si="263"/>
        <v>4880</v>
      </c>
      <c r="U133" s="1223">
        <f t="shared" si="263"/>
        <v>4960</v>
      </c>
      <c r="V133" s="1222">
        <v>51</v>
      </c>
      <c r="W133" s="1222">
        <v>33</v>
      </c>
      <c r="X133" s="1222">
        <v>48</v>
      </c>
      <c r="Y133" s="1223">
        <f t="shared" ref="Y133:AA133" si="264">V133*80</f>
        <v>4080</v>
      </c>
      <c r="Z133" s="1223">
        <f t="shared" si="264"/>
        <v>2640</v>
      </c>
      <c r="AA133" s="1223">
        <f t="shared" si="264"/>
        <v>3840</v>
      </c>
      <c r="AB133" s="1222">
        <v>30</v>
      </c>
      <c r="AC133" s="1222">
        <v>30</v>
      </c>
      <c r="AD133" s="1222">
        <v>30</v>
      </c>
      <c r="AE133" s="1223">
        <f>AB133*80+300</f>
        <v>2700</v>
      </c>
      <c r="AF133" s="1223">
        <f>AC133*80+300+15</f>
        <v>2715</v>
      </c>
      <c r="AG133" s="1223">
        <f>AD133*80+300+20</f>
        <v>2720</v>
      </c>
      <c r="AH133" s="1223">
        <f t="shared" ref="AH133:AH136" si="265">M133+N133+O133+S133+T133+U133+Y133+Z133+AA133+AE133+AF133+AG133</f>
        <v>45255</v>
      </c>
      <c r="AI133" s="1223">
        <v>12505</v>
      </c>
      <c r="AJ133" s="1223"/>
      <c r="AK133" s="1223"/>
      <c r="AL133" s="1223">
        <v>32750</v>
      </c>
      <c r="AM133" s="1223"/>
      <c r="AN133" s="1223"/>
      <c r="AO133" s="1066" t="s">
        <v>2384</v>
      </c>
      <c r="AP133" s="1066" t="s">
        <v>2409</v>
      </c>
      <c r="AQ133" s="1066"/>
    </row>
    <row r="134" spans="1:43" ht="60">
      <c r="A134" s="22" t="s">
        <v>2762</v>
      </c>
      <c r="B134" s="22" t="s">
        <v>2763</v>
      </c>
      <c r="C134" s="1220">
        <f>+J134+K134+L134+P134+Q134+R134+V134+W134+X134+AB134+AC134+AD134</f>
        <v>181</v>
      </c>
      <c r="D134" s="1221" t="s">
        <v>2412</v>
      </c>
      <c r="E134" s="22" t="s">
        <v>2764</v>
      </c>
      <c r="F134" s="22" t="s">
        <v>2765</v>
      </c>
      <c r="G134" s="824">
        <f t="shared" si="143"/>
        <v>0.38457812436149097</v>
      </c>
      <c r="H134" s="824"/>
      <c r="I134" s="824">
        <f t="shared" ref="I134:I136" si="266">+AH134/AH$132*100</f>
        <v>26.874448691561305</v>
      </c>
      <c r="J134" s="1222">
        <v>8</v>
      </c>
      <c r="K134" s="1222">
        <v>77</v>
      </c>
      <c r="L134" s="1222">
        <v>14</v>
      </c>
      <c r="M134" s="1223">
        <f>J134*125</f>
        <v>1000</v>
      </c>
      <c r="N134" s="1223">
        <f>K134*125</f>
        <v>9625</v>
      </c>
      <c r="O134" s="1223">
        <f>L134*125</f>
        <v>1750</v>
      </c>
      <c r="P134" s="1222">
        <v>24</v>
      </c>
      <c r="Q134" s="1222">
        <v>22</v>
      </c>
      <c r="R134" s="1222">
        <v>24</v>
      </c>
      <c r="S134" s="1223">
        <f t="shared" ref="S134:U134" si="267">P134*125</f>
        <v>3000</v>
      </c>
      <c r="T134" s="1223">
        <f t="shared" si="267"/>
        <v>2750</v>
      </c>
      <c r="U134" s="1223">
        <f t="shared" si="267"/>
        <v>3000</v>
      </c>
      <c r="V134" s="1222">
        <v>6</v>
      </c>
      <c r="W134" s="1222"/>
      <c r="X134" s="1222">
        <v>3</v>
      </c>
      <c r="Y134" s="1223">
        <f>V134*125</f>
        <v>750</v>
      </c>
      <c r="Z134" s="1223"/>
      <c r="AA134" s="1223">
        <f>X134*125+110</f>
        <v>485</v>
      </c>
      <c r="AB134" s="1222">
        <v>3</v>
      </c>
      <c r="AC134" s="1222"/>
      <c r="AD134" s="1222"/>
      <c r="AE134" s="1223">
        <f>AB134*125+115</f>
        <v>490</v>
      </c>
      <c r="AF134" s="1223"/>
      <c r="AG134" s="1223"/>
      <c r="AH134" s="1223">
        <f t="shared" si="265"/>
        <v>22850</v>
      </c>
      <c r="AI134" s="1223">
        <v>9550</v>
      </c>
      <c r="AJ134" s="1223"/>
      <c r="AK134" s="1223"/>
      <c r="AL134" s="1223">
        <v>13300</v>
      </c>
      <c r="AM134" s="1223"/>
      <c r="AN134" s="1223"/>
      <c r="AO134" s="1066" t="s">
        <v>2384</v>
      </c>
      <c r="AP134" s="1066" t="s">
        <v>2409</v>
      </c>
      <c r="AQ134" s="1066"/>
    </row>
    <row r="135" spans="1:43" ht="45">
      <c r="A135" s="22" t="s">
        <v>2766</v>
      </c>
      <c r="B135" s="22" t="s">
        <v>2767</v>
      </c>
      <c r="C135" s="1220">
        <f>+J135+K135+L135+P135+Q135+R135+V135+W135+X135+AB135+AC135+AD135</f>
        <v>51</v>
      </c>
      <c r="D135" s="1221" t="s">
        <v>2768</v>
      </c>
      <c r="E135" s="22" t="s">
        <v>2769</v>
      </c>
      <c r="F135" s="22" t="s">
        <v>2770</v>
      </c>
      <c r="G135" s="824">
        <f t="shared" si="143"/>
        <v>0.21686166881390856</v>
      </c>
      <c r="H135" s="824"/>
      <c r="I135" s="824">
        <f t="shared" si="266"/>
        <v>15.154366362834459</v>
      </c>
      <c r="J135" s="1222"/>
      <c r="K135" s="1222">
        <v>1</v>
      </c>
      <c r="L135" s="1222">
        <v>6</v>
      </c>
      <c r="M135" s="1223"/>
      <c r="N135" s="1223">
        <v>1840</v>
      </c>
      <c r="O135" s="1223">
        <v>1840</v>
      </c>
      <c r="P135" s="1222">
        <v>11</v>
      </c>
      <c r="Q135" s="1222">
        <v>8</v>
      </c>
      <c r="R135" s="1222">
        <v>11</v>
      </c>
      <c r="S135" s="1223">
        <v>1840</v>
      </c>
      <c r="T135" s="1223">
        <v>1840</v>
      </c>
      <c r="U135" s="1223">
        <v>1840</v>
      </c>
      <c r="V135" s="1222">
        <v>12</v>
      </c>
      <c r="W135" s="1222"/>
      <c r="X135" s="1222">
        <v>2</v>
      </c>
      <c r="Y135" s="1223">
        <v>1840</v>
      </c>
      <c r="Z135" s="1223"/>
      <c r="AA135" s="1223">
        <v>1845</v>
      </c>
      <c r="AB135" s="1222"/>
      <c r="AC135" s="1222"/>
      <c r="AD135" s="1222"/>
      <c r="AE135" s="1223"/>
      <c r="AF135" s="1223"/>
      <c r="AG135" s="1223"/>
      <c r="AH135" s="1223">
        <f t="shared" si="265"/>
        <v>12885</v>
      </c>
      <c r="AI135" s="1223">
        <v>2730</v>
      </c>
      <c r="AJ135" s="1223"/>
      <c r="AK135" s="1223"/>
      <c r="AL135" s="1223">
        <v>10155</v>
      </c>
      <c r="AM135" s="1223"/>
      <c r="AN135" s="1223"/>
      <c r="AO135" s="1066" t="s">
        <v>2384</v>
      </c>
      <c r="AP135" s="1066" t="s">
        <v>2409</v>
      </c>
      <c r="AQ135" s="1066"/>
    </row>
    <row r="136" spans="1:43" ht="30">
      <c r="A136" s="22" t="s">
        <v>2771</v>
      </c>
      <c r="B136" s="22" t="s">
        <v>2772</v>
      </c>
      <c r="C136" s="1220">
        <f>+J136+K136+L136+P136+Q136+R136+V136+W136+X136+AB136+AC136+AD136</f>
        <v>1</v>
      </c>
      <c r="D136" s="1221" t="s">
        <v>55</v>
      </c>
      <c r="E136" s="22" t="s">
        <v>2773</v>
      </c>
      <c r="F136" s="22" t="s">
        <v>2774</v>
      </c>
      <c r="G136" s="824">
        <f t="shared" si="143"/>
        <v>6.7911279290967866E-2</v>
      </c>
      <c r="H136" s="824"/>
      <c r="I136" s="824">
        <f t="shared" si="266"/>
        <v>4.7456630402822695</v>
      </c>
      <c r="J136" s="1222"/>
      <c r="K136" s="1222"/>
      <c r="L136" s="1222"/>
      <c r="M136" s="1223"/>
      <c r="N136" s="1223"/>
      <c r="O136" s="1223"/>
      <c r="P136" s="1222">
        <v>1</v>
      </c>
      <c r="Q136" s="1222"/>
      <c r="R136" s="1222"/>
      <c r="S136" s="1223">
        <v>4035</v>
      </c>
      <c r="T136" s="1223"/>
      <c r="U136" s="1223"/>
      <c r="V136" s="1222"/>
      <c r="W136" s="1222"/>
      <c r="X136" s="1222"/>
      <c r="Y136" s="1223"/>
      <c r="Z136" s="1223"/>
      <c r="AA136" s="1223"/>
      <c r="AB136" s="1222"/>
      <c r="AC136" s="1222"/>
      <c r="AD136" s="1222"/>
      <c r="AE136" s="1223"/>
      <c r="AF136" s="1223"/>
      <c r="AG136" s="1223"/>
      <c r="AH136" s="1223">
        <f t="shared" si="265"/>
        <v>4035</v>
      </c>
      <c r="AI136" s="1223">
        <v>1135</v>
      </c>
      <c r="AJ136" s="1223"/>
      <c r="AK136" s="1223"/>
      <c r="AL136" s="1223">
        <v>2900</v>
      </c>
      <c r="AM136" s="1223"/>
      <c r="AN136" s="1223"/>
      <c r="AO136" s="1066" t="s">
        <v>2384</v>
      </c>
      <c r="AP136" s="1066" t="s">
        <v>2409</v>
      </c>
      <c r="AQ136" s="1066"/>
    </row>
    <row r="137" spans="1:43" ht="45">
      <c r="A137" s="14" t="s">
        <v>2775</v>
      </c>
      <c r="B137" s="14" t="s">
        <v>2776</v>
      </c>
      <c r="C137" s="15"/>
      <c r="D137" s="14"/>
      <c r="E137" s="14"/>
      <c r="F137" s="14"/>
      <c r="G137" s="683">
        <f t="shared" si="143"/>
        <v>0.1848836190858196</v>
      </c>
      <c r="H137" s="683">
        <f>+G137</f>
        <v>0.1848836190858196</v>
      </c>
      <c r="I137" s="683"/>
      <c r="J137" s="684"/>
      <c r="K137" s="684"/>
      <c r="L137" s="684"/>
      <c r="M137" s="685"/>
      <c r="N137" s="685"/>
      <c r="O137" s="685"/>
      <c r="P137" s="684"/>
      <c r="Q137" s="684"/>
      <c r="R137" s="684"/>
      <c r="S137" s="685"/>
      <c r="T137" s="685"/>
      <c r="U137" s="685">
        <f t="shared" ref="U137:U138" si="268">U138</f>
        <v>5490</v>
      </c>
      <c r="V137" s="684"/>
      <c r="W137" s="684"/>
      <c r="X137" s="684"/>
      <c r="Y137" s="685"/>
      <c r="Z137" s="685"/>
      <c r="AA137" s="685"/>
      <c r="AB137" s="684"/>
      <c r="AC137" s="684"/>
      <c r="AD137" s="684"/>
      <c r="AE137" s="685"/>
      <c r="AF137" s="685"/>
      <c r="AG137" s="685">
        <f t="shared" ref="AG137:AG138" si="269">AG138</f>
        <v>5495</v>
      </c>
      <c r="AH137" s="685">
        <f>AH138</f>
        <v>10985</v>
      </c>
      <c r="AI137" s="685">
        <f>AI138</f>
        <v>9775</v>
      </c>
      <c r="AJ137" s="685"/>
      <c r="AK137" s="685"/>
      <c r="AL137" s="685">
        <f>AL138</f>
        <v>1210</v>
      </c>
      <c r="AM137" s="685"/>
      <c r="AN137" s="685"/>
      <c r="AO137" s="1219" t="s">
        <v>2384</v>
      </c>
      <c r="AP137" s="1219" t="s">
        <v>2385</v>
      </c>
      <c r="AQ137" s="1219"/>
    </row>
    <row r="138" spans="1:43" ht="105">
      <c r="A138" s="18" t="s">
        <v>2777</v>
      </c>
      <c r="B138" s="18" t="s">
        <v>2563</v>
      </c>
      <c r="C138" s="642"/>
      <c r="D138" s="554" t="s">
        <v>52</v>
      </c>
      <c r="E138" s="18" t="s">
        <v>2778</v>
      </c>
      <c r="F138" s="18" t="s">
        <v>52</v>
      </c>
      <c r="G138" s="804">
        <f t="shared" ref="G138:G201" si="270">+AH138/AH$289*100</f>
        <v>0.1848836190858196</v>
      </c>
      <c r="H138" s="804"/>
      <c r="I138" s="804"/>
      <c r="J138" s="805"/>
      <c r="K138" s="805"/>
      <c r="L138" s="805"/>
      <c r="M138" s="806"/>
      <c r="N138" s="806"/>
      <c r="O138" s="806"/>
      <c r="P138" s="805"/>
      <c r="Q138" s="805"/>
      <c r="R138" s="805"/>
      <c r="S138" s="806"/>
      <c r="T138" s="806"/>
      <c r="U138" s="806">
        <f t="shared" si="268"/>
        <v>5490</v>
      </c>
      <c r="V138" s="805"/>
      <c r="W138" s="805"/>
      <c r="X138" s="805"/>
      <c r="Y138" s="806"/>
      <c r="Z138" s="806"/>
      <c r="AA138" s="806"/>
      <c r="AB138" s="805"/>
      <c r="AC138" s="805"/>
      <c r="AD138" s="805"/>
      <c r="AE138" s="806"/>
      <c r="AF138" s="806"/>
      <c r="AG138" s="806">
        <f t="shared" si="269"/>
        <v>5495</v>
      </c>
      <c r="AH138" s="806">
        <f>AH139</f>
        <v>10985</v>
      </c>
      <c r="AI138" s="806">
        <f>AI139</f>
        <v>9775</v>
      </c>
      <c r="AJ138" s="806"/>
      <c r="AK138" s="806"/>
      <c r="AL138" s="806">
        <f>AL139</f>
        <v>1210</v>
      </c>
      <c r="AM138" s="806"/>
      <c r="AN138" s="806"/>
      <c r="AO138" s="1073" t="s">
        <v>2384</v>
      </c>
      <c r="AP138" s="1073" t="s">
        <v>2385</v>
      </c>
      <c r="AQ138" s="1073"/>
    </row>
    <row r="139" spans="1:43" ht="45">
      <c r="A139" s="22" t="s">
        <v>2779</v>
      </c>
      <c r="B139" s="22" t="s">
        <v>2780</v>
      </c>
      <c r="C139" s="1220">
        <f>+J139+K139+L139+P139+Q139+R139+V139+W139+X139+AB139+AC139+AD139</f>
        <v>2</v>
      </c>
      <c r="D139" s="1221" t="s">
        <v>52</v>
      </c>
      <c r="E139" s="22" t="s">
        <v>2778</v>
      </c>
      <c r="F139" s="22" t="s">
        <v>52</v>
      </c>
      <c r="G139" s="824">
        <f t="shared" si="270"/>
        <v>0.1848836190858196</v>
      </c>
      <c r="H139" s="824"/>
      <c r="I139" s="824">
        <f>+AH139/AH138*100</f>
        <v>100</v>
      </c>
      <c r="J139" s="1222"/>
      <c r="K139" s="1222"/>
      <c r="L139" s="1222"/>
      <c r="M139" s="1223"/>
      <c r="N139" s="1223"/>
      <c r="O139" s="1223"/>
      <c r="P139" s="1222"/>
      <c r="Q139" s="1222"/>
      <c r="R139" s="1222">
        <v>1</v>
      </c>
      <c r="S139" s="1223"/>
      <c r="T139" s="1223"/>
      <c r="U139" s="1223">
        <v>5490</v>
      </c>
      <c r="V139" s="1222"/>
      <c r="W139" s="1222"/>
      <c r="X139" s="1222"/>
      <c r="Y139" s="1223"/>
      <c r="Z139" s="1223"/>
      <c r="AA139" s="1223"/>
      <c r="AB139" s="1222"/>
      <c r="AC139" s="1222"/>
      <c r="AD139" s="1222">
        <v>1</v>
      </c>
      <c r="AE139" s="1223"/>
      <c r="AF139" s="1223"/>
      <c r="AG139" s="1223">
        <v>5495</v>
      </c>
      <c r="AH139" s="1223">
        <f>M139+N139+O139+S139+T139+U139+Y139+Z139+AA139+AE139+AF139+AG139</f>
        <v>10985</v>
      </c>
      <c r="AI139" s="1223">
        <v>9775</v>
      </c>
      <c r="AJ139" s="1223"/>
      <c r="AK139" s="1223"/>
      <c r="AL139" s="1223">
        <v>1210</v>
      </c>
      <c r="AM139" s="1223"/>
      <c r="AN139" s="1223"/>
      <c r="AO139" s="1066" t="s">
        <v>2384</v>
      </c>
      <c r="AP139" s="1066" t="s">
        <v>2409</v>
      </c>
      <c r="AQ139" s="1066"/>
    </row>
    <row r="140" spans="1:43" ht="30">
      <c r="A140" s="14" t="s">
        <v>46</v>
      </c>
      <c r="B140" s="14" t="s">
        <v>47</v>
      </c>
      <c r="C140" s="15"/>
      <c r="D140" s="14"/>
      <c r="E140" s="14"/>
      <c r="F140" s="14"/>
      <c r="G140" s="683">
        <f t="shared" si="270"/>
        <v>0.44819761276789954</v>
      </c>
      <c r="H140" s="683">
        <f>+G140</f>
        <v>0.44819761276789954</v>
      </c>
      <c r="I140" s="683"/>
      <c r="J140" s="684"/>
      <c r="K140" s="684"/>
      <c r="L140" s="684"/>
      <c r="M140" s="685">
        <f t="shared" ref="M140:O141" si="271">M141</f>
        <v>2660</v>
      </c>
      <c r="N140" s="685"/>
      <c r="O140" s="685">
        <f t="shared" si="271"/>
        <v>2660</v>
      </c>
      <c r="P140" s="684"/>
      <c r="Q140" s="684"/>
      <c r="R140" s="684"/>
      <c r="S140" s="685">
        <f t="shared" ref="S140:U141" si="272">S141</f>
        <v>2660</v>
      </c>
      <c r="T140" s="685">
        <f t="shared" si="272"/>
        <v>2660</v>
      </c>
      <c r="U140" s="685">
        <f t="shared" si="272"/>
        <v>2660</v>
      </c>
      <c r="V140" s="684"/>
      <c r="W140" s="684"/>
      <c r="X140" s="684"/>
      <c r="Y140" s="685">
        <f t="shared" ref="Y140:AA141" si="273">Y141</f>
        <v>2660</v>
      </c>
      <c r="Z140" s="685">
        <f t="shared" si="273"/>
        <v>0</v>
      </c>
      <c r="AA140" s="685">
        <f t="shared" si="273"/>
        <v>2660</v>
      </c>
      <c r="AB140" s="684"/>
      <c r="AC140" s="684"/>
      <c r="AD140" s="684"/>
      <c r="AE140" s="685">
        <f t="shared" ref="AE140:AG141" si="274">AE141</f>
        <v>2660</v>
      </c>
      <c r="AF140" s="685">
        <f t="shared" si="274"/>
        <v>2660</v>
      </c>
      <c r="AG140" s="685">
        <f t="shared" si="274"/>
        <v>2690</v>
      </c>
      <c r="AH140" s="685">
        <f>AH141</f>
        <v>26630</v>
      </c>
      <c r="AI140" s="685">
        <f>AI141</f>
        <v>5000</v>
      </c>
      <c r="AJ140" s="685"/>
      <c r="AK140" s="685"/>
      <c r="AL140" s="685">
        <f>AL141</f>
        <v>21630</v>
      </c>
      <c r="AM140" s="685"/>
      <c r="AN140" s="685"/>
      <c r="AO140" s="1219" t="s">
        <v>2384</v>
      </c>
      <c r="AP140" s="1219" t="s">
        <v>2385</v>
      </c>
      <c r="AQ140" s="1219"/>
    </row>
    <row r="141" spans="1:43" ht="60">
      <c r="A141" s="18" t="s">
        <v>2781</v>
      </c>
      <c r="B141" s="18" t="s">
        <v>2782</v>
      </c>
      <c r="C141" s="642"/>
      <c r="D141" s="554" t="s">
        <v>2412</v>
      </c>
      <c r="E141" s="18" t="s">
        <v>2783</v>
      </c>
      <c r="F141" s="18" t="s">
        <v>2784</v>
      </c>
      <c r="G141" s="804">
        <f t="shared" si="270"/>
        <v>0.44819761276789954</v>
      </c>
      <c r="H141" s="804"/>
      <c r="I141" s="804"/>
      <c r="J141" s="805"/>
      <c r="K141" s="805"/>
      <c r="L141" s="805"/>
      <c r="M141" s="806">
        <f t="shared" si="271"/>
        <v>2660</v>
      </c>
      <c r="N141" s="806"/>
      <c r="O141" s="806">
        <f t="shared" si="271"/>
        <v>2660</v>
      </c>
      <c r="P141" s="805"/>
      <c r="Q141" s="805"/>
      <c r="R141" s="805"/>
      <c r="S141" s="806">
        <f t="shared" si="272"/>
        <v>2660</v>
      </c>
      <c r="T141" s="806">
        <f t="shared" si="272"/>
        <v>2660</v>
      </c>
      <c r="U141" s="806">
        <f t="shared" si="272"/>
        <v>2660</v>
      </c>
      <c r="V141" s="805"/>
      <c r="W141" s="805"/>
      <c r="X141" s="805"/>
      <c r="Y141" s="806">
        <f t="shared" si="273"/>
        <v>2660</v>
      </c>
      <c r="Z141" s="806"/>
      <c r="AA141" s="806">
        <f t="shared" si="273"/>
        <v>2660</v>
      </c>
      <c r="AB141" s="805"/>
      <c r="AC141" s="805"/>
      <c r="AD141" s="805"/>
      <c r="AE141" s="806">
        <f t="shared" si="274"/>
        <v>2660</v>
      </c>
      <c r="AF141" s="806">
        <f t="shared" si="274"/>
        <v>2660</v>
      </c>
      <c r="AG141" s="806">
        <f t="shared" si="274"/>
        <v>2690</v>
      </c>
      <c r="AH141" s="806">
        <f>AH142</f>
        <v>26630</v>
      </c>
      <c r="AI141" s="806">
        <f>AI142</f>
        <v>5000</v>
      </c>
      <c r="AJ141" s="806"/>
      <c r="AK141" s="806"/>
      <c r="AL141" s="806">
        <f>AL142</f>
        <v>21630</v>
      </c>
      <c r="AM141" s="806"/>
      <c r="AN141" s="806"/>
      <c r="AO141" s="1073" t="s">
        <v>2384</v>
      </c>
      <c r="AP141" s="1073" t="s">
        <v>2385</v>
      </c>
      <c r="AQ141" s="1073"/>
    </row>
    <row r="142" spans="1:43" ht="60">
      <c r="A142" s="22" t="s">
        <v>2785</v>
      </c>
      <c r="B142" s="22" t="s">
        <v>2786</v>
      </c>
      <c r="C142" s="1220">
        <f>+J142+K142+L142+P142+Q142+R142+V142+W142+X142+AB142+AC142+AD142</f>
        <v>56</v>
      </c>
      <c r="D142" s="1221" t="s">
        <v>2412</v>
      </c>
      <c r="E142" s="22" t="s">
        <v>2783</v>
      </c>
      <c r="F142" s="22" t="s">
        <v>2787</v>
      </c>
      <c r="G142" s="824">
        <f t="shared" si="270"/>
        <v>0.44819761276789954</v>
      </c>
      <c r="H142" s="824"/>
      <c r="I142" s="824">
        <f>+AH142/AH141*100</f>
        <v>100</v>
      </c>
      <c r="J142" s="1222">
        <v>1</v>
      </c>
      <c r="K142" s="1222"/>
      <c r="L142" s="1222">
        <v>3</v>
      </c>
      <c r="M142" s="1223">
        <v>2660</v>
      </c>
      <c r="N142" s="1223"/>
      <c r="O142" s="1223">
        <v>2660</v>
      </c>
      <c r="P142" s="1222">
        <v>14</v>
      </c>
      <c r="Q142" s="1222">
        <v>17</v>
      </c>
      <c r="R142" s="1222">
        <v>2</v>
      </c>
      <c r="S142" s="1223">
        <v>2660</v>
      </c>
      <c r="T142" s="1223">
        <v>2660</v>
      </c>
      <c r="U142" s="1223">
        <v>2660</v>
      </c>
      <c r="V142" s="1222">
        <v>1</v>
      </c>
      <c r="W142" s="1222"/>
      <c r="X142" s="1222">
        <v>8</v>
      </c>
      <c r="Y142" s="1223">
        <v>2660</v>
      </c>
      <c r="Z142" s="1223"/>
      <c r="AA142" s="1223">
        <v>2660</v>
      </c>
      <c r="AB142" s="1222">
        <v>6</v>
      </c>
      <c r="AC142" s="1222">
        <v>2</v>
      </c>
      <c r="AD142" s="1222">
        <v>2</v>
      </c>
      <c r="AE142" s="1223">
        <v>2660</v>
      </c>
      <c r="AF142" s="1223">
        <v>2660</v>
      </c>
      <c r="AG142" s="1223">
        <v>2690</v>
      </c>
      <c r="AH142" s="1223">
        <f>M142+N142+O142+S142+T142+U142+Y142+Z142+AA142+AE142+AF142+AG142</f>
        <v>26630</v>
      </c>
      <c r="AI142" s="1223">
        <v>5000</v>
      </c>
      <c r="AJ142" s="1223"/>
      <c r="AK142" s="1223"/>
      <c r="AL142" s="1223">
        <v>21630</v>
      </c>
      <c r="AM142" s="1223"/>
      <c r="AN142" s="1223"/>
      <c r="AO142" s="1066" t="s">
        <v>2384</v>
      </c>
      <c r="AP142" s="1066" t="s">
        <v>2409</v>
      </c>
      <c r="AQ142" s="1066" t="s">
        <v>2788</v>
      </c>
    </row>
    <row r="143" spans="1:43" ht="30">
      <c r="A143" s="6" t="s">
        <v>283</v>
      </c>
      <c r="B143" s="6" t="s">
        <v>284</v>
      </c>
      <c r="C143" s="7"/>
      <c r="D143" s="6"/>
      <c r="E143" s="6"/>
      <c r="F143" s="6"/>
      <c r="G143" s="1211">
        <f t="shared" si="270"/>
        <v>10.438981875447315</v>
      </c>
      <c r="H143" s="1211"/>
      <c r="I143" s="1211"/>
      <c r="J143" s="1212"/>
      <c r="K143" s="1212"/>
      <c r="L143" s="1212"/>
      <c r="M143" s="1213">
        <f t="shared" ref="M143:O143" si="275">M144+M151</f>
        <v>4265</v>
      </c>
      <c r="N143" s="1213">
        <f>N144+N151</f>
        <v>38120</v>
      </c>
      <c r="O143" s="1213">
        <f t="shared" si="275"/>
        <v>57305</v>
      </c>
      <c r="P143" s="1212"/>
      <c r="Q143" s="1212"/>
      <c r="R143" s="1212"/>
      <c r="S143" s="1213">
        <f t="shared" ref="S143:U143" si="276">S144+S151</f>
        <v>61790</v>
      </c>
      <c r="T143" s="1213">
        <f t="shared" si="276"/>
        <v>37280</v>
      </c>
      <c r="U143" s="1213">
        <f t="shared" si="276"/>
        <v>73530</v>
      </c>
      <c r="V143" s="1212"/>
      <c r="W143" s="1212"/>
      <c r="X143" s="1212"/>
      <c r="Y143" s="1213">
        <f t="shared" ref="Y143:AA143" si="277">Y144+Y151</f>
        <v>122860</v>
      </c>
      <c r="Z143" s="1213">
        <f t="shared" si="277"/>
        <v>40290</v>
      </c>
      <c r="AA143" s="1213">
        <f t="shared" si="277"/>
        <v>50645</v>
      </c>
      <c r="AB143" s="1212"/>
      <c r="AC143" s="1212"/>
      <c r="AD143" s="1212"/>
      <c r="AE143" s="1213">
        <f t="shared" ref="AE143:AG143" si="278">AE144+AE151</f>
        <v>53510</v>
      </c>
      <c r="AF143" s="1213">
        <f t="shared" si="278"/>
        <v>68575</v>
      </c>
      <c r="AG143" s="1213">
        <f t="shared" si="278"/>
        <v>12070</v>
      </c>
      <c r="AH143" s="1213">
        <f>AH144+AH151</f>
        <v>620240</v>
      </c>
      <c r="AI143" s="1213">
        <f>AI144+AI151</f>
        <v>269670</v>
      </c>
      <c r="AJ143" s="1213"/>
      <c r="AK143" s="1213"/>
      <c r="AL143" s="1213">
        <f>AL144+AL151</f>
        <v>350570</v>
      </c>
      <c r="AM143" s="1213"/>
      <c r="AN143" s="1213"/>
      <c r="AO143" s="1214" t="s">
        <v>2384</v>
      </c>
      <c r="AP143" s="1214" t="s">
        <v>2385</v>
      </c>
      <c r="AQ143" s="1214"/>
    </row>
    <row r="144" spans="1:43" ht="30">
      <c r="A144" s="10" t="s">
        <v>1898</v>
      </c>
      <c r="B144" s="10" t="s">
        <v>2789</v>
      </c>
      <c r="C144" s="11"/>
      <c r="D144" s="10"/>
      <c r="E144" s="10"/>
      <c r="F144" s="10"/>
      <c r="G144" s="1215">
        <f t="shared" si="270"/>
        <v>2.366039068828814</v>
      </c>
      <c r="H144" s="1215"/>
      <c r="I144" s="1215"/>
      <c r="J144" s="1216"/>
      <c r="K144" s="1216"/>
      <c r="L144" s="1216"/>
      <c r="M144" s="1217">
        <f t="shared" ref="M144:O145" si="279">M145</f>
        <v>4265</v>
      </c>
      <c r="N144" s="1217">
        <f t="shared" si="279"/>
        <v>6530</v>
      </c>
      <c r="O144" s="1217">
        <f t="shared" si="279"/>
        <v>6180</v>
      </c>
      <c r="P144" s="1216"/>
      <c r="Q144" s="1216"/>
      <c r="R144" s="1216"/>
      <c r="S144" s="1217">
        <f t="shared" ref="S144:U145" si="280">S145</f>
        <v>11475</v>
      </c>
      <c r="T144" s="1217">
        <f t="shared" si="280"/>
        <v>11070</v>
      </c>
      <c r="U144" s="1217">
        <f t="shared" si="280"/>
        <v>11670</v>
      </c>
      <c r="V144" s="1216"/>
      <c r="W144" s="1216"/>
      <c r="X144" s="1216"/>
      <c r="Y144" s="1217">
        <f t="shared" ref="Y144:AA145" si="281">Y145</f>
        <v>12845</v>
      </c>
      <c r="Z144" s="1217">
        <f t="shared" si="281"/>
        <v>12580</v>
      </c>
      <c r="AA144" s="1217">
        <f t="shared" si="281"/>
        <v>11975</v>
      </c>
      <c r="AB144" s="1216"/>
      <c r="AC144" s="1216"/>
      <c r="AD144" s="1216"/>
      <c r="AE144" s="1217">
        <f t="shared" ref="AE144:AG145" si="282">AE145</f>
        <v>11930</v>
      </c>
      <c r="AF144" s="1217">
        <f t="shared" si="282"/>
        <v>31550</v>
      </c>
      <c r="AG144" s="1217">
        <f t="shared" si="282"/>
        <v>8510</v>
      </c>
      <c r="AH144" s="1217">
        <f>AH145</f>
        <v>140580</v>
      </c>
      <c r="AI144" s="1217">
        <f>AI145</f>
        <v>56940</v>
      </c>
      <c r="AJ144" s="1217"/>
      <c r="AK144" s="1217"/>
      <c r="AL144" s="1217">
        <f>AL145</f>
        <v>83640</v>
      </c>
      <c r="AM144" s="1217"/>
      <c r="AN144" s="1217"/>
      <c r="AO144" s="1218" t="s">
        <v>2384</v>
      </c>
      <c r="AP144" s="1218" t="s">
        <v>2385</v>
      </c>
      <c r="AQ144" s="1218"/>
    </row>
    <row r="145" spans="1:43" ht="30">
      <c r="A145" s="14" t="s">
        <v>1900</v>
      </c>
      <c r="B145" s="14" t="s">
        <v>1901</v>
      </c>
      <c r="C145" s="15"/>
      <c r="D145" s="14"/>
      <c r="E145" s="14"/>
      <c r="F145" s="14"/>
      <c r="G145" s="683">
        <f t="shared" si="270"/>
        <v>2.366039068828814</v>
      </c>
      <c r="H145" s="683">
        <f>+G145</f>
        <v>2.366039068828814</v>
      </c>
      <c r="I145" s="683"/>
      <c r="J145" s="684"/>
      <c r="K145" s="684"/>
      <c r="L145" s="684"/>
      <c r="M145" s="685">
        <f t="shared" si="279"/>
        <v>4265</v>
      </c>
      <c r="N145" s="685">
        <f t="shared" si="279"/>
        <v>6530</v>
      </c>
      <c r="O145" s="685">
        <f t="shared" si="279"/>
        <v>6180</v>
      </c>
      <c r="P145" s="684"/>
      <c r="Q145" s="684"/>
      <c r="R145" s="684"/>
      <c r="S145" s="685">
        <f t="shared" si="280"/>
        <v>11475</v>
      </c>
      <c r="T145" s="685">
        <f t="shared" si="280"/>
        <v>11070</v>
      </c>
      <c r="U145" s="685">
        <f t="shared" si="280"/>
        <v>11670</v>
      </c>
      <c r="V145" s="684"/>
      <c r="W145" s="684"/>
      <c r="X145" s="684"/>
      <c r="Y145" s="685">
        <f t="shared" si="281"/>
        <v>12845</v>
      </c>
      <c r="Z145" s="685">
        <f t="shared" si="281"/>
        <v>12580</v>
      </c>
      <c r="AA145" s="685">
        <f t="shared" si="281"/>
        <v>11975</v>
      </c>
      <c r="AB145" s="684"/>
      <c r="AC145" s="684"/>
      <c r="AD145" s="684"/>
      <c r="AE145" s="685">
        <f t="shared" si="282"/>
        <v>11930</v>
      </c>
      <c r="AF145" s="685">
        <f t="shared" si="282"/>
        <v>31550</v>
      </c>
      <c r="AG145" s="685">
        <f>AG146</f>
        <v>8510</v>
      </c>
      <c r="AH145" s="685">
        <f>AH146</f>
        <v>140580</v>
      </c>
      <c r="AI145" s="685">
        <f>AI146</f>
        <v>56940</v>
      </c>
      <c r="AJ145" s="685"/>
      <c r="AK145" s="685"/>
      <c r="AL145" s="685">
        <f>AL146</f>
        <v>83640</v>
      </c>
      <c r="AM145" s="685"/>
      <c r="AN145" s="685"/>
      <c r="AO145" s="1219" t="s">
        <v>2384</v>
      </c>
      <c r="AP145" s="1219" t="s">
        <v>2385</v>
      </c>
      <c r="AQ145" s="1219"/>
    </row>
    <row r="146" spans="1:43" ht="30">
      <c r="A146" s="18" t="s">
        <v>2790</v>
      </c>
      <c r="B146" s="18" t="s">
        <v>2791</v>
      </c>
      <c r="C146" s="642"/>
      <c r="D146" s="554" t="s">
        <v>2792</v>
      </c>
      <c r="E146" s="18" t="s">
        <v>2793</v>
      </c>
      <c r="F146" s="18" t="s">
        <v>2794</v>
      </c>
      <c r="G146" s="804">
        <f t="shared" si="270"/>
        <v>2.366039068828814</v>
      </c>
      <c r="H146" s="804"/>
      <c r="I146" s="804"/>
      <c r="J146" s="805"/>
      <c r="K146" s="805"/>
      <c r="L146" s="805"/>
      <c r="M146" s="806">
        <f>M147+M148+M149+M150</f>
        <v>4265</v>
      </c>
      <c r="N146" s="806">
        <f>N147+N148+N149+N150</f>
        <v>6530</v>
      </c>
      <c r="O146" s="806">
        <f>O147+O148+O149+O150</f>
        <v>6180</v>
      </c>
      <c r="P146" s="805"/>
      <c r="Q146" s="805"/>
      <c r="R146" s="805"/>
      <c r="S146" s="806">
        <f t="shared" ref="S146:U146" si="283">S147+S148+S149+S150</f>
        <v>11475</v>
      </c>
      <c r="T146" s="806">
        <f t="shared" si="283"/>
        <v>11070</v>
      </c>
      <c r="U146" s="806">
        <f t="shared" si="283"/>
        <v>11670</v>
      </c>
      <c r="V146" s="805"/>
      <c r="W146" s="805"/>
      <c r="X146" s="805"/>
      <c r="Y146" s="806">
        <f t="shared" ref="Y146:AA146" si="284">Y147+Y148+Y149+Y150</f>
        <v>12845</v>
      </c>
      <c r="Z146" s="806">
        <f t="shared" si="284"/>
        <v>12580</v>
      </c>
      <c r="AA146" s="806">
        <f t="shared" si="284"/>
        <v>11975</v>
      </c>
      <c r="AB146" s="805"/>
      <c r="AC146" s="805"/>
      <c r="AD146" s="805"/>
      <c r="AE146" s="806">
        <f t="shared" ref="AE146:AG146" si="285">AE147+AE148+AE149+AE150</f>
        <v>11930</v>
      </c>
      <c r="AF146" s="806">
        <f t="shared" si="285"/>
        <v>31550</v>
      </c>
      <c r="AG146" s="806">
        <f t="shared" si="285"/>
        <v>8510</v>
      </c>
      <c r="AH146" s="806">
        <f>AH147+AH148+AH149+AH150</f>
        <v>140580</v>
      </c>
      <c r="AI146" s="806">
        <f>AI147+AI148+AI149+AI150</f>
        <v>56940</v>
      </c>
      <c r="AJ146" s="806"/>
      <c r="AK146" s="806"/>
      <c r="AL146" s="806">
        <f>AL147+AL148+AL149+AL150</f>
        <v>83640</v>
      </c>
      <c r="AM146" s="806"/>
      <c r="AN146" s="806"/>
      <c r="AO146" s="1073" t="s">
        <v>2384</v>
      </c>
      <c r="AP146" s="1073" t="s">
        <v>2385</v>
      </c>
      <c r="AQ146" s="1073"/>
    </row>
    <row r="147" spans="1:43" ht="75">
      <c r="A147" s="22" t="s">
        <v>2795</v>
      </c>
      <c r="B147" s="22" t="s">
        <v>2796</v>
      </c>
      <c r="C147" s="1220">
        <f>+J147+K147+L147+P147+Q147+R147+V147+W147+X147+AB147+AC147+AD147</f>
        <v>20</v>
      </c>
      <c r="D147" s="1221" t="s">
        <v>1184</v>
      </c>
      <c r="E147" s="22" t="s">
        <v>2797</v>
      </c>
      <c r="F147" s="22" t="s">
        <v>2798</v>
      </c>
      <c r="G147" s="824">
        <f t="shared" si="270"/>
        <v>0.38424151331172157</v>
      </c>
      <c r="H147" s="824"/>
      <c r="I147" s="824">
        <f>+AH147/AH$146*100</f>
        <v>16.239863422962014</v>
      </c>
      <c r="J147" s="1222"/>
      <c r="K147" s="1222"/>
      <c r="L147" s="1222"/>
      <c r="M147" s="1223"/>
      <c r="N147" s="1223"/>
      <c r="O147" s="1223"/>
      <c r="P147" s="1222"/>
      <c r="Q147" s="1222"/>
      <c r="R147" s="1222"/>
      <c r="S147" s="1223"/>
      <c r="T147" s="1223"/>
      <c r="U147" s="1223"/>
      <c r="V147" s="1222"/>
      <c r="W147" s="1222"/>
      <c r="X147" s="1222"/>
      <c r="Y147" s="1223"/>
      <c r="Z147" s="1223"/>
      <c r="AA147" s="1223"/>
      <c r="AB147" s="1222"/>
      <c r="AC147" s="1222">
        <v>20</v>
      </c>
      <c r="AD147" s="1222"/>
      <c r="AE147" s="1223"/>
      <c r="AF147" s="1223">
        <v>22830</v>
      </c>
      <c r="AG147" s="1223"/>
      <c r="AH147" s="1223">
        <f t="shared" ref="AH147:AH150" si="286">M147+N147+O147+S147+T147+U147+Y147+Z147+AA147+AE147+AF147+AG147</f>
        <v>22830</v>
      </c>
      <c r="AI147" s="1223">
        <v>17510</v>
      </c>
      <c r="AJ147" s="1223"/>
      <c r="AK147" s="1223"/>
      <c r="AL147" s="1223">
        <v>5320</v>
      </c>
      <c r="AM147" s="1223"/>
      <c r="AN147" s="1223"/>
      <c r="AO147" s="1066" t="s">
        <v>2384</v>
      </c>
      <c r="AP147" s="1066" t="s">
        <v>2528</v>
      </c>
      <c r="AQ147" s="1066" t="s">
        <v>2799</v>
      </c>
    </row>
    <row r="148" spans="1:43" ht="45">
      <c r="A148" s="22" t="s">
        <v>2800</v>
      </c>
      <c r="B148" s="22" t="s">
        <v>2801</v>
      </c>
      <c r="C148" s="1220">
        <f>+J148+K148+L148+P148+Q148+R148+V148+W148+X148+AB148+AC148+AD148</f>
        <v>22963</v>
      </c>
      <c r="D148" s="1221" t="s">
        <v>2802</v>
      </c>
      <c r="E148" s="22" t="s">
        <v>2803</v>
      </c>
      <c r="F148" s="22" t="s">
        <v>2804</v>
      </c>
      <c r="G148" s="824">
        <f t="shared" si="270"/>
        <v>0.60808786140834437</v>
      </c>
      <c r="H148" s="824"/>
      <c r="I148" s="824">
        <f t="shared" ref="I148:I150" si="287">+AH148/AH$146*100</f>
        <v>25.70066865841514</v>
      </c>
      <c r="J148" s="1222">
        <v>752</v>
      </c>
      <c r="K148" s="1222">
        <v>198</v>
      </c>
      <c r="L148" s="1222">
        <v>951</v>
      </c>
      <c r="M148" s="1223">
        <v>110</v>
      </c>
      <c r="N148" s="1223">
        <v>1315</v>
      </c>
      <c r="O148" s="1223">
        <v>1615</v>
      </c>
      <c r="P148" s="1222">
        <v>2015</v>
      </c>
      <c r="Q148" s="1222">
        <v>2420</v>
      </c>
      <c r="R148" s="1222">
        <v>1805</v>
      </c>
      <c r="S148" s="1223">
        <v>3830</v>
      </c>
      <c r="T148" s="1223">
        <v>3210</v>
      </c>
      <c r="U148" s="1223">
        <v>3265</v>
      </c>
      <c r="V148" s="1222">
        <v>2485</v>
      </c>
      <c r="W148" s="1222">
        <v>2192</v>
      </c>
      <c r="X148" s="1222">
        <v>2785</v>
      </c>
      <c r="Y148" s="1223">
        <v>3940</v>
      </c>
      <c r="Z148" s="1223">
        <v>3265</v>
      </c>
      <c r="AA148" s="1223">
        <v>4050</v>
      </c>
      <c r="AB148" s="1222">
        <v>4760</v>
      </c>
      <c r="AC148" s="1222">
        <v>1300</v>
      </c>
      <c r="AD148" s="1222">
        <v>1300</v>
      </c>
      <c r="AE148" s="1223">
        <v>4100</v>
      </c>
      <c r="AF148" s="1223">
        <v>3540</v>
      </c>
      <c r="AG148" s="1223">
        <v>3890</v>
      </c>
      <c r="AH148" s="1223">
        <f t="shared" si="286"/>
        <v>36130</v>
      </c>
      <c r="AI148" s="1223">
        <v>17510</v>
      </c>
      <c r="AJ148" s="1223"/>
      <c r="AK148" s="1223"/>
      <c r="AL148" s="1223">
        <v>18620</v>
      </c>
      <c r="AM148" s="1223"/>
      <c r="AN148" s="1223"/>
      <c r="AO148" s="1066" t="s">
        <v>2384</v>
      </c>
      <c r="AP148" s="1066" t="s">
        <v>2655</v>
      </c>
      <c r="AQ148" s="1066"/>
    </row>
    <row r="149" spans="1:43" ht="45">
      <c r="A149" s="22" t="s">
        <v>2805</v>
      </c>
      <c r="B149" s="22" t="s">
        <v>2806</v>
      </c>
      <c r="C149" s="1220">
        <f>+J149+K149+L149+P149+Q149+R149+V149+W149+X149+AB149+AC149+AD149</f>
        <v>205013</v>
      </c>
      <c r="D149" s="1221" t="s">
        <v>2807</v>
      </c>
      <c r="E149" s="22" t="s">
        <v>2808</v>
      </c>
      <c r="F149" s="22" t="s">
        <v>2804</v>
      </c>
      <c r="G149" s="824">
        <f t="shared" si="270"/>
        <v>0.79709496585383854</v>
      </c>
      <c r="H149" s="824"/>
      <c r="I149" s="824">
        <f t="shared" si="287"/>
        <v>33.689002703087212</v>
      </c>
      <c r="J149" s="1222">
        <v>5665</v>
      </c>
      <c r="K149" s="1222">
        <v>10260</v>
      </c>
      <c r="L149" s="1222">
        <v>17912</v>
      </c>
      <c r="M149" s="1223">
        <v>1300</v>
      </c>
      <c r="N149" s="1223">
        <f>2360</f>
        <v>2360</v>
      </c>
      <c r="O149" s="1223">
        <f>1420+290</f>
        <v>1710</v>
      </c>
      <c r="P149" s="1222">
        <v>19570</v>
      </c>
      <c r="Q149" s="1222">
        <v>20500</v>
      </c>
      <c r="R149" s="1222">
        <v>22869</v>
      </c>
      <c r="S149" s="1223">
        <f>4500+290</f>
        <v>4790</v>
      </c>
      <c r="T149" s="1223">
        <f>4715+290</f>
        <v>5005</v>
      </c>
      <c r="U149" s="1223">
        <f>5260+290</f>
        <v>5550</v>
      </c>
      <c r="V149" s="1222">
        <v>25050</v>
      </c>
      <c r="W149" s="1222">
        <v>26835</v>
      </c>
      <c r="X149" s="1222">
        <v>20790</v>
      </c>
      <c r="Y149" s="1223">
        <f>5760+290</f>
        <v>6050</v>
      </c>
      <c r="Z149" s="1223">
        <f>6170+290</f>
        <v>6460</v>
      </c>
      <c r="AA149" s="1223">
        <f>4780+290</f>
        <v>5070</v>
      </c>
      <c r="AB149" s="1222">
        <v>20382</v>
      </c>
      <c r="AC149" s="1222">
        <v>8850</v>
      </c>
      <c r="AD149" s="1222">
        <v>6330</v>
      </c>
      <c r="AE149" s="1223">
        <f>4685+290</f>
        <v>4975</v>
      </c>
      <c r="AF149" s="1223">
        <f>2035+290</f>
        <v>2325</v>
      </c>
      <c r="AG149" s="1223">
        <f>1455+290+20</f>
        <v>1765</v>
      </c>
      <c r="AH149" s="1223">
        <f t="shared" si="286"/>
        <v>47360</v>
      </c>
      <c r="AI149" s="1223">
        <v>17510</v>
      </c>
      <c r="AJ149" s="1223"/>
      <c r="AK149" s="1223"/>
      <c r="AL149" s="1223">
        <v>29850</v>
      </c>
      <c r="AM149" s="1223"/>
      <c r="AN149" s="1223"/>
      <c r="AO149" s="1066" t="s">
        <v>2384</v>
      </c>
      <c r="AP149" s="1066" t="s">
        <v>2655</v>
      </c>
      <c r="AQ149" s="1066"/>
    </row>
    <row r="150" spans="1:43" ht="30">
      <c r="A150" s="22" t="s">
        <v>2809</v>
      </c>
      <c r="B150" s="22" t="s">
        <v>2810</v>
      </c>
      <c r="C150" s="1220">
        <f>+J150+K150+L150+P150+Q150+R150+V150+W150+X150+AB150+AC150+AD150</f>
        <v>699</v>
      </c>
      <c r="D150" s="1221" t="s">
        <v>2426</v>
      </c>
      <c r="E150" s="22" t="s">
        <v>2811</v>
      </c>
      <c r="F150" s="22" t="s">
        <v>2804</v>
      </c>
      <c r="G150" s="824">
        <f t="shared" si="270"/>
        <v>0.57661472825490934</v>
      </c>
      <c r="H150" s="824"/>
      <c r="I150" s="824">
        <f t="shared" si="287"/>
        <v>24.370465215535638</v>
      </c>
      <c r="J150" s="1222">
        <v>15</v>
      </c>
      <c r="K150" s="1222">
        <v>26</v>
      </c>
      <c r="L150" s="1222">
        <v>43</v>
      </c>
      <c r="M150" s="1223">
        <v>2855</v>
      </c>
      <c r="N150" s="1223">
        <v>2855</v>
      </c>
      <c r="O150" s="1223">
        <v>2855</v>
      </c>
      <c r="P150" s="1222">
        <v>47</v>
      </c>
      <c r="Q150" s="1222">
        <v>24</v>
      </c>
      <c r="R150" s="1222">
        <v>25</v>
      </c>
      <c r="S150" s="1223">
        <v>2855</v>
      </c>
      <c r="T150" s="1223">
        <v>2855</v>
      </c>
      <c r="U150" s="1223">
        <v>2855</v>
      </c>
      <c r="V150" s="1222">
        <v>59</v>
      </c>
      <c r="W150" s="1222">
        <v>379</v>
      </c>
      <c r="X150" s="1222">
        <v>42</v>
      </c>
      <c r="Y150" s="1223">
        <v>2855</v>
      </c>
      <c r="Z150" s="1223">
        <v>2855</v>
      </c>
      <c r="AA150" s="1223">
        <v>2855</v>
      </c>
      <c r="AB150" s="1222">
        <v>21</v>
      </c>
      <c r="AC150" s="1222">
        <v>10</v>
      </c>
      <c r="AD150" s="1222">
        <v>8</v>
      </c>
      <c r="AE150" s="1223">
        <v>2855</v>
      </c>
      <c r="AF150" s="1223">
        <v>2855</v>
      </c>
      <c r="AG150" s="1223">
        <v>2855</v>
      </c>
      <c r="AH150" s="1223">
        <f t="shared" si="286"/>
        <v>34260</v>
      </c>
      <c r="AI150" s="1223">
        <v>4410</v>
      </c>
      <c r="AJ150" s="1223"/>
      <c r="AK150" s="1223"/>
      <c r="AL150" s="1223">
        <v>29850</v>
      </c>
      <c r="AM150" s="1223"/>
      <c r="AN150" s="1223"/>
      <c r="AO150" s="1066" t="s">
        <v>2384</v>
      </c>
      <c r="AP150" s="1066" t="s">
        <v>2481</v>
      </c>
      <c r="AQ150" s="1066"/>
    </row>
    <row r="151" spans="1:43" ht="30">
      <c r="A151" s="10" t="s">
        <v>285</v>
      </c>
      <c r="B151" s="10" t="s">
        <v>2812</v>
      </c>
      <c r="C151" s="11"/>
      <c r="D151" s="10"/>
      <c r="E151" s="10"/>
      <c r="F151" s="10"/>
      <c r="G151" s="1215">
        <f t="shared" si="270"/>
        <v>8.0729428066185012</v>
      </c>
      <c r="H151" s="1215"/>
      <c r="I151" s="1215"/>
      <c r="J151" s="1216"/>
      <c r="K151" s="1216"/>
      <c r="L151" s="1216"/>
      <c r="M151" s="1217"/>
      <c r="N151" s="1217">
        <f t="shared" ref="N151:O152" si="288">N152</f>
        <v>31590</v>
      </c>
      <c r="O151" s="1217">
        <f t="shared" si="288"/>
        <v>51125</v>
      </c>
      <c r="P151" s="1216"/>
      <c r="Q151" s="1216"/>
      <c r="R151" s="1216"/>
      <c r="S151" s="1217">
        <f t="shared" ref="S151:U152" si="289">S152</f>
        <v>50315</v>
      </c>
      <c r="T151" s="1217">
        <f t="shared" si="289"/>
        <v>26210</v>
      </c>
      <c r="U151" s="1217">
        <f t="shared" si="289"/>
        <v>61860</v>
      </c>
      <c r="V151" s="1216"/>
      <c r="W151" s="1216"/>
      <c r="X151" s="1216"/>
      <c r="Y151" s="1217">
        <f t="shared" ref="Y151:AA152" si="290">Y152</f>
        <v>110015</v>
      </c>
      <c r="Z151" s="1217">
        <f t="shared" si="290"/>
        <v>27710</v>
      </c>
      <c r="AA151" s="1217">
        <f t="shared" si="290"/>
        <v>38670</v>
      </c>
      <c r="AB151" s="1216"/>
      <c r="AC151" s="1216"/>
      <c r="AD151" s="1216"/>
      <c r="AE151" s="1217">
        <f t="shared" ref="AE151:AG152" si="291">AE152</f>
        <v>41580</v>
      </c>
      <c r="AF151" s="1217">
        <f t="shared" si="291"/>
        <v>37025</v>
      </c>
      <c r="AG151" s="1217">
        <f t="shared" si="291"/>
        <v>3560</v>
      </c>
      <c r="AH151" s="1217">
        <f>AH152</f>
        <v>479660</v>
      </c>
      <c r="AI151" s="1217">
        <f>AI152</f>
        <v>212730</v>
      </c>
      <c r="AJ151" s="1217"/>
      <c r="AK151" s="1217"/>
      <c r="AL151" s="1217">
        <f>AL152</f>
        <v>266930</v>
      </c>
      <c r="AM151" s="1217"/>
      <c r="AN151" s="1217"/>
      <c r="AO151" s="1218" t="s">
        <v>2384</v>
      </c>
      <c r="AP151" s="1218" t="s">
        <v>2385</v>
      </c>
      <c r="AQ151" s="1218"/>
    </row>
    <row r="152" spans="1:43" ht="30">
      <c r="A152" s="14" t="s">
        <v>287</v>
      </c>
      <c r="B152" s="14" t="s">
        <v>288</v>
      </c>
      <c r="C152" s="15"/>
      <c r="D152" s="14"/>
      <c r="E152" s="14"/>
      <c r="F152" s="14"/>
      <c r="G152" s="683">
        <f t="shared" si="270"/>
        <v>8.0729428066185012</v>
      </c>
      <c r="H152" s="683">
        <f>+G152</f>
        <v>8.0729428066185012</v>
      </c>
      <c r="I152" s="683"/>
      <c r="J152" s="684"/>
      <c r="K152" s="684"/>
      <c r="L152" s="684"/>
      <c r="M152" s="685"/>
      <c r="N152" s="685">
        <f t="shared" si="288"/>
        <v>31590</v>
      </c>
      <c r="O152" s="685">
        <f t="shared" si="288"/>
        <v>51125</v>
      </c>
      <c r="P152" s="684"/>
      <c r="Q152" s="684"/>
      <c r="R152" s="684"/>
      <c r="S152" s="685">
        <f t="shared" si="289"/>
        <v>50315</v>
      </c>
      <c r="T152" s="685">
        <f t="shared" si="289"/>
        <v>26210</v>
      </c>
      <c r="U152" s="685">
        <f t="shared" si="289"/>
        <v>61860</v>
      </c>
      <c r="V152" s="684"/>
      <c r="W152" s="684"/>
      <c r="X152" s="684"/>
      <c r="Y152" s="685">
        <f t="shared" si="290"/>
        <v>110015</v>
      </c>
      <c r="Z152" s="685">
        <f t="shared" si="290"/>
        <v>27710</v>
      </c>
      <c r="AA152" s="685">
        <f t="shared" si="290"/>
        <v>38670</v>
      </c>
      <c r="AB152" s="684"/>
      <c r="AC152" s="684"/>
      <c r="AD152" s="684"/>
      <c r="AE152" s="685">
        <f t="shared" si="291"/>
        <v>41580</v>
      </c>
      <c r="AF152" s="685">
        <f t="shared" si="291"/>
        <v>37025</v>
      </c>
      <c r="AG152" s="685">
        <f t="shared" si="291"/>
        <v>3560</v>
      </c>
      <c r="AH152" s="685">
        <f>AH153</f>
        <v>479660</v>
      </c>
      <c r="AI152" s="685">
        <f>AI153</f>
        <v>212730</v>
      </c>
      <c r="AJ152" s="685"/>
      <c r="AK152" s="685"/>
      <c r="AL152" s="685">
        <f>AL153</f>
        <v>266930</v>
      </c>
      <c r="AM152" s="685"/>
      <c r="AN152" s="685"/>
      <c r="AO152" s="1219" t="s">
        <v>2384</v>
      </c>
      <c r="AP152" s="1219" t="s">
        <v>2385</v>
      </c>
      <c r="AQ152" s="1219"/>
    </row>
    <row r="153" spans="1:43" ht="45">
      <c r="A153" s="18" t="s">
        <v>2813</v>
      </c>
      <c r="B153" s="18" t="s">
        <v>648</v>
      </c>
      <c r="C153" s="642"/>
      <c r="D153" s="554" t="s">
        <v>445</v>
      </c>
      <c r="E153" s="18" t="s">
        <v>700</v>
      </c>
      <c r="F153" s="18" t="s">
        <v>447</v>
      </c>
      <c r="G153" s="804">
        <f t="shared" si="270"/>
        <v>8.0729428066185012</v>
      </c>
      <c r="H153" s="804"/>
      <c r="I153" s="804"/>
      <c r="J153" s="805"/>
      <c r="K153" s="805"/>
      <c r="L153" s="805"/>
      <c r="M153" s="806"/>
      <c r="N153" s="806">
        <f t="shared" ref="N153:O153" si="292">SUM(N154:N177)</f>
        <v>31590</v>
      </c>
      <c r="O153" s="806">
        <f t="shared" si="292"/>
        <v>51125</v>
      </c>
      <c r="P153" s="805"/>
      <c r="Q153" s="805"/>
      <c r="R153" s="805"/>
      <c r="S153" s="806">
        <f t="shared" ref="S153:U153" si="293">SUM(S154:S177)</f>
        <v>50315</v>
      </c>
      <c r="T153" s="806">
        <f t="shared" si="293"/>
        <v>26210</v>
      </c>
      <c r="U153" s="806">
        <f t="shared" si="293"/>
        <v>61860</v>
      </c>
      <c r="V153" s="805"/>
      <c r="W153" s="805"/>
      <c r="X153" s="805"/>
      <c r="Y153" s="806">
        <f t="shared" ref="Y153:AA153" si="294">SUM(Y154:Y177)</f>
        <v>110015</v>
      </c>
      <c r="Z153" s="806">
        <f t="shared" si="294"/>
        <v>27710</v>
      </c>
      <c r="AA153" s="806">
        <f t="shared" si="294"/>
        <v>38670</v>
      </c>
      <c r="AB153" s="805"/>
      <c r="AC153" s="805"/>
      <c r="AD153" s="805"/>
      <c r="AE153" s="806">
        <f t="shared" ref="AE153:AG153" si="295">SUM(AE154:AE177)</f>
        <v>41580</v>
      </c>
      <c r="AF153" s="806">
        <f t="shared" si="295"/>
        <v>37025</v>
      </c>
      <c r="AG153" s="806">
        <f t="shared" si="295"/>
        <v>3560</v>
      </c>
      <c r="AH153" s="806">
        <f>SUM(AH154:AH177)</f>
        <v>479660</v>
      </c>
      <c r="AI153" s="806">
        <f>SUM(AI154:AI177)</f>
        <v>212730</v>
      </c>
      <c r="AJ153" s="806"/>
      <c r="AK153" s="806"/>
      <c r="AL153" s="806">
        <f>SUM(AL154:AL177)</f>
        <v>266930</v>
      </c>
      <c r="AM153" s="806"/>
      <c r="AN153" s="806"/>
      <c r="AO153" s="1073" t="s">
        <v>2384</v>
      </c>
      <c r="AP153" s="1073" t="s">
        <v>2385</v>
      </c>
      <c r="AQ153" s="1073"/>
    </row>
    <row r="154" spans="1:43" ht="30">
      <c r="A154" s="1228" t="s">
        <v>2814</v>
      </c>
      <c r="B154" s="1229" t="s">
        <v>2815</v>
      </c>
      <c r="C154" s="1220">
        <f>MAX(J154,K154,L154,P154,Q154,R154,V154,W154,X154,AB154,AC154,AD154)</f>
        <v>3</v>
      </c>
      <c r="D154" s="1221" t="s">
        <v>419</v>
      </c>
      <c r="E154" s="1229" t="s">
        <v>2816</v>
      </c>
      <c r="F154" s="1229" t="s">
        <v>2817</v>
      </c>
      <c r="G154" s="824">
        <f t="shared" si="270"/>
        <v>0.11848708951881384</v>
      </c>
      <c r="H154" s="824"/>
      <c r="I154" s="824">
        <f>+AH154/AH$153*100</f>
        <v>1.4677062919568027</v>
      </c>
      <c r="J154" s="1222"/>
      <c r="K154" s="1222"/>
      <c r="L154" s="1222">
        <v>2</v>
      </c>
      <c r="M154" s="1223"/>
      <c r="N154" s="1223"/>
      <c r="O154" s="1223">
        <f>L154*350</f>
        <v>700</v>
      </c>
      <c r="P154" s="1222">
        <v>3</v>
      </c>
      <c r="Q154" s="1222">
        <v>2</v>
      </c>
      <c r="R154" s="1222">
        <v>2</v>
      </c>
      <c r="S154" s="1223">
        <f t="shared" ref="S154:U154" si="296">P154*350</f>
        <v>1050</v>
      </c>
      <c r="T154" s="1223">
        <f t="shared" si="296"/>
        <v>700</v>
      </c>
      <c r="U154" s="1223">
        <f t="shared" si="296"/>
        <v>700</v>
      </c>
      <c r="V154" s="1222">
        <v>2</v>
      </c>
      <c r="W154" s="1222">
        <v>3</v>
      </c>
      <c r="X154" s="1222">
        <v>2</v>
      </c>
      <c r="Y154" s="1223">
        <f t="shared" ref="Y154:AA154" si="297">V154*350</f>
        <v>700</v>
      </c>
      <c r="Z154" s="1223">
        <f t="shared" si="297"/>
        <v>1050</v>
      </c>
      <c r="AA154" s="1223">
        <f t="shared" si="297"/>
        <v>700</v>
      </c>
      <c r="AB154" s="1222">
        <v>2</v>
      </c>
      <c r="AC154" s="1222"/>
      <c r="AD154" s="1222">
        <v>2</v>
      </c>
      <c r="AE154" s="1223">
        <f>AB154*350+20</f>
        <v>720</v>
      </c>
      <c r="AF154" s="1223"/>
      <c r="AG154" s="1223">
        <f>AD154*350+20</f>
        <v>720</v>
      </c>
      <c r="AH154" s="1223">
        <f t="shared" ref="AH154:AH177" si="298">M154+N154+O154+S154+T154+U154+Y154+Z154+AA154+AE154+AF154+AG154</f>
        <v>7040</v>
      </c>
      <c r="AI154" s="1223">
        <v>3410</v>
      </c>
      <c r="AJ154" s="1223"/>
      <c r="AK154" s="1223"/>
      <c r="AL154" s="1223">
        <v>3630</v>
      </c>
      <c r="AM154" s="1223"/>
      <c r="AN154" s="1223"/>
      <c r="AO154" s="1066" t="s">
        <v>2384</v>
      </c>
      <c r="AP154" s="1066" t="s">
        <v>2396</v>
      </c>
      <c r="AQ154" s="1066" t="s">
        <v>2818</v>
      </c>
    </row>
    <row r="155" spans="1:43" ht="30">
      <c r="A155" s="1228" t="s">
        <v>2819</v>
      </c>
      <c r="B155" s="1229" t="s">
        <v>2815</v>
      </c>
      <c r="C155" s="1220">
        <f>MAX(J155,K155,L155,P155,Q155,R155,V155,W155,X155,AB155,AC155,AD155)</f>
        <v>5</v>
      </c>
      <c r="D155" s="1221" t="s">
        <v>2820</v>
      </c>
      <c r="E155" s="1229" t="s">
        <v>2816</v>
      </c>
      <c r="F155" s="1229" t="s">
        <v>2817</v>
      </c>
      <c r="G155" s="824">
        <f t="shared" si="270"/>
        <v>0.23714248456251238</v>
      </c>
      <c r="H155" s="824"/>
      <c r="I155" s="824">
        <f t="shared" ref="I155:I176" si="299">+AH155/AH$153*100</f>
        <v>2.9374973939874076</v>
      </c>
      <c r="J155" s="1222"/>
      <c r="K155" s="1222"/>
      <c r="L155" s="1222">
        <v>3</v>
      </c>
      <c r="M155" s="1223"/>
      <c r="N155" s="1223"/>
      <c r="O155" s="1223">
        <f>L155*465</f>
        <v>1395</v>
      </c>
      <c r="P155" s="1222">
        <v>4</v>
      </c>
      <c r="Q155" s="1222">
        <v>3</v>
      </c>
      <c r="R155" s="1222">
        <v>3</v>
      </c>
      <c r="S155" s="1223">
        <f t="shared" ref="S155:U155" si="300">P155*465</f>
        <v>1860</v>
      </c>
      <c r="T155" s="1223">
        <f t="shared" si="300"/>
        <v>1395</v>
      </c>
      <c r="U155" s="1223">
        <f t="shared" si="300"/>
        <v>1395</v>
      </c>
      <c r="V155" s="1222">
        <v>3</v>
      </c>
      <c r="W155" s="1222">
        <v>5</v>
      </c>
      <c r="X155" s="1222">
        <v>3</v>
      </c>
      <c r="Y155" s="1223">
        <f t="shared" ref="Y155:AA155" si="301">V155*465</f>
        <v>1395</v>
      </c>
      <c r="Z155" s="1223">
        <f t="shared" si="301"/>
        <v>2325</v>
      </c>
      <c r="AA155" s="1223">
        <f t="shared" si="301"/>
        <v>1395</v>
      </c>
      <c r="AB155" s="1222">
        <v>3</v>
      </c>
      <c r="AC155" s="1222"/>
      <c r="AD155" s="1222">
        <v>3</v>
      </c>
      <c r="AE155" s="1223">
        <f>AB155*465+70</f>
        <v>1465</v>
      </c>
      <c r="AF155" s="1223"/>
      <c r="AG155" s="1223">
        <f>AD155*465+70</f>
        <v>1465</v>
      </c>
      <c r="AH155" s="1223">
        <f t="shared" si="298"/>
        <v>14090</v>
      </c>
      <c r="AI155" s="1223">
        <v>10460</v>
      </c>
      <c r="AJ155" s="1223"/>
      <c r="AK155" s="1223"/>
      <c r="AL155" s="1223">
        <v>3630</v>
      </c>
      <c r="AM155" s="1223"/>
      <c r="AN155" s="1223"/>
      <c r="AO155" s="1066" t="s">
        <v>2384</v>
      </c>
      <c r="AP155" s="1066" t="s">
        <v>2396</v>
      </c>
      <c r="AQ155" s="1066" t="s">
        <v>2818</v>
      </c>
    </row>
    <row r="156" spans="1:43" ht="45">
      <c r="A156" s="1228" t="s">
        <v>2821</v>
      </c>
      <c r="B156" s="1229" t="s">
        <v>2815</v>
      </c>
      <c r="C156" s="1220">
        <f t="shared" ref="C156:C177" si="302">+J156+K156+L156+P156+Q156+R156+V156+W156+X156+AB156+AC156+AD156</f>
        <v>60</v>
      </c>
      <c r="D156" s="1221" t="s">
        <v>1950</v>
      </c>
      <c r="E156" s="1229" t="s">
        <v>2816</v>
      </c>
      <c r="F156" s="1229" t="s">
        <v>2817</v>
      </c>
      <c r="G156" s="824">
        <f t="shared" si="270"/>
        <v>0.2777041160597199</v>
      </c>
      <c r="H156" s="824"/>
      <c r="I156" s="824">
        <f t="shared" si="299"/>
        <v>3.4399366217737564</v>
      </c>
      <c r="J156" s="1222"/>
      <c r="K156" s="1222">
        <v>5</v>
      </c>
      <c r="L156" s="1222">
        <v>5</v>
      </c>
      <c r="M156" s="1223"/>
      <c r="N156" s="1223">
        <f>K156*275</f>
        <v>1375</v>
      </c>
      <c r="O156" s="1223">
        <f>L156*275</f>
        <v>1375</v>
      </c>
      <c r="P156" s="1222">
        <v>7</v>
      </c>
      <c r="Q156" s="1222">
        <v>5</v>
      </c>
      <c r="R156" s="1222">
        <v>5</v>
      </c>
      <c r="S156" s="1223">
        <f t="shared" ref="S156:U156" si="303">P156*275</f>
        <v>1925</v>
      </c>
      <c r="T156" s="1223">
        <f t="shared" si="303"/>
        <v>1375</v>
      </c>
      <c r="U156" s="1223">
        <f t="shared" si="303"/>
        <v>1375</v>
      </c>
      <c r="V156" s="1222">
        <v>5</v>
      </c>
      <c r="W156" s="1222">
        <v>8</v>
      </c>
      <c r="X156" s="1222">
        <v>5</v>
      </c>
      <c r="Y156" s="1223">
        <f t="shared" ref="Y156:AA156" si="304">V156*275</f>
        <v>1375</v>
      </c>
      <c r="Z156" s="1223">
        <f t="shared" si="304"/>
        <v>2200</v>
      </c>
      <c r="AA156" s="1223">
        <f t="shared" si="304"/>
        <v>1375</v>
      </c>
      <c r="AB156" s="1222">
        <v>5</v>
      </c>
      <c r="AC156" s="1222">
        <v>5</v>
      </c>
      <c r="AD156" s="1222">
        <v>5</v>
      </c>
      <c r="AE156" s="1223">
        <f t="shared" ref="AE156:AG156" si="305">AB156*275</f>
        <v>1375</v>
      </c>
      <c r="AF156" s="1223">
        <f t="shared" si="305"/>
        <v>1375</v>
      </c>
      <c r="AG156" s="1223">
        <f t="shared" si="305"/>
        <v>1375</v>
      </c>
      <c r="AH156" s="1223">
        <f t="shared" si="298"/>
        <v>16500</v>
      </c>
      <c r="AI156" s="1223">
        <v>5375</v>
      </c>
      <c r="AJ156" s="1223"/>
      <c r="AK156" s="1223"/>
      <c r="AL156" s="1223">
        <v>11125</v>
      </c>
      <c r="AM156" s="1223"/>
      <c r="AN156" s="1223"/>
      <c r="AO156" s="1066" t="s">
        <v>2384</v>
      </c>
      <c r="AP156" s="1066" t="s">
        <v>2396</v>
      </c>
      <c r="AQ156" s="1066" t="s">
        <v>2822</v>
      </c>
    </row>
    <row r="157" spans="1:43" ht="30">
      <c r="A157" s="1228" t="s">
        <v>2823</v>
      </c>
      <c r="B157" s="1229" t="s">
        <v>2824</v>
      </c>
      <c r="C157" s="1220">
        <f>MAX(J157,K157,L157,P157,Q157,R157,V157,W157,X157,AB157,AC157,AD157)</f>
        <v>242</v>
      </c>
      <c r="D157" s="1221" t="s">
        <v>419</v>
      </c>
      <c r="E157" s="1229" t="s">
        <v>2825</v>
      </c>
      <c r="F157" s="1229" t="s">
        <v>2826</v>
      </c>
      <c r="G157" s="824">
        <f t="shared" si="270"/>
        <v>0.18673497985955106</v>
      </c>
      <c r="H157" s="824"/>
      <c r="I157" s="824">
        <f t="shared" si="299"/>
        <v>2.3130967768836257</v>
      </c>
      <c r="J157" s="1222"/>
      <c r="K157" s="1222">
        <v>242</v>
      </c>
      <c r="L157" s="1222">
        <v>206</v>
      </c>
      <c r="M157" s="1223"/>
      <c r="N157" s="1223">
        <v>1175</v>
      </c>
      <c r="O157" s="1223">
        <v>1175</v>
      </c>
      <c r="P157" s="1222">
        <v>182</v>
      </c>
      <c r="Q157" s="1222">
        <v>232</v>
      </c>
      <c r="R157" s="1222">
        <v>224</v>
      </c>
      <c r="S157" s="1223">
        <v>840</v>
      </c>
      <c r="T157" s="1223">
        <v>1175</v>
      </c>
      <c r="U157" s="1223">
        <v>1175</v>
      </c>
      <c r="V157" s="1222">
        <v>228</v>
      </c>
      <c r="W157" s="1222">
        <v>140</v>
      </c>
      <c r="X157" s="1222">
        <v>127</v>
      </c>
      <c r="Y157" s="1223">
        <v>1175</v>
      </c>
      <c r="Z157" s="1223">
        <v>840</v>
      </c>
      <c r="AA157" s="1223">
        <v>1175</v>
      </c>
      <c r="AB157" s="1222">
        <v>147</v>
      </c>
      <c r="AC157" s="1222">
        <v>224</v>
      </c>
      <c r="AD157" s="1222"/>
      <c r="AE157" s="1223">
        <v>1175</v>
      </c>
      <c r="AF157" s="1223">
        <v>1190</v>
      </c>
      <c r="AG157" s="1223"/>
      <c r="AH157" s="1223">
        <f t="shared" si="298"/>
        <v>11095</v>
      </c>
      <c r="AI157" s="1223">
        <v>5375</v>
      </c>
      <c r="AJ157" s="1223"/>
      <c r="AK157" s="1223"/>
      <c r="AL157" s="1223">
        <v>5720</v>
      </c>
      <c r="AM157" s="1223"/>
      <c r="AN157" s="1223"/>
      <c r="AO157" s="1066" t="s">
        <v>2384</v>
      </c>
      <c r="AP157" s="1066" t="s">
        <v>2528</v>
      </c>
      <c r="AQ157" s="1066" t="s">
        <v>2818</v>
      </c>
    </row>
    <row r="158" spans="1:43" ht="30">
      <c r="A158" s="1228" t="s">
        <v>2827</v>
      </c>
      <c r="B158" s="1229" t="s">
        <v>2824</v>
      </c>
      <c r="C158" s="1220">
        <f>MAX(J158,K158,L158,P158,Q158,R158,V158,W158,X158,AB158,AC158,AD158)</f>
        <v>21</v>
      </c>
      <c r="D158" s="1221" t="s">
        <v>2820</v>
      </c>
      <c r="E158" s="1229" t="s">
        <v>2825</v>
      </c>
      <c r="F158" s="1229" t="s">
        <v>2826</v>
      </c>
      <c r="G158" s="824">
        <f t="shared" si="270"/>
        <v>0.33846241054308895</v>
      </c>
      <c r="H158" s="824"/>
      <c r="I158" s="824">
        <f t="shared" si="299"/>
        <v>4.1925530584163786</v>
      </c>
      <c r="J158" s="1222"/>
      <c r="K158" s="1222">
        <v>19</v>
      </c>
      <c r="L158" s="1222">
        <v>19</v>
      </c>
      <c r="M158" s="1223"/>
      <c r="N158" s="1223">
        <f>K158*115</f>
        <v>2185</v>
      </c>
      <c r="O158" s="1223">
        <f>L158*115</f>
        <v>2185</v>
      </c>
      <c r="P158" s="1222">
        <v>17</v>
      </c>
      <c r="Q158" s="1222">
        <v>17</v>
      </c>
      <c r="R158" s="1222">
        <v>17</v>
      </c>
      <c r="S158" s="1223">
        <f t="shared" ref="S158:U158" si="306">P158*120</f>
        <v>2040</v>
      </c>
      <c r="T158" s="1223">
        <f t="shared" si="306"/>
        <v>2040</v>
      </c>
      <c r="U158" s="1223">
        <f t="shared" si="306"/>
        <v>2040</v>
      </c>
      <c r="V158" s="1222">
        <v>21</v>
      </c>
      <c r="W158" s="1222">
        <v>16</v>
      </c>
      <c r="X158" s="1222">
        <v>13</v>
      </c>
      <c r="Y158" s="1223">
        <f t="shared" ref="Y158:AA158" si="307">V158*120</f>
        <v>2520</v>
      </c>
      <c r="Z158" s="1223">
        <f t="shared" si="307"/>
        <v>1920</v>
      </c>
      <c r="AA158" s="1223">
        <f t="shared" si="307"/>
        <v>1560</v>
      </c>
      <c r="AB158" s="1222">
        <v>14</v>
      </c>
      <c r="AC158" s="1222">
        <v>16</v>
      </c>
      <c r="AD158" s="1222"/>
      <c r="AE158" s="1223">
        <f>AB158*120</f>
        <v>1680</v>
      </c>
      <c r="AF158" s="1223">
        <f>AC158*120+20</f>
        <v>1940</v>
      </c>
      <c r="AG158" s="1223"/>
      <c r="AH158" s="1223">
        <f t="shared" si="298"/>
        <v>20110</v>
      </c>
      <c r="AI158" s="1223">
        <v>14390</v>
      </c>
      <c r="AJ158" s="1223"/>
      <c r="AK158" s="1223"/>
      <c r="AL158" s="1223">
        <v>5720</v>
      </c>
      <c r="AM158" s="1223"/>
      <c r="AN158" s="1223"/>
      <c r="AO158" s="1066" t="s">
        <v>2384</v>
      </c>
      <c r="AP158" s="1066" t="s">
        <v>2528</v>
      </c>
      <c r="AQ158" s="1066" t="s">
        <v>2818</v>
      </c>
    </row>
    <row r="159" spans="1:43" ht="30">
      <c r="A159" s="1228" t="s">
        <v>2828</v>
      </c>
      <c r="B159" s="1229" t="s">
        <v>2824</v>
      </c>
      <c r="C159" s="1220">
        <f t="shared" si="302"/>
        <v>2084</v>
      </c>
      <c r="D159" s="1221" t="s">
        <v>1950</v>
      </c>
      <c r="E159" s="1229" t="s">
        <v>2825</v>
      </c>
      <c r="F159" s="1229" t="s">
        <v>2826</v>
      </c>
      <c r="G159" s="824">
        <f t="shared" si="270"/>
        <v>0.31498378982167624</v>
      </c>
      <c r="H159" s="824"/>
      <c r="I159" s="824">
        <f t="shared" si="299"/>
        <v>3.9017220531209609</v>
      </c>
      <c r="J159" s="1222"/>
      <c r="K159" s="1222">
        <v>263</v>
      </c>
      <c r="L159" s="1222">
        <v>225</v>
      </c>
      <c r="M159" s="1223"/>
      <c r="N159" s="1223">
        <v>2340</v>
      </c>
      <c r="O159" s="1223">
        <v>2000</v>
      </c>
      <c r="P159" s="1222">
        <v>199</v>
      </c>
      <c r="Q159" s="1222">
        <v>249</v>
      </c>
      <c r="R159" s="1222">
        <v>241</v>
      </c>
      <c r="S159" s="1223">
        <v>1770</v>
      </c>
      <c r="T159" s="1223">
        <v>2215</v>
      </c>
      <c r="U159" s="1223">
        <v>2145</v>
      </c>
      <c r="V159" s="1222">
        <v>249</v>
      </c>
      <c r="W159" s="1222">
        <v>156</v>
      </c>
      <c r="X159" s="1222">
        <v>140</v>
      </c>
      <c r="Y159" s="1223">
        <v>2215</v>
      </c>
      <c r="Z159" s="1223">
        <v>1390</v>
      </c>
      <c r="AA159" s="1223">
        <v>1245</v>
      </c>
      <c r="AB159" s="1222">
        <v>162</v>
      </c>
      <c r="AC159" s="1222">
        <v>200</v>
      </c>
      <c r="AD159" s="1222"/>
      <c r="AE159" s="1223">
        <f>1440+85</f>
        <v>1525</v>
      </c>
      <c r="AF159" s="1223">
        <f>1780+90</f>
        <v>1870</v>
      </c>
      <c r="AG159" s="1223"/>
      <c r="AH159" s="1223">
        <f t="shared" si="298"/>
        <v>18715</v>
      </c>
      <c r="AI159" s="1223">
        <v>3410</v>
      </c>
      <c r="AJ159" s="1223"/>
      <c r="AK159" s="1223"/>
      <c r="AL159" s="1223">
        <v>15305</v>
      </c>
      <c r="AM159" s="1223"/>
      <c r="AN159" s="1223"/>
      <c r="AO159" s="1066" t="s">
        <v>2384</v>
      </c>
      <c r="AP159" s="1066" t="s">
        <v>2528</v>
      </c>
      <c r="AQ159" s="1066"/>
    </row>
    <row r="160" spans="1:43" ht="30">
      <c r="A160" s="1228" t="s">
        <v>2829</v>
      </c>
      <c r="B160" s="1229" t="s">
        <v>2830</v>
      </c>
      <c r="C160" s="1220">
        <f>MAX(J160,K160,L160,P160,Q160,R160,V160,W160,X160,AB160,AC160,AD160)</f>
        <v>16</v>
      </c>
      <c r="D160" s="1221" t="s">
        <v>419</v>
      </c>
      <c r="E160" s="1229" t="s">
        <v>2831</v>
      </c>
      <c r="F160" s="1229" t="s">
        <v>2826</v>
      </c>
      <c r="G160" s="824">
        <f t="shared" si="270"/>
        <v>0.11848708951881384</v>
      </c>
      <c r="H160" s="824"/>
      <c r="I160" s="824">
        <f t="shared" si="299"/>
        <v>1.4677062919568027</v>
      </c>
      <c r="J160" s="1222"/>
      <c r="K160" s="1222">
        <v>8</v>
      </c>
      <c r="L160" s="1222">
        <v>6</v>
      </c>
      <c r="M160" s="1223"/>
      <c r="N160" s="1223">
        <v>780</v>
      </c>
      <c r="O160" s="1223">
        <v>780</v>
      </c>
      <c r="P160" s="1222">
        <v>4</v>
      </c>
      <c r="Q160" s="1222">
        <v>9</v>
      </c>
      <c r="R160" s="1222">
        <v>8</v>
      </c>
      <c r="S160" s="1223">
        <v>390</v>
      </c>
      <c r="T160" s="1223">
        <v>780</v>
      </c>
      <c r="U160" s="1223">
        <v>780</v>
      </c>
      <c r="V160" s="1222">
        <v>6</v>
      </c>
      <c r="W160" s="1222">
        <v>5</v>
      </c>
      <c r="X160" s="1222">
        <v>4</v>
      </c>
      <c r="Y160" s="1223">
        <v>780</v>
      </c>
      <c r="Z160" s="1223">
        <v>390</v>
      </c>
      <c r="AA160" s="1223">
        <v>780</v>
      </c>
      <c r="AB160" s="1222">
        <v>5</v>
      </c>
      <c r="AC160" s="1222">
        <v>16</v>
      </c>
      <c r="AD160" s="1222"/>
      <c r="AE160" s="1223">
        <v>780</v>
      </c>
      <c r="AF160" s="1223">
        <v>800</v>
      </c>
      <c r="AG160" s="1223"/>
      <c r="AH160" s="1223">
        <f t="shared" si="298"/>
        <v>7040</v>
      </c>
      <c r="AI160" s="1223">
        <v>3410</v>
      </c>
      <c r="AJ160" s="1223"/>
      <c r="AK160" s="1223"/>
      <c r="AL160" s="1223">
        <v>3630</v>
      </c>
      <c r="AM160" s="1223"/>
      <c r="AN160" s="1223"/>
      <c r="AO160" s="1066" t="s">
        <v>2384</v>
      </c>
      <c r="AP160" s="1066" t="s">
        <v>2528</v>
      </c>
      <c r="AQ160" s="1066" t="s">
        <v>2818</v>
      </c>
    </row>
    <row r="161" spans="1:43" ht="30">
      <c r="A161" s="1228" t="s">
        <v>2832</v>
      </c>
      <c r="B161" s="1229" t="s">
        <v>2830</v>
      </c>
      <c r="C161" s="1220">
        <f>MAX(J161,K161,L161,P161,Q161,R161,V161,W161,X161,AB161,AC161,AD161)</f>
        <v>88</v>
      </c>
      <c r="D161" s="1221" t="s">
        <v>2820</v>
      </c>
      <c r="E161" s="1229" t="s">
        <v>2831</v>
      </c>
      <c r="F161" s="1229" t="s">
        <v>2826</v>
      </c>
      <c r="G161" s="824">
        <f t="shared" si="270"/>
        <v>0.23714248456251238</v>
      </c>
      <c r="H161" s="824"/>
      <c r="I161" s="824">
        <f t="shared" si="299"/>
        <v>2.9374973939874076</v>
      </c>
      <c r="J161" s="1222"/>
      <c r="K161" s="1222">
        <v>43</v>
      </c>
      <c r="L161" s="1222">
        <v>48</v>
      </c>
      <c r="M161" s="1223"/>
      <c r="N161" s="1223">
        <f>K161*35</f>
        <v>1505</v>
      </c>
      <c r="O161" s="1223">
        <f>L161*35</f>
        <v>1680</v>
      </c>
      <c r="P161" s="1222">
        <v>20</v>
      </c>
      <c r="Q161" s="1222">
        <v>49</v>
      </c>
      <c r="R161" s="1222">
        <v>46</v>
      </c>
      <c r="S161" s="1223">
        <f t="shared" ref="S161:U161" si="308">P161*35</f>
        <v>700</v>
      </c>
      <c r="T161" s="1223">
        <f t="shared" si="308"/>
        <v>1715</v>
      </c>
      <c r="U161" s="1223">
        <f t="shared" si="308"/>
        <v>1610</v>
      </c>
      <c r="V161" s="1222">
        <v>31</v>
      </c>
      <c r="W161" s="1222">
        <v>20</v>
      </c>
      <c r="X161" s="1222">
        <v>20</v>
      </c>
      <c r="Y161" s="1223">
        <f>V161*35</f>
        <v>1085</v>
      </c>
      <c r="Z161" s="1223">
        <f>W161*40</f>
        <v>800</v>
      </c>
      <c r="AA161" s="1223">
        <f>X161*40</f>
        <v>800</v>
      </c>
      <c r="AB161" s="1222">
        <v>26</v>
      </c>
      <c r="AC161" s="1222">
        <v>88</v>
      </c>
      <c r="AD161" s="1222"/>
      <c r="AE161" s="1223">
        <f>AB161*40</f>
        <v>1040</v>
      </c>
      <c r="AF161" s="1223">
        <f>AC161*35+75</f>
        <v>3155</v>
      </c>
      <c r="AG161" s="1223"/>
      <c r="AH161" s="1223">
        <f t="shared" si="298"/>
        <v>14090</v>
      </c>
      <c r="AI161" s="1223">
        <v>10460</v>
      </c>
      <c r="AJ161" s="1223"/>
      <c r="AK161" s="1223"/>
      <c r="AL161" s="1223">
        <v>3630</v>
      </c>
      <c r="AM161" s="1223"/>
      <c r="AN161" s="1223"/>
      <c r="AO161" s="1066" t="s">
        <v>2384</v>
      </c>
      <c r="AP161" s="1066" t="s">
        <v>2528</v>
      </c>
      <c r="AQ161" s="1066" t="s">
        <v>2818</v>
      </c>
    </row>
    <row r="162" spans="1:43" ht="30">
      <c r="A162" s="1228" t="s">
        <v>2833</v>
      </c>
      <c r="B162" s="1229" t="s">
        <v>2830</v>
      </c>
      <c r="C162" s="1220">
        <f t="shared" si="302"/>
        <v>390</v>
      </c>
      <c r="D162" s="1221" t="s">
        <v>1950</v>
      </c>
      <c r="E162" s="1229" t="s">
        <v>2831</v>
      </c>
      <c r="F162" s="1229" t="s">
        <v>2826</v>
      </c>
      <c r="G162" s="824">
        <f t="shared" si="270"/>
        <v>0.24463208041988058</v>
      </c>
      <c r="H162" s="824"/>
      <c r="I162" s="824">
        <f t="shared" si="299"/>
        <v>3.0302714422716091</v>
      </c>
      <c r="J162" s="1222"/>
      <c r="K162" s="1222">
        <v>52</v>
      </c>
      <c r="L162" s="1222">
        <v>55</v>
      </c>
      <c r="M162" s="1223"/>
      <c r="N162" s="1223">
        <v>1925</v>
      </c>
      <c r="O162" s="1223">
        <v>2035</v>
      </c>
      <c r="P162" s="1222">
        <v>24</v>
      </c>
      <c r="Q162" s="1222">
        <v>58</v>
      </c>
      <c r="R162" s="1222">
        <v>54</v>
      </c>
      <c r="S162" s="1223">
        <v>890</v>
      </c>
      <c r="T162" s="1223">
        <v>2145</v>
      </c>
      <c r="U162" s="1223">
        <v>2000</v>
      </c>
      <c r="V162" s="1222">
        <v>37</v>
      </c>
      <c r="W162" s="1222">
        <v>25</v>
      </c>
      <c r="X162" s="1222">
        <v>24</v>
      </c>
      <c r="Y162" s="1223">
        <v>1365</v>
      </c>
      <c r="Z162" s="1223">
        <v>925</v>
      </c>
      <c r="AA162" s="1223">
        <v>890</v>
      </c>
      <c r="AB162" s="1222">
        <v>31</v>
      </c>
      <c r="AC162" s="1222">
        <v>30</v>
      </c>
      <c r="AD162" s="1222"/>
      <c r="AE162" s="1223">
        <f>1145+50</f>
        <v>1195</v>
      </c>
      <c r="AF162" s="1223">
        <f>1110+55</f>
        <v>1165</v>
      </c>
      <c r="AG162" s="1223"/>
      <c r="AH162" s="1223">
        <f t="shared" si="298"/>
        <v>14535</v>
      </c>
      <c r="AI162" s="1223">
        <v>3410</v>
      </c>
      <c r="AJ162" s="1223"/>
      <c r="AK162" s="1223"/>
      <c r="AL162" s="1223">
        <v>11125</v>
      </c>
      <c r="AM162" s="1223"/>
      <c r="AN162" s="1223"/>
      <c r="AO162" s="1066" t="s">
        <v>2384</v>
      </c>
      <c r="AP162" s="1066" t="s">
        <v>2528</v>
      </c>
      <c r="AQ162" s="1066"/>
    </row>
    <row r="163" spans="1:43" ht="30">
      <c r="A163" s="1228" t="s">
        <v>2834</v>
      </c>
      <c r="B163" s="1229" t="s">
        <v>2835</v>
      </c>
      <c r="C163" s="1220">
        <f>MAX(J163,K163,L163,P163,Q163,R163,V163,W163,X163,AB163,AC163,AD163)</f>
        <v>4</v>
      </c>
      <c r="D163" s="1221" t="s">
        <v>419</v>
      </c>
      <c r="E163" s="1229" t="s">
        <v>2836</v>
      </c>
      <c r="F163" s="1229" t="s">
        <v>2826</v>
      </c>
      <c r="G163" s="824">
        <f t="shared" si="270"/>
        <v>0.11848708951881384</v>
      </c>
      <c r="H163" s="824"/>
      <c r="I163" s="824">
        <f t="shared" si="299"/>
        <v>1.4677062919568027</v>
      </c>
      <c r="J163" s="1222"/>
      <c r="K163" s="1222">
        <v>2</v>
      </c>
      <c r="L163" s="1222">
        <v>3</v>
      </c>
      <c r="M163" s="1223"/>
      <c r="N163" s="1223">
        <f>K163*415</f>
        <v>830</v>
      </c>
      <c r="O163" s="1223">
        <f>L163*415</f>
        <v>1245</v>
      </c>
      <c r="P163" s="1222">
        <v>2</v>
      </c>
      <c r="Q163" s="1222">
        <v>1</v>
      </c>
      <c r="R163" s="1222">
        <v>2</v>
      </c>
      <c r="S163" s="1223">
        <f t="shared" ref="S163:U163" si="309">P163*415</f>
        <v>830</v>
      </c>
      <c r="T163" s="1223">
        <f t="shared" si="309"/>
        <v>415</v>
      </c>
      <c r="U163" s="1223">
        <f t="shared" si="309"/>
        <v>830</v>
      </c>
      <c r="V163" s="1222">
        <v>1</v>
      </c>
      <c r="W163" s="1222">
        <v>1</v>
      </c>
      <c r="X163" s="1222"/>
      <c r="Y163" s="1223">
        <f t="shared" ref="Y163:Z163" si="310">V163*415</f>
        <v>415</v>
      </c>
      <c r="Z163" s="1223">
        <f t="shared" si="310"/>
        <v>415</v>
      </c>
      <c r="AA163" s="1223"/>
      <c r="AB163" s="1222">
        <v>1</v>
      </c>
      <c r="AC163" s="1222">
        <v>4</v>
      </c>
      <c r="AD163" s="1222"/>
      <c r="AE163" s="1223">
        <f t="shared" ref="AE163" si="311">AB163*415</f>
        <v>415</v>
      </c>
      <c r="AF163" s="1223">
        <f>AC163*415-15</f>
        <v>1645</v>
      </c>
      <c r="AG163" s="1223"/>
      <c r="AH163" s="1223">
        <f t="shared" si="298"/>
        <v>7040</v>
      </c>
      <c r="AI163" s="1223">
        <v>3410</v>
      </c>
      <c r="AJ163" s="1223"/>
      <c r="AK163" s="1223"/>
      <c r="AL163" s="1223">
        <v>3630</v>
      </c>
      <c r="AM163" s="1223"/>
      <c r="AN163" s="1223"/>
      <c r="AO163" s="1066" t="s">
        <v>2384</v>
      </c>
      <c r="AP163" s="1066" t="s">
        <v>2528</v>
      </c>
      <c r="AQ163" s="1066" t="s">
        <v>2818</v>
      </c>
    </row>
    <row r="164" spans="1:43" ht="30">
      <c r="A164" s="1228" t="s">
        <v>2837</v>
      </c>
      <c r="B164" s="1229" t="s">
        <v>2835</v>
      </c>
      <c r="C164" s="1220">
        <f>MAX(J164,K164,L164,P164,Q164,R164,V164,W164,X164,AB164,AC164,AD164)</f>
        <v>20</v>
      </c>
      <c r="D164" s="1221" t="s">
        <v>2820</v>
      </c>
      <c r="E164" s="1229" t="s">
        <v>2836</v>
      </c>
      <c r="F164" s="1229" t="s">
        <v>2826</v>
      </c>
      <c r="G164" s="824">
        <f t="shared" si="270"/>
        <v>0.14911869504782538</v>
      </c>
      <c r="H164" s="824"/>
      <c r="I164" s="824">
        <f t="shared" si="299"/>
        <v>1.8471417253888172</v>
      </c>
      <c r="J164" s="1222"/>
      <c r="K164" s="1222">
        <v>8</v>
      </c>
      <c r="L164" s="1222">
        <v>12</v>
      </c>
      <c r="M164" s="1223"/>
      <c r="N164" s="1223">
        <f>K164*105</f>
        <v>840</v>
      </c>
      <c r="O164" s="1223">
        <f>L164*105</f>
        <v>1260</v>
      </c>
      <c r="P164" s="1222">
        <v>4</v>
      </c>
      <c r="Q164" s="1222">
        <v>13</v>
      </c>
      <c r="R164" s="1222">
        <v>8</v>
      </c>
      <c r="S164" s="1223">
        <f t="shared" ref="S164:U164" si="312">P164*105</f>
        <v>420</v>
      </c>
      <c r="T164" s="1223">
        <f t="shared" si="312"/>
        <v>1365</v>
      </c>
      <c r="U164" s="1223">
        <f t="shared" si="312"/>
        <v>840</v>
      </c>
      <c r="V164" s="1222">
        <v>8</v>
      </c>
      <c r="W164" s="1222">
        <v>2</v>
      </c>
      <c r="X164" s="1222">
        <v>4</v>
      </c>
      <c r="Y164" s="1223">
        <f t="shared" ref="Y164:AA164" si="313">V164*105</f>
        <v>840</v>
      </c>
      <c r="Z164" s="1223">
        <f t="shared" si="313"/>
        <v>210</v>
      </c>
      <c r="AA164" s="1223">
        <f t="shared" si="313"/>
        <v>420</v>
      </c>
      <c r="AB164" s="1222">
        <v>5</v>
      </c>
      <c r="AC164" s="1222">
        <v>20</v>
      </c>
      <c r="AD164" s="1222"/>
      <c r="AE164" s="1223">
        <f>AB164*105+20</f>
        <v>545</v>
      </c>
      <c r="AF164" s="1223">
        <f>AC164*105+20</f>
        <v>2120</v>
      </c>
      <c r="AG164" s="1223"/>
      <c r="AH164" s="1223">
        <f t="shared" si="298"/>
        <v>8860</v>
      </c>
      <c r="AI164" s="1223">
        <v>5230</v>
      </c>
      <c r="AJ164" s="1223"/>
      <c r="AK164" s="1223"/>
      <c r="AL164" s="1223">
        <v>3630</v>
      </c>
      <c r="AM164" s="1223"/>
      <c r="AN164" s="1223"/>
      <c r="AO164" s="1066" t="s">
        <v>2384</v>
      </c>
      <c r="AP164" s="1066" t="s">
        <v>2528</v>
      </c>
      <c r="AQ164" s="1066" t="s">
        <v>2818</v>
      </c>
    </row>
    <row r="165" spans="1:43" ht="30">
      <c r="A165" s="1228" t="s">
        <v>2838</v>
      </c>
      <c r="B165" s="1229" t="s">
        <v>2835</v>
      </c>
      <c r="C165" s="1220">
        <f t="shared" si="302"/>
        <v>86</v>
      </c>
      <c r="D165" s="1221" t="s">
        <v>1950</v>
      </c>
      <c r="E165" s="1229" t="s">
        <v>2836</v>
      </c>
      <c r="F165" s="1229" t="s">
        <v>2826</v>
      </c>
      <c r="G165" s="824">
        <f t="shared" si="270"/>
        <v>0.28494125362976114</v>
      </c>
      <c r="H165" s="824"/>
      <c r="I165" s="824">
        <f t="shared" si="299"/>
        <v>3.5295834549472542</v>
      </c>
      <c r="J165" s="1222"/>
      <c r="K165" s="1222">
        <v>11</v>
      </c>
      <c r="L165" s="1222">
        <v>15</v>
      </c>
      <c r="M165" s="1223"/>
      <c r="N165" s="1223">
        <v>2155</v>
      </c>
      <c r="O165" s="1223">
        <v>2940</v>
      </c>
      <c r="P165" s="1222">
        <v>7</v>
      </c>
      <c r="Q165" s="1222">
        <v>15</v>
      </c>
      <c r="R165" s="1222">
        <v>10</v>
      </c>
      <c r="S165" s="1223">
        <v>1370</v>
      </c>
      <c r="T165" s="1223">
        <v>2940</v>
      </c>
      <c r="U165" s="1223">
        <v>1960</v>
      </c>
      <c r="V165" s="1222">
        <v>9</v>
      </c>
      <c r="W165" s="1222">
        <v>3</v>
      </c>
      <c r="X165" s="1222">
        <v>4</v>
      </c>
      <c r="Y165" s="1223">
        <v>1765</v>
      </c>
      <c r="Z165" s="1223">
        <v>590</v>
      </c>
      <c r="AA165" s="1223">
        <v>785</v>
      </c>
      <c r="AB165" s="1222">
        <v>6</v>
      </c>
      <c r="AC165" s="1222">
        <v>6</v>
      </c>
      <c r="AD165" s="1222"/>
      <c r="AE165" s="1223">
        <f>1175+35</f>
        <v>1210</v>
      </c>
      <c r="AF165" s="1223">
        <f>1175+40</f>
        <v>1215</v>
      </c>
      <c r="AG165" s="1223"/>
      <c r="AH165" s="1223">
        <f t="shared" si="298"/>
        <v>16930</v>
      </c>
      <c r="AI165" s="1223">
        <v>11370</v>
      </c>
      <c r="AJ165" s="1223"/>
      <c r="AK165" s="1223"/>
      <c r="AL165" s="1223">
        <v>5560</v>
      </c>
      <c r="AM165" s="1223"/>
      <c r="AN165" s="1223"/>
      <c r="AO165" s="1066" t="s">
        <v>2384</v>
      </c>
      <c r="AP165" s="1066" t="s">
        <v>2528</v>
      </c>
      <c r="AQ165" s="1066"/>
    </row>
    <row r="166" spans="1:43" ht="45">
      <c r="A166" s="1228" t="s">
        <v>2839</v>
      </c>
      <c r="B166" s="1229" t="s">
        <v>2840</v>
      </c>
      <c r="C166" s="1220">
        <f t="shared" si="302"/>
        <v>11</v>
      </c>
      <c r="D166" s="1221" t="s">
        <v>419</v>
      </c>
      <c r="E166" s="1229" t="s">
        <v>2841</v>
      </c>
      <c r="F166" s="1229" t="s">
        <v>2842</v>
      </c>
      <c r="G166" s="824">
        <f t="shared" si="270"/>
        <v>0.32213677462927515</v>
      </c>
      <c r="H166" s="824"/>
      <c r="I166" s="824">
        <f t="shared" si="299"/>
        <v>3.9903264812575578</v>
      </c>
      <c r="J166" s="1222"/>
      <c r="K166" s="1222"/>
      <c r="L166" s="1222"/>
      <c r="M166" s="1223"/>
      <c r="N166" s="1223"/>
      <c r="O166" s="1223"/>
      <c r="P166" s="1222">
        <v>2</v>
      </c>
      <c r="Q166" s="1222"/>
      <c r="R166" s="1222"/>
      <c r="S166" s="1223">
        <f>P166*1740</f>
        <v>3480</v>
      </c>
      <c r="T166" s="1223"/>
      <c r="U166" s="1223"/>
      <c r="V166" s="1222"/>
      <c r="W166" s="1222"/>
      <c r="X166" s="1222">
        <v>5</v>
      </c>
      <c r="Y166" s="1223"/>
      <c r="Z166" s="1223"/>
      <c r="AA166" s="1223">
        <f>X166*1740</f>
        <v>8700</v>
      </c>
      <c r="AB166" s="1222">
        <v>2</v>
      </c>
      <c r="AC166" s="1222">
        <v>2</v>
      </c>
      <c r="AD166" s="1222"/>
      <c r="AE166" s="1223">
        <f t="shared" ref="AE166:AF166" si="314">AB166*1740</f>
        <v>3480</v>
      </c>
      <c r="AF166" s="1223">
        <f t="shared" si="314"/>
        <v>3480</v>
      </c>
      <c r="AG166" s="1223"/>
      <c r="AH166" s="1223">
        <f t="shared" si="298"/>
        <v>19140</v>
      </c>
      <c r="AI166" s="1223">
        <v>7050</v>
      </c>
      <c r="AJ166" s="1223"/>
      <c r="AK166" s="1223"/>
      <c r="AL166" s="1223">
        <v>12090</v>
      </c>
      <c r="AM166" s="1223"/>
      <c r="AN166" s="1223"/>
      <c r="AO166" s="1066" t="s">
        <v>2395</v>
      </c>
      <c r="AP166" s="1066" t="s">
        <v>2843</v>
      </c>
      <c r="AQ166" s="1066"/>
    </row>
    <row r="167" spans="1:43" ht="45">
      <c r="A167" s="1228" t="s">
        <v>2844</v>
      </c>
      <c r="B167" s="1229" t="s">
        <v>2840</v>
      </c>
      <c r="C167" s="1220">
        <f t="shared" si="302"/>
        <v>29</v>
      </c>
      <c r="D167" s="1221" t="s">
        <v>2820</v>
      </c>
      <c r="E167" s="1229" t="s">
        <v>2841</v>
      </c>
      <c r="F167" s="1229" t="s">
        <v>2842</v>
      </c>
      <c r="G167" s="824">
        <f t="shared" si="270"/>
        <v>0.50651547714044065</v>
      </c>
      <c r="H167" s="824"/>
      <c r="I167" s="824">
        <f t="shared" si="299"/>
        <v>6.2742359171079514</v>
      </c>
      <c r="J167" s="1222"/>
      <c r="K167" s="1222"/>
      <c r="L167" s="1222"/>
      <c r="M167" s="1223"/>
      <c r="N167" s="1223"/>
      <c r="O167" s="1223"/>
      <c r="P167" s="1222">
        <v>4</v>
      </c>
      <c r="Q167" s="1222"/>
      <c r="R167" s="1222"/>
      <c r="S167" s="1223">
        <f>P167*1035</f>
        <v>4140</v>
      </c>
      <c r="T167" s="1223"/>
      <c r="U167" s="1223"/>
      <c r="V167" s="1222">
        <v>15</v>
      </c>
      <c r="W167" s="1222"/>
      <c r="X167" s="1222"/>
      <c r="Y167" s="1223">
        <f>V167*1035</f>
        <v>15525</v>
      </c>
      <c r="Z167" s="1223"/>
      <c r="AA167" s="1223"/>
      <c r="AB167" s="1222">
        <v>5</v>
      </c>
      <c r="AC167" s="1222">
        <v>5</v>
      </c>
      <c r="AD167" s="1222"/>
      <c r="AE167" s="1223">
        <f>AB167*1035+40</f>
        <v>5215</v>
      </c>
      <c r="AF167" s="1223">
        <f>AC167*1035+40</f>
        <v>5215</v>
      </c>
      <c r="AG167" s="1223"/>
      <c r="AH167" s="1223">
        <f t="shared" si="298"/>
        <v>30095</v>
      </c>
      <c r="AI167" s="1223">
        <v>11370</v>
      </c>
      <c r="AJ167" s="1223"/>
      <c r="AK167" s="1223"/>
      <c r="AL167" s="1223">
        <v>18725</v>
      </c>
      <c r="AM167" s="1223"/>
      <c r="AN167" s="1223"/>
      <c r="AO167" s="1066" t="s">
        <v>2395</v>
      </c>
      <c r="AP167" s="1066" t="s">
        <v>2843</v>
      </c>
      <c r="AQ167" s="1066"/>
    </row>
    <row r="168" spans="1:43" ht="45">
      <c r="A168" s="1228" t="s">
        <v>2845</v>
      </c>
      <c r="B168" s="1229" t="s">
        <v>2840</v>
      </c>
      <c r="C168" s="1220">
        <f t="shared" si="302"/>
        <v>13</v>
      </c>
      <c r="D168" s="1221" t="s">
        <v>944</v>
      </c>
      <c r="E168" s="1229" t="s">
        <v>2841</v>
      </c>
      <c r="F168" s="1229" t="s">
        <v>2842</v>
      </c>
      <c r="G168" s="824">
        <f t="shared" si="270"/>
        <v>0.61692390146478993</v>
      </c>
      <c r="H168" s="824"/>
      <c r="I168" s="824">
        <f t="shared" si="299"/>
        <v>7.6418713255222457</v>
      </c>
      <c r="J168" s="1222"/>
      <c r="K168" s="1222"/>
      <c r="L168" s="1222"/>
      <c r="M168" s="1223"/>
      <c r="N168" s="1223"/>
      <c r="O168" s="1223"/>
      <c r="P168" s="1222">
        <v>1</v>
      </c>
      <c r="Q168" s="1222"/>
      <c r="R168" s="1222"/>
      <c r="S168" s="1223">
        <f>P168*2820</f>
        <v>2820</v>
      </c>
      <c r="T168" s="1223"/>
      <c r="U168" s="1223"/>
      <c r="V168" s="1222">
        <v>1</v>
      </c>
      <c r="W168" s="1222"/>
      <c r="X168" s="1222">
        <v>5</v>
      </c>
      <c r="Y168" s="1223">
        <f>V168*2820</f>
        <v>2820</v>
      </c>
      <c r="Z168" s="1223"/>
      <c r="AA168" s="1223">
        <f>X168*2820</f>
        <v>14100</v>
      </c>
      <c r="AB168" s="1222">
        <v>5</v>
      </c>
      <c r="AC168" s="1222">
        <v>1</v>
      </c>
      <c r="AD168" s="1222"/>
      <c r="AE168" s="1223">
        <f t="shared" ref="AE168" si="315">AB168*2820</f>
        <v>14100</v>
      </c>
      <c r="AF168" s="1223">
        <f>AC168*2820-5</f>
        <v>2815</v>
      </c>
      <c r="AG168" s="1223"/>
      <c r="AH168" s="1223">
        <f t="shared" si="298"/>
        <v>36655</v>
      </c>
      <c r="AI168" s="1223">
        <v>13335</v>
      </c>
      <c r="AJ168" s="1223"/>
      <c r="AK168" s="1223"/>
      <c r="AL168" s="1223">
        <v>23320</v>
      </c>
      <c r="AM168" s="1223"/>
      <c r="AN168" s="1223"/>
      <c r="AO168" s="1066" t="s">
        <v>2395</v>
      </c>
      <c r="AP168" s="1066" t="s">
        <v>2843</v>
      </c>
      <c r="AQ168" s="1066"/>
    </row>
    <row r="169" spans="1:43" ht="45">
      <c r="A169" s="22" t="s">
        <v>2846</v>
      </c>
      <c r="B169" s="22" t="s">
        <v>2847</v>
      </c>
      <c r="C169" s="1220">
        <f t="shared" si="302"/>
        <v>628</v>
      </c>
      <c r="D169" s="1221" t="s">
        <v>419</v>
      </c>
      <c r="E169" s="22" t="s">
        <v>2848</v>
      </c>
      <c r="F169" s="22" t="s">
        <v>2842</v>
      </c>
      <c r="G169" s="824">
        <f t="shared" si="270"/>
        <v>0.39046881773245468</v>
      </c>
      <c r="H169" s="824"/>
      <c r="I169" s="824">
        <f t="shared" si="299"/>
        <v>4.836759371221282</v>
      </c>
      <c r="J169" s="1222"/>
      <c r="K169" s="1222">
        <v>68</v>
      </c>
      <c r="L169" s="1222">
        <v>60</v>
      </c>
      <c r="M169" s="1223"/>
      <c r="N169" s="1223">
        <f>K169*35</f>
        <v>2380</v>
      </c>
      <c r="O169" s="1223">
        <f>L169*35</f>
        <v>2100</v>
      </c>
      <c r="P169" s="1222">
        <v>54</v>
      </c>
      <c r="Q169" s="1222">
        <v>65</v>
      </c>
      <c r="R169" s="1222">
        <v>55</v>
      </c>
      <c r="S169" s="1223">
        <f t="shared" ref="S169:U169" si="316">P169*35</f>
        <v>1890</v>
      </c>
      <c r="T169" s="1223">
        <f>Q169*35</f>
        <v>2275</v>
      </c>
      <c r="U169" s="1223">
        <f t="shared" si="316"/>
        <v>1925</v>
      </c>
      <c r="V169" s="1222">
        <v>54</v>
      </c>
      <c r="W169" s="1222">
        <v>55</v>
      </c>
      <c r="X169" s="1222">
        <v>57</v>
      </c>
      <c r="Y169" s="1223">
        <f>V169*35</f>
        <v>1890</v>
      </c>
      <c r="Z169" s="1223">
        <f>W169*40</f>
        <v>2200</v>
      </c>
      <c r="AA169" s="1223">
        <f>X169*35</f>
        <v>1995</v>
      </c>
      <c r="AB169" s="1222">
        <v>64</v>
      </c>
      <c r="AC169" s="1222">
        <v>96</v>
      </c>
      <c r="AD169" s="1222"/>
      <c r="AE169" s="1223">
        <f>AB169*40+70</f>
        <v>2630</v>
      </c>
      <c r="AF169" s="1223">
        <f>AC169*40+75</f>
        <v>3915</v>
      </c>
      <c r="AG169" s="1223"/>
      <c r="AH169" s="1223">
        <f t="shared" si="298"/>
        <v>23200</v>
      </c>
      <c r="AI169" s="1223">
        <v>9015</v>
      </c>
      <c r="AJ169" s="1223"/>
      <c r="AK169" s="1223"/>
      <c r="AL169" s="1223">
        <v>14185</v>
      </c>
      <c r="AM169" s="1223"/>
      <c r="AN169" s="1223"/>
      <c r="AO169" s="1066" t="s">
        <v>2384</v>
      </c>
      <c r="AP169" s="1066" t="s">
        <v>2528</v>
      </c>
      <c r="AQ169" s="1066"/>
    </row>
    <row r="170" spans="1:43" ht="45">
      <c r="A170" s="22" t="s">
        <v>2849</v>
      </c>
      <c r="B170" s="22" t="s">
        <v>2847</v>
      </c>
      <c r="C170" s="1220">
        <f t="shared" si="302"/>
        <v>172</v>
      </c>
      <c r="D170" s="1221" t="s">
        <v>2820</v>
      </c>
      <c r="E170" s="22" t="s">
        <v>2848</v>
      </c>
      <c r="F170" s="22" t="s">
        <v>2842</v>
      </c>
      <c r="G170" s="824">
        <f t="shared" si="270"/>
        <v>0.40898242546976932</v>
      </c>
      <c r="H170" s="824"/>
      <c r="I170" s="824">
        <f t="shared" si="299"/>
        <v>5.0660884793395322</v>
      </c>
      <c r="J170" s="1222"/>
      <c r="K170" s="1222">
        <v>20</v>
      </c>
      <c r="L170" s="1222">
        <v>19</v>
      </c>
      <c r="M170" s="1223"/>
      <c r="N170" s="1223">
        <f>K170*140</f>
        <v>2800</v>
      </c>
      <c r="O170" s="1223">
        <f>L170*140</f>
        <v>2660</v>
      </c>
      <c r="P170" s="1222">
        <v>25</v>
      </c>
      <c r="Q170" s="1222">
        <v>19</v>
      </c>
      <c r="R170" s="1222">
        <v>21</v>
      </c>
      <c r="S170" s="1223">
        <f t="shared" ref="S170:U170" si="317">P170*140</f>
        <v>3500</v>
      </c>
      <c r="T170" s="1223">
        <f t="shared" si="317"/>
        <v>2660</v>
      </c>
      <c r="U170" s="1223">
        <f t="shared" si="317"/>
        <v>2940</v>
      </c>
      <c r="V170" s="1222">
        <v>22</v>
      </c>
      <c r="W170" s="1222">
        <v>14</v>
      </c>
      <c r="X170" s="1222">
        <v>7</v>
      </c>
      <c r="Y170" s="1223">
        <f t="shared" ref="Y170:Z170" si="318">V170*140</f>
        <v>3080</v>
      </c>
      <c r="Z170" s="1223">
        <f t="shared" si="318"/>
        <v>1960</v>
      </c>
      <c r="AA170" s="1223">
        <f>X170*140+70</f>
        <v>1050</v>
      </c>
      <c r="AB170" s="1222">
        <v>9</v>
      </c>
      <c r="AC170" s="1222">
        <v>16</v>
      </c>
      <c r="AD170" s="1222"/>
      <c r="AE170" s="1223">
        <f>AB170*140+70</f>
        <v>1330</v>
      </c>
      <c r="AF170" s="1223">
        <f>AC170*145</f>
        <v>2320</v>
      </c>
      <c r="AG170" s="1223"/>
      <c r="AH170" s="1223">
        <f t="shared" si="298"/>
        <v>24300</v>
      </c>
      <c r="AI170" s="1223">
        <v>14710</v>
      </c>
      <c r="AJ170" s="1223"/>
      <c r="AK170" s="1223"/>
      <c r="AL170" s="1223">
        <v>9590</v>
      </c>
      <c r="AM170" s="1223"/>
      <c r="AN170" s="1223"/>
      <c r="AO170" s="1066" t="s">
        <v>2384</v>
      </c>
      <c r="AP170" s="1066" t="s">
        <v>2528</v>
      </c>
      <c r="AQ170" s="1066"/>
    </row>
    <row r="171" spans="1:43" ht="45">
      <c r="A171" s="22" t="s">
        <v>2850</v>
      </c>
      <c r="B171" s="22" t="s">
        <v>2847</v>
      </c>
      <c r="C171" s="1220">
        <f t="shared" si="302"/>
        <v>80</v>
      </c>
      <c r="D171" s="1221" t="s">
        <v>944</v>
      </c>
      <c r="E171" s="22" t="s">
        <v>2848</v>
      </c>
      <c r="F171" s="22" t="s">
        <v>2842</v>
      </c>
      <c r="G171" s="824">
        <f t="shared" si="270"/>
        <v>0.45467737547595966</v>
      </c>
      <c r="H171" s="824"/>
      <c r="I171" s="824">
        <f t="shared" si="299"/>
        <v>5.6321144143768498</v>
      </c>
      <c r="J171" s="1222"/>
      <c r="K171" s="1222">
        <v>9</v>
      </c>
      <c r="L171" s="1222">
        <v>9</v>
      </c>
      <c r="M171" s="1223"/>
      <c r="N171" s="1223">
        <f>K171*335</f>
        <v>3015</v>
      </c>
      <c r="O171" s="1223">
        <f>L171*335</f>
        <v>3015</v>
      </c>
      <c r="P171" s="1222">
        <v>9</v>
      </c>
      <c r="Q171" s="1222">
        <v>9</v>
      </c>
      <c r="R171" s="1222">
        <v>9</v>
      </c>
      <c r="S171" s="1223">
        <f t="shared" ref="S171:U171" si="319">P171*335</f>
        <v>3015</v>
      </c>
      <c r="T171" s="1223">
        <f t="shared" si="319"/>
        <v>3015</v>
      </c>
      <c r="U171" s="1223">
        <f t="shared" si="319"/>
        <v>3015</v>
      </c>
      <c r="V171" s="1222">
        <v>9</v>
      </c>
      <c r="W171" s="1222">
        <v>8</v>
      </c>
      <c r="X171" s="1222">
        <v>5</v>
      </c>
      <c r="Y171" s="1223">
        <f t="shared" ref="Y171" si="320">V171*335</f>
        <v>3015</v>
      </c>
      <c r="Z171" s="1223">
        <f>W171*340</f>
        <v>2720</v>
      </c>
      <c r="AA171" s="1223">
        <f>X171*340</f>
        <v>1700</v>
      </c>
      <c r="AB171" s="1222">
        <v>5</v>
      </c>
      <c r="AC171" s="1222">
        <v>8</v>
      </c>
      <c r="AD171" s="1222"/>
      <c r="AE171" s="1223">
        <f>AB171*340</f>
        <v>1700</v>
      </c>
      <c r="AF171" s="1223">
        <f>AC171*340+85</f>
        <v>2805</v>
      </c>
      <c r="AG171" s="1223"/>
      <c r="AH171" s="1223">
        <f t="shared" si="298"/>
        <v>27015</v>
      </c>
      <c r="AI171" s="1223">
        <v>11370</v>
      </c>
      <c r="AJ171" s="1223"/>
      <c r="AK171" s="1223"/>
      <c r="AL171" s="1223">
        <v>15645</v>
      </c>
      <c r="AM171" s="1223"/>
      <c r="AN171" s="1223"/>
      <c r="AO171" s="1066" t="s">
        <v>2384</v>
      </c>
      <c r="AP171" s="1066" t="s">
        <v>2528</v>
      </c>
      <c r="AQ171" s="1066"/>
    </row>
    <row r="172" spans="1:43" ht="45">
      <c r="A172" s="1228" t="s">
        <v>2851</v>
      </c>
      <c r="B172" s="1229" t="s">
        <v>2852</v>
      </c>
      <c r="C172" s="1220">
        <f t="shared" si="302"/>
        <v>47</v>
      </c>
      <c r="D172" s="1221" t="s">
        <v>419</v>
      </c>
      <c r="E172" s="1229" t="s">
        <v>2853</v>
      </c>
      <c r="F172" s="1229" t="s">
        <v>2842</v>
      </c>
      <c r="G172" s="824">
        <f t="shared" si="270"/>
        <v>0.51114387907476933</v>
      </c>
      <c r="H172" s="824"/>
      <c r="I172" s="824">
        <f t="shared" si="299"/>
        <v>6.3315681941375139</v>
      </c>
      <c r="J172" s="1222"/>
      <c r="K172" s="1222">
        <v>3</v>
      </c>
      <c r="L172" s="1222">
        <v>16</v>
      </c>
      <c r="M172" s="1223"/>
      <c r="N172" s="1223">
        <f>K172*645</f>
        <v>1935</v>
      </c>
      <c r="O172" s="1223">
        <f>L172*645</f>
        <v>10320</v>
      </c>
      <c r="P172" s="1222">
        <v>1</v>
      </c>
      <c r="Q172" s="1222"/>
      <c r="R172" s="1222">
        <v>21</v>
      </c>
      <c r="S172" s="1223">
        <f>P172*645</f>
        <v>645</v>
      </c>
      <c r="T172" s="1223"/>
      <c r="U172" s="1223">
        <f>R172*645</f>
        <v>13545</v>
      </c>
      <c r="V172" s="1222"/>
      <c r="W172" s="1222">
        <v>6</v>
      </c>
      <c r="X172" s="1222"/>
      <c r="Y172" s="1223"/>
      <c r="Z172" s="1223">
        <f>W172*645+55</f>
        <v>3925</v>
      </c>
      <c r="AA172" s="1223"/>
      <c r="AB172" s="1222"/>
      <c r="AC172" s="1222"/>
      <c r="AD172" s="1222"/>
      <c r="AE172" s="1223"/>
      <c r="AF172" s="1223"/>
      <c r="AG172" s="1223"/>
      <c r="AH172" s="1223">
        <f t="shared" si="298"/>
        <v>30370</v>
      </c>
      <c r="AI172" s="1223">
        <v>7050</v>
      </c>
      <c r="AJ172" s="1223"/>
      <c r="AK172" s="1223"/>
      <c r="AL172" s="1223">
        <v>23320</v>
      </c>
      <c r="AM172" s="1223"/>
      <c r="AN172" s="1223"/>
      <c r="AO172" s="1066" t="s">
        <v>2384</v>
      </c>
      <c r="AP172" s="1066" t="s">
        <v>2528</v>
      </c>
      <c r="AQ172" s="1066"/>
    </row>
    <row r="173" spans="1:43" ht="45">
      <c r="A173" s="1228" t="s">
        <v>2854</v>
      </c>
      <c r="B173" s="1229" t="s">
        <v>2852</v>
      </c>
      <c r="C173" s="1220">
        <f t="shared" si="302"/>
        <v>73</v>
      </c>
      <c r="D173" s="1221" t="s">
        <v>2820</v>
      </c>
      <c r="E173" s="1229" t="s">
        <v>2853</v>
      </c>
      <c r="F173" s="1229" t="s">
        <v>2842</v>
      </c>
      <c r="G173" s="824">
        <f t="shared" si="270"/>
        <v>0.50651547714044065</v>
      </c>
      <c r="H173" s="824"/>
      <c r="I173" s="824">
        <f t="shared" si="299"/>
        <v>6.2742359171079514</v>
      </c>
      <c r="J173" s="1222"/>
      <c r="K173" s="1222">
        <v>6</v>
      </c>
      <c r="L173" s="1222">
        <v>16</v>
      </c>
      <c r="M173" s="1223"/>
      <c r="N173" s="1223">
        <f>K173*410</f>
        <v>2460</v>
      </c>
      <c r="O173" s="1223">
        <f>L173*410</f>
        <v>6560</v>
      </c>
      <c r="P173" s="1222">
        <v>22</v>
      </c>
      <c r="Q173" s="1222"/>
      <c r="R173" s="1222">
        <v>29</v>
      </c>
      <c r="S173" s="1223">
        <f>P173*410+20</f>
        <v>9040</v>
      </c>
      <c r="T173" s="1223"/>
      <c r="U173" s="1223">
        <f>R173*415</f>
        <v>12035</v>
      </c>
      <c r="V173" s="1222"/>
      <c r="W173" s="1222"/>
      <c r="X173" s="1222"/>
      <c r="Y173" s="1223"/>
      <c r="Z173" s="1223"/>
      <c r="AA173" s="1223"/>
      <c r="AB173" s="1222"/>
      <c r="AC173" s="1222"/>
      <c r="AD173" s="1222"/>
      <c r="AE173" s="1223"/>
      <c r="AF173" s="1223"/>
      <c r="AG173" s="1223"/>
      <c r="AH173" s="1223">
        <f t="shared" si="298"/>
        <v>30095</v>
      </c>
      <c r="AI173" s="1223">
        <v>11370</v>
      </c>
      <c r="AJ173" s="1223"/>
      <c r="AK173" s="1223"/>
      <c r="AL173" s="1223">
        <v>18725</v>
      </c>
      <c r="AM173" s="1223"/>
      <c r="AN173" s="1223"/>
      <c r="AO173" s="1066" t="s">
        <v>2384</v>
      </c>
      <c r="AP173" s="1066" t="s">
        <v>2528</v>
      </c>
      <c r="AQ173" s="1066"/>
    </row>
    <row r="174" spans="1:43" ht="45">
      <c r="A174" s="1228" t="s">
        <v>2855</v>
      </c>
      <c r="B174" s="1229" t="s">
        <v>2852</v>
      </c>
      <c r="C174" s="1220">
        <f t="shared" si="302"/>
        <v>9</v>
      </c>
      <c r="D174" s="1221" t="s">
        <v>944</v>
      </c>
      <c r="E174" s="1229" t="s">
        <v>2853</v>
      </c>
      <c r="F174" s="1229" t="s">
        <v>2842</v>
      </c>
      <c r="G174" s="824">
        <f t="shared" si="270"/>
        <v>0.58385186582495063</v>
      </c>
      <c r="H174" s="824"/>
      <c r="I174" s="824">
        <f t="shared" si="299"/>
        <v>7.2322061460200979</v>
      </c>
      <c r="J174" s="1222"/>
      <c r="K174" s="1222">
        <v>1</v>
      </c>
      <c r="L174" s="1222">
        <v>2</v>
      </c>
      <c r="M174" s="1223"/>
      <c r="N174" s="1223">
        <f>K174*3850+40</f>
        <v>3890</v>
      </c>
      <c r="O174" s="1223">
        <f>L174*3850</f>
        <v>7700</v>
      </c>
      <c r="P174" s="1222">
        <v>2</v>
      </c>
      <c r="Q174" s="1222"/>
      <c r="R174" s="1222">
        <v>3</v>
      </c>
      <c r="S174" s="1223">
        <f>P174*3850</f>
        <v>7700</v>
      </c>
      <c r="T174" s="1223"/>
      <c r="U174" s="1223">
        <f>R174*3850</f>
        <v>11550</v>
      </c>
      <c r="V174" s="1222"/>
      <c r="W174" s="1222">
        <v>1</v>
      </c>
      <c r="X174" s="1222"/>
      <c r="Y174" s="1223"/>
      <c r="Z174" s="1223">
        <f>W174*3850</f>
        <v>3850</v>
      </c>
      <c r="AA174" s="1223"/>
      <c r="AB174" s="1222"/>
      <c r="AC174" s="1222"/>
      <c r="AD174" s="1222"/>
      <c r="AE174" s="1223"/>
      <c r="AF174" s="1223"/>
      <c r="AG174" s="1223"/>
      <c r="AH174" s="1223">
        <f t="shared" si="298"/>
        <v>34690</v>
      </c>
      <c r="AI174" s="1223">
        <v>11370</v>
      </c>
      <c r="AJ174" s="1223"/>
      <c r="AK174" s="1223"/>
      <c r="AL174" s="1223">
        <v>23320</v>
      </c>
      <c r="AM174" s="1223"/>
      <c r="AN174" s="1223"/>
      <c r="AO174" s="1066" t="s">
        <v>2384</v>
      </c>
      <c r="AP174" s="1066" t="s">
        <v>2528</v>
      </c>
      <c r="AQ174" s="1066"/>
    </row>
    <row r="175" spans="1:43" ht="45">
      <c r="A175" s="1228" t="s">
        <v>2856</v>
      </c>
      <c r="B175" s="1229" t="s">
        <v>2857</v>
      </c>
      <c r="C175" s="1220">
        <f t="shared" si="302"/>
        <v>3</v>
      </c>
      <c r="D175" s="1221" t="s">
        <v>419</v>
      </c>
      <c r="E175" s="1229" t="s">
        <v>2858</v>
      </c>
      <c r="F175" s="1229" t="s">
        <v>2842</v>
      </c>
      <c r="G175" s="824">
        <f t="shared" si="270"/>
        <v>0.32213677462927515</v>
      </c>
      <c r="H175" s="824"/>
      <c r="I175" s="824">
        <f t="shared" si="299"/>
        <v>3.9903264812575578</v>
      </c>
      <c r="J175" s="1222"/>
      <c r="K175" s="1222"/>
      <c r="L175" s="1222"/>
      <c r="M175" s="1223"/>
      <c r="N175" s="1223"/>
      <c r="O175" s="1223"/>
      <c r="P175" s="1222"/>
      <c r="Q175" s="1222"/>
      <c r="R175" s="1222"/>
      <c r="S175" s="1223"/>
      <c r="T175" s="1223"/>
      <c r="U175" s="1223"/>
      <c r="V175" s="1222">
        <v>3</v>
      </c>
      <c r="W175" s="1222"/>
      <c r="X175" s="1222"/>
      <c r="Y175" s="1223">
        <f>V175*6380</f>
        <v>19140</v>
      </c>
      <c r="Z175" s="1223"/>
      <c r="AA175" s="1223"/>
      <c r="AB175" s="1222"/>
      <c r="AC175" s="1222"/>
      <c r="AD175" s="1222"/>
      <c r="AE175" s="1223"/>
      <c r="AF175" s="1223"/>
      <c r="AG175" s="1223"/>
      <c r="AH175" s="1223">
        <f t="shared" si="298"/>
        <v>19140</v>
      </c>
      <c r="AI175" s="1223">
        <v>7050</v>
      </c>
      <c r="AJ175" s="1223"/>
      <c r="AK175" s="1223"/>
      <c r="AL175" s="1223">
        <v>12090</v>
      </c>
      <c r="AM175" s="1223"/>
      <c r="AN175" s="1223"/>
      <c r="AO175" s="1066" t="s">
        <v>2384</v>
      </c>
      <c r="AP175" s="1066" t="s">
        <v>2528</v>
      </c>
      <c r="AQ175" s="1066"/>
    </row>
    <row r="176" spans="1:43" ht="45">
      <c r="A176" s="1228" t="s">
        <v>2859</v>
      </c>
      <c r="B176" s="1229" t="s">
        <v>2857</v>
      </c>
      <c r="C176" s="1220">
        <f t="shared" si="302"/>
        <v>8</v>
      </c>
      <c r="D176" s="1221" t="s">
        <v>2820</v>
      </c>
      <c r="E176" s="1229" t="s">
        <v>2858</v>
      </c>
      <c r="F176" s="1229" t="s">
        <v>2842</v>
      </c>
      <c r="G176" s="824">
        <f t="shared" si="270"/>
        <v>0.31750837269494647</v>
      </c>
      <c r="H176" s="824"/>
      <c r="I176" s="824">
        <f t="shared" si="299"/>
        <v>3.9329942042279948</v>
      </c>
      <c r="J176" s="1222"/>
      <c r="K176" s="1222"/>
      <c r="L176" s="1222"/>
      <c r="M176" s="1223"/>
      <c r="N176" s="1223"/>
      <c r="O176" s="1223"/>
      <c r="P176" s="1222"/>
      <c r="Q176" s="1222"/>
      <c r="R176" s="1222"/>
      <c r="S176" s="1223"/>
      <c r="T176" s="1223"/>
      <c r="U176" s="1223"/>
      <c r="V176" s="1222">
        <v>8</v>
      </c>
      <c r="W176" s="1222"/>
      <c r="X176" s="1222"/>
      <c r="Y176" s="1223">
        <v>18865</v>
      </c>
      <c r="Z176" s="1223"/>
      <c r="AA176" s="1223"/>
      <c r="AB176" s="1222"/>
      <c r="AC176" s="1222"/>
      <c r="AD176" s="1222"/>
      <c r="AE176" s="1223"/>
      <c r="AF176" s="1223"/>
      <c r="AG176" s="1223"/>
      <c r="AH176" s="1223">
        <f t="shared" si="298"/>
        <v>18865</v>
      </c>
      <c r="AI176" s="1223">
        <v>11370</v>
      </c>
      <c r="AJ176" s="1223"/>
      <c r="AK176" s="1223"/>
      <c r="AL176" s="1223">
        <v>7495</v>
      </c>
      <c r="AM176" s="1223"/>
      <c r="AN176" s="1223"/>
      <c r="AO176" s="1066" t="s">
        <v>2384</v>
      </c>
      <c r="AP176" s="1066" t="s">
        <v>2528</v>
      </c>
      <c r="AQ176" s="1066"/>
    </row>
    <row r="177" spans="1:43" ht="45">
      <c r="A177" s="1228" t="s">
        <v>2860</v>
      </c>
      <c r="B177" s="1229" t="s">
        <v>2857</v>
      </c>
      <c r="C177" s="1220">
        <f t="shared" si="302"/>
        <v>1</v>
      </c>
      <c r="D177" s="1221" t="s">
        <v>944</v>
      </c>
      <c r="E177" s="1229" t="s">
        <v>2858</v>
      </c>
      <c r="F177" s="1229" t="s">
        <v>2842</v>
      </c>
      <c r="G177" s="824">
        <f t="shared" si="270"/>
        <v>0.50575810227845963</v>
      </c>
      <c r="H177" s="824"/>
      <c r="I177" s="824">
        <f>+AH177/AH$153*100</f>
        <v>6.2648542717758406</v>
      </c>
      <c r="J177" s="1222"/>
      <c r="K177" s="1222"/>
      <c r="L177" s="1222"/>
      <c r="M177" s="1223"/>
      <c r="N177" s="1223"/>
      <c r="O177" s="1223"/>
      <c r="P177" s="1222"/>
      <c r="Q177" s="1222"/>
      <c r="R177" s="1222"/>
      <c r="S177" s="1223"/>
      <c r="T177" s="1223"/>
      <c r="U177" s="1223"/>
      <c r="V177" s="1222">
        <v>1</v>
      </c>
      <c r="W177" s="1222"/>
      <c r="X177" s="1222"/>
      <c r="Y177" s="1223">
        <v>30050</v>
      </c>
      <c r="Z177" s="1223"/>
      <c r="AA177" s="1223"/>
      <c r="AB177" s="1222"/>
      <c r="AC177" s="1222"/>
      <c r="AD177" s="1222"/>
      <c r="AE177" s="1223"/>
      <c r="AF177" s="1223"/>
      <c r="AG177" s="1223"/>
      <c r="AH177" s="1223">
        <f t="shared" si="298"/>
        <v>30050</v>
      </c>
      <c r="AI177" s="1223">
        <v>17960</v>
      </c>
      <c r="AJ177" s="1223"/>
      <c r="AK177" s="1223"/>
      <c r="AL177" s="1223">
        <v>12090</v>
      </c>
      <c r="AM177" s="1223"/>
      <c r="AN177" s="1223"/>
      <c r="AO177" s="1066" t="s">
        <v>2384</v>
      </c>
      <c r="AP177" s="1066" t="s">
        <v>2528</v>
      </c>
      <c r="AQ177" s="1066"/>
    </row>
    <row r="178" spans="1:43" ht="30">
      <c r="A178" s="6" t="s">
        <v>296</v>
      </c>
      <c r="B178" s="6" t="s">
        <v>297</v>
      </c>
      <c r="C178" s="7"/>
      <c r="D178" s="6"/>
      <c r="E178" s="6"/>
      <c r="F178" s="6"/>
      <c r="G178" s="1211">
        <f t="shared" si="270"/>
        <v>1.0180801200274217</v>
      </c>
      <c r="H178" s="1211"/>
      <c r="I178" s="1211"/>
      <c r="J178" s="1212"/>
      <c r="K178" s="1212"/>
      <c r="L178" s="1212"/>
      <c r="M178" s="1213"/>
      <c r="N178" s="1213">
        <f t="shared" ref="N178:O180" si="321">N179</f>
        <v>7820</v>
      </c>
      <c r="O178" s="1213">
        <f t="shared" si="321"/>
        <v>6210</v>
      </c>
      <c r="P178" s="1212"/>
      <c r="Q178" s="1212"/>
      <c r="R178" s="1212"/>
      <c r="S178" s="1213">
        <f t="shared" ref="S178:U180" si="322">S179</f>
        <v>5980</v>
      </c>
      <c r="T178" s="1213">
        <f t="shared" si="322"/>
        <v>5980</v>
      </c>
      <c r="U178" s="1213">
        <f t="shared" si="322"/>
        <v>5750</v>
      </c>
      <c r="V178" s="1212"/>
      <c r="W178" s="1212"/>
      <c r="X178" s="1212"/>
      <c r="Y178" s="1213">
        <f t="shared" ref="Y178:AA180" si="323">Y179</f>
        <v>6905</v>
      </c>
      <c r="Z178" s="1213">
        <f t="shared" si="323"/>
        <v>4465</v>
      </c>
      <c r="AA178" s="1213">
        <f t="shared" si="323"/>
        <v>3290</v>
      </c>
      <c r="AB178" s="1212"/>
      <c r="AC178" s="1212"/>
      <c r="AD178" s="1212"/>
      <c r="AE178" s="1213">
        <f t="shared" ref="AE178:AH180" si="324">AE179</f>
        <v>4700</v>
      </c>
      <c r="AF178" s="1213">
        <f t="shared" si="324"/>
        <v>9390</v>
      </c>
      <c r="AG178" s="1213"/>
      <c r="AH178" s="1213">
        <f t="shared" si="324"/>
        <v>60490</v>
      </c>
      <c r="AI178" s="1213">
        <f>AI179</f>
        <v>22280</v>
      </c>
      <c r="AJ178" s="1213"/>
      <c r="AK178" s="1213"/>
      <c r="AL178" s="1213">
        <f>AL179</f>
        <v>38210</v>
      </c>
      <c r="AM178" s="1213"/>
      <c r="AN178" s="1213"/>
      <c r="AO178" s="1214" t="s">
        <v>2384</v>
      </c>
      <c r="AP178" s="1214" t="s">
        <v>2385</v>
      </c>
      <c r="AQ178" s="1214"/>
    </row>
    <row r="179" spans="1:43" ht="30">
      <c r="A179" s="10" t="s">
        <v>2229</v>
      </c>
      <c r="B179" s="10" t="s">
        <v>2861</v>
      </c>
      <c r="C179" s="11"/>
      <c r="D179" s="10"/>
      <c r="E179" s="10"/>
      <c r="F179" s="10"/>
      <c r="G179" s="1215">
        <f t="shared" si="270"/>
        <v>1.0180801200274217</v>
      </c>
      <c r="H179" s="1215"/>
      <c r="I179" s="1215"/>
      <c r="J179" s="1216"/>
      <c r="K179" s="1216"/>
      <c r="L179" s="1216"/>
      <c r="M179" s="1217"/>
      <c r="N179" s="1217">
        <f t="shared" si="321"/>
        <v>7820</v>
      </c>
      <c r="O179" s="1217">
        <f t="shared" si="321"/>
        <v>6210</v>
      </c>
      <c r="P179" s="1216"/>
      <c r="Q179" s="1216"/>
      <c r="R179" s="1216"/>
      <c r="S179" s="1217">
        <f t="shared" si="322"/>
        <v>5980</v>
      </c>
      <c r="T179" s="1217">
        <f t="shared" si="322"/>
        <v>5980</v>
      </c>
      <c r="U179" s="1217">
        <f t="shared" si="322"/>
        <v>5750</v>
      </c>
      <c r="V179" s="1216"/>
      <c r="W179" s="1216"/>
      <c r="X179" s="1216"/>
      <c r="Y179" s="1217">
        <f t="shared" si="323"/>
        <v>6905</v>
      </c>
      <c r="Z179" s="1217">
        <f t="shared" si="323"/>
        <v>4465</v>
      </c>
      <c r="AA179" s="1217">
        <f t="shared" si="323"/>
        <v>3290</v>
      </c>
      <c r="AB179" s="1216"/>
      <c r="AC179" s="1216"/>
      <c r="AD179" s="1216"/>
      <c r="AE179" s="1217">
        <f t="shared" si="324"/>
        <v>4700</v>
      </c>
      <c r="AF179" s="1217">
        <f t="shared" si="324"/>
        <v>9390</v>
      </c>
      <c r="AG179" s="1217"/>
      <c r="AH179" s="1217">
        <f t="shared" si="324"/>
        <v>60490</v>
      </c>
      <c r="AI179" s="1217">
        <f>AI180</f>
        <v>22280</v>
      </c>
      <c r="AJ179" s="1217"/>
      <c r="AK179" s="1217"/>
      <c r="AL179" s="1217">
        <f>AL180</f>
        <v>38210</v>
      </c>
      <c r="AM179" s="1217"/>
      <c r="AN179" s="1217"/>
      <c r="AO179" s="1218" t="s">
        <v>2384</v>
      </c>
      <c r="AP179" s="1218" t="s">
        <v>2385</v>
      </c>
      <c r="AQ179" s="1218"/>
    </row>
    <row r="180" spans="1:43" ht="30">
      <c r="A180" s="14" t="s">
        <v>2231</v>
      </c>
      <c r="B180" s="14" t="s">
        <v>695</v>
      </c>
      <c r="C180" s="15"/>
      <c r="D180" s="14"/>
      <c r="E180" s="14"/>
      <c r="F180" s="14"/>
      <c r="G180" s="683">
        <f t="shared" si="270"/>
        <v>1.0180801200274217</v>
      </c>
      <c r="H180" s="683">
        <f>+G180</f>
        <v>1.0180801200274217</v>
      </c>
      <c r="I180" s="683"/>
      <c r="J180" s="684"/>
      <c r="K180" s="684"/>
      <c r="L180" s="684"/>
      <c r="M180" s="685"/>
      <c r="N180" s="685">
        <f t="shared" si="321"/>
        <v>7820</v>
      </c>
      <c r="O180" s="685">
        <f t="shared" si="321"/>
        <v>6210</v>
      </c>
      <c r="P180" s="684"/>
      <c r="Q180" s="684"/>
      <c r="R180" s="684"/>
      <c r="S180" s="685">
        <f t="shared" si="322"/>
        <v>5980</v>
      </c>
      <c r="T180" s="685">
        <f t="shared" si="322"/>
        <v>5980</v>
      </c>
      <c r="U180" s="685">
        <f t="shared" si="322"/>
        <v>5750</v>
      </c>
      <c r="V180" s="684"/>
      <c r="W180" s="684"/>
      <c r="X180" s="684"/>
      <c r="Y180" s="685">
        <f t="shared" si="323"/>
        <v>6905</v>
      </c>
      <c r="Z180" s="685">
        <f t="shared" si="323"/>
        <v>4465</v>
      </c>
      <c r="AA180" s="685">
        <f t="shared" si="323"/>
        <v>3290</v>
      </c>
      <c r="AB180" s="684"/>
      <c r="AC180" s="684"/>
      <c r="AD180" s="684"/>
      <c r="AE180" s="685">
        <f t="shared" si="324"/>
        <v>4700</v>
      </c>
      <c r="AF180" s="685">
        <f t="shared" si="324"/>
        <v>9390</v>
      </c>
      <c r="AG180" s="685"/>
      <c r="AH180" s="685">
        <f t="shared" si="324"/>
        <v>60490</v>
      </c>
      <c r="AI180" s="685">
        <f>AI181</f>
        <v>22280</v>
      </c>
      <c r="AJ180" s="685"/>
      <c r="AK180" s="685"/>
      <c r="AL180" s="685">
        <f>AL181</f>
        <v>38210</v>
      </c>
      <c r="AM180" s="685"/>
      <c r="AN180" s="685"/>
      <c r="AO180" s="1219" t="s">
        <v>2384</v>
      </c>
      <c r="AP180" s="1219" t="s">
        <v>2385</v>
      </c>
      <c r="AQ180" s="1219"/>
    </row>
    <row r="181" spans="1:43" ht="45">
      <c r="A181" s="18" t="s">
        <v>2240</v>
      </c>
      <c r="B181" s="18" t="s">
        <v>697</v>
      </c>
      <c r="C181" s="642"/>
      <c r="D181" s="554" t="s">
        <v>478</v>
      </c>
      <c r="E181" s="18" t="s">
        <v>2241</v>
      </c>
      <c r="F181" s="18" t="s">
        <v>435</v>
      </c>
      <c r="G181" s="804">
        <f t="shared" si="270"/>
        <v>1.0180801200274217</v>
      </c>
      <c r="H181" s="804"/>
      <c r="I181" s="804"/>
      <c r="J181" s="805"/>
      <c r="K181" s="805"/>
      <c r="L181" s="805"/>
      <c r="M181" s="806"/>
      <c r="N181" s="806">
        <f t="shared" ref="N181:O181" si="325">SUM(N182:N183)</f>
        <v>7820</v>
      </c>
      <c r="O181" s="806">
        <f t="shared" si="325"/>
        <v>6210</v>
      </c>
      <c r="P181" s="805"/>
      <c r="Q181" s="805"/>
      <c r="R181" s="805"/>
      <c r="S181" s="806">
        <f t="shared" ref="S181:U181" si="326">SUM(S182:S183)</f>
        <v>5980</v>
      </c>
      <c r="T181" s="806">
        <f t="shared" si="326"/>
        <v>5980</v>
      </c>
      <c r="U181" s="806">
        <f t="shared" si="326"/>
        <v>5750</v>
      </c>
      <c r="V181" s="805"/>
      <c r="W181" s="805"/>
      <c r="X181" s="805"/>
      <c r="Y181" s="806">
        <f t="shared" ref="Y181:AA181" si="327">SUM(Y182:Y183)</f>
        <v>6905</v>
      </c>
      <c r="Z181" s="806">
        <f t="shared" si="327"/>
        <v>4465</v>
      </c>
      <c r="AA181" s="806">
        <f t="shared" si="327"/>
        <v>3290</v>
      </c>
      <c r="AB181" s="805"/>
      <c r="AC181" s="805"/>
      <c r="AD181" s="805"/>
      <c r="AE181" s="806">
        <f t="shared" ref="AE181:AF181" si="328">SUM(AE182:AE183)</f>
        <v>4700</v>
      </c>
      <c r="AF181" s="806">
        <f t="shared" si="328"/>
        <v>9390</v>
      </c>
      <c r="AG181" s="806"/>
      <c r="AH181" s="806">
        <f>SUM(AH182:AH183)</f>
        <v>60490</v>
      </c>
      <c r="AI181" s="806">
        <f>SUM(AI182:AI183)</f>
        <v>22280</v>
      </c>
      <c r="AJ181" s="806"/>
      <c r="AK181" s="806"/>
      <c r="AL181" s="806">
        <f>SUM(AL182:AL183)</f>
        <v>38210</v>
      </c>
      <c r="AM181" s="806"/>
      <c r="AN181" s="806"/>
      <c r="AO181" s="1073" t="s">
        <v>2384</v>
      </c>
      <c r="AP181" s="1073" t="s">
        <v>2385</v>
      </c>
      <c r="AQ181" s="1073"/>
    </row>
    <row r="182" spans="1:43" ht="45">
      <c r="A182" s="1237" t="s">
        <v>2862</v>
      </c>
      <c r="B182" s="1230" t="s">
        <v>2863</v>
      </c>
      <c r="C182" s="1220">
        <f>MAX(J182,K182,L182,P182,Q182,R182,V182,W182,X182,AB182,AC182,AD182)</f>
        <v>40</v>
      </c>
      <c r="D182" s="1231" t="s">
        <v>1661</v>
      </c>
      <c r="E182" s="1230" t="s">
        <v>2864</v>
      </c>
      <c r="F182" s="1230" t="s">
        <v>2865</v>
      </c>
      <c r="G182" s="824">
        <f t="shared" si="270"/>
        <v>0.62382442798506177</v>
      </c>
      <c r="H182" s="824"/>
      <c r="I182" s="824">
        <f>+AH182/AH$181*100</f>
        <v>61.274590841461396</v>
      </c>
      <c r="J182" s="1222"/>
      <c r="K182" s="1222">
        <v>34</v>
      </c>
      <c r="L182" s="1222">
        <v>27</v>
      </c>
      <c r="M182" s="1223"/>
      <c r="N182" s="1223">
        <f>K182*140</f>
        <v>4760</v>
      </c>
      <c r="O182" s="1223">
        <f>L182*140</f>
        <v>3780</v>
      </c>
      <c r="P182" s="1222">
        <v>26</v>
      </c>
      <c r="Q182" s="1222">
        <v>26</v>
      </c>
      <c r="R182" s="1222">
        <v>25</v>
      </c>
      <c r="S182" s="1223">
        <f t="shared" ref="S182:U182" si="329">P182*140</f>
        <v>3640</v>
      </c>
      <c r="T182" s="1223">
        <f t="shared" si="329"/>
        <v>3640</v>
      </c>
      <c r="U182" s="1223">
        <f t="shared" si="329"/>
        <v>3500</v>
      </c>
      <c r="V182" s="1222">
        <v>29</v>
      </c>
      <c r="W182" s="1222">
        <v>19</v>
      </c>
      <c r="X182" s="1222">
        <v>14</v>
      </c>
      <c r="Y182" s="1223">
        <f t="shared" ref="Y182:AA182" si="330">V182*145</f>
        <v>4205</v>
      </c>
      <c r="Z182" s="1223">
        <f t="shared" si="330"/>
        <v>2755</v>
      </c>
      <c r="AA182" s="1223">
        <f t="shared" si="330"/>
        <v>2030</v>
      </c>
      <c r="AB182" s="1222">
        <v>20</v>
      </c>
      <c r="AC182" s="1222">
        <v>40</v>
      </c>
      <c r="AD182" s="1222"/>
      <c r="AE182" s="1223">
        <f>AB182*145</f>
        <v>2900</v>
      </c>
      <c r="AF182" s="1223">
        <f>AC182*145+55</f>
        <v>5855</v>
      </c>
      <c r="AG182" s="1223"/>
      <c r="AH182" s="1223">
        <f t="shared" ref="AH182:AH183" si="331">M182+N182+O182+S182+T182+U182+Y182+Z182+AA182+AE182+AF182+AG182</f>
        <v>37065</v>
      </c>
      <c r="AI182" s="1223">
        <v>17960</v>
      </c>
      <c r="AJ182" s="1223"/>
      <c r="AK182" s="1223"/>
      <c r="AL182" s="1223">
        <v>19105</v>
      </c>
      <c r="AM182" s="1223"/>
      <c r="AN182" s="1223"/>
      <c r="AO182" s="1066" t="s">
        <v>2384</v>
      </c>
      <c r="AP182" s="1066" t="s">
        <v>2528</v>
      </c>
      <c r="AQ182" s="1066" t="s">
        <v>2818</v>
      </c>
    </row>
    <row r="183" spans="1:43" ht="45">
      <c r="A183" s="1237" t="s">
        <v>2866</v>
      </c>
      <c r="B183" s="1230" t="s">
        <v>2863</v>
      </c>
      <c r="C183" s="1220">
        <f>+J183+K183+L183+P183+Q183+R183+V183+W183+X183+AB183+AC183+AD183</f>
        <v>261</v>
      </c>
      <c r="D183" s="1231" t="s">
        <v>1950</v>
      </c>
      <c r="E183" s="1230" t="s">
        <v>2864</v>
      </c>
      <c r="F183" s="1230" t="s">
        <v>2865</v>
      </c>
      <c r="G183" s="824">
        <f t="shared" si="270"/>
        <v>0.39425569204236</v>
      </c>
      <c r="H183" s="824"/>
      <c r="I183" s="824">
        <f>+AH183/AH$181*100</f>
        <v>38.725409158538604</v>
      </c>
      <c r="J183" s="1222"/>
      <c r="K183" s="1222">
        <v>34</v>
      </c>
      <c r="L183" s="1222">
        <v>27</v>
      </c>
      <c r="M183" s="1223"/>
      <c r="N183" s="1223">
        <f>K183*90</f>
        <v>3060</v>
      </c>
      <c r="O183" s="1223">
        <f>L183*90</f>
        <v>2430</v>
      </c>
      <c r="P183" s="1222">
        <v>26</v>
      </c>
      <c r="Q183" s="1222">
        <v>26</v>
      </c>
      <c r="R183" s="1222">
        <v>25</v>
      </c>
      <c r="S183" s="1223">
        <f t="shared" ref="S183:U183" si="332">P183*90</f>
        <v>2340</v>
      </c>
      <c r="T183" s="1223">
        <f t="shared" si="332"/>
        <v>2340</v>
      </c>
      <c r="U183" s="1223">
        <f t="shared" si="332"/>
        <v>2250</v>
      </c>
      <c r="V183" s="1222">
        <v>30</v>
      </c>
      <c r="W183" s="1222">
        <v>19</v>
      </c>
      <c r="X183" s="1222">
        <v>14</v>
      </c>
      <c r="Y183" s="1223">
        <f t="shared" ref="Y183:AA183" si="333">V183*90</f>
        <v>2700</v>
      </c>
      <c r="Z183" s="1223">
        <f t="shared" si="333"/>
        <v>1710</v>
      </c>
      <c r="AA183" s="1223">
        <f t="shared" si="333"/>
        <v>1260</v>
      </c>
      <c r="AB183" s="1222">
        <v>20</v>
      </c>
      <c r="AC183" s="1222">
        <v>40</v>
      </c>
      <c r="AD183" s="1222"/>
      <c r="AE183" s="1223">
        <f t="shared" ref="AE183" si="334">AB183*90</f>
        <v>1800</v>
      </c>
      <c r="AF183" s="1223">
        <f>AC183*90-65</f>
        <v>3535</v>
      </c>
      <c r="AG183" s="1223"/>
      <c r="AH183" s="1223">
        <f t="shared" si="331"/>
        <v>23425</v>
      </c>
      <c r="AI183" s="1223">
        <v>4320</v>
      </c>
      <c r="AJ183" s="1223"/>
      <c r="AK183" s="1223"/>
      <c r="AL183" s="1223">
        <v>19105</v>
      </c>
      <c r="AM183" s="1223"/>
      <c r="AN183" s="1223"/>
      <c r="AO183" s="1066" t="s">
        <v>2384</v>
      </c>
      <c r="AP183" s="1066" t="s">
        <v>2528</v>
      </c>
      <c r="AQ183" s="1066"/>
    </row>
    <row r="184" spans="1:43" ht="30">
      <c r="A184" s="6" t="s">
        <v>349</v>
      </c>
      <c r="B184" s="6" t="s">
        <v>2867</v>
      </c>
      <c r="C184" s="7"/>
      <c r="D184" s="6"/>
      <c r="E184" s="6"/>
      <c r="F184" s="6"/>
      <c r="G184" s="1211">
        <f t="shared" si="270"/>
        <v>4.2446754359230914</v>
      </c>
      <c r="H184" s="1211"/>
      <c r="I184" s="1211"/>
      <c r="J184" s="1212"/>
      <c r="K184" s="1212"/>
      <c r="L184" s="1212"/>
      <c r="M184" s="1213">
        <f t="shared" ref="M184" si="335">M185+M197</f>
        <v>16420</v>
      </c>
      <c r="N184" s="1213"/>
      <c r="O184" s="1213"/>
      <c r="P184" s="1212"/>
      <c r="Q184" s="1212"/>
      <c r="R184" s="1212"/>
      <c r="S184" s="1213">
        <f t="shared" ref="S184:U184" si="336">S185+S197</f>
        <v>2185</v>
      </c>
      <c r="T184" s="1213"/>
      <c r="U184" s="1213">
        <f t="shared" si="336"/>
        <v>4085</v>
      </c>
      <c r="V184" s="1212"/>
      <c r="W184" s="1212"/>
      <c r="X184" s="1212"/>
      <c r="Y184" s="1213">
        <f t="shared" ref="Y184" si="337">Y185+Y197</f>
        <v>10700</v>
      </c>
      <c r="Z184" s="1213"/>
      <c r="AA184" s="1213"/>
      <c r="AB184" s="1212"/>
      <c r="AC184" s="1212"/>
      <c r="AD184" s="1212"/>
      <c r="AE184" s="1213">
        <f t="shared" ref="AE184:AG184" si="338">AE185+AE197</f>
        <v>50955</v>
      </c>
      <c r="AF184" s="1213">
        <f t="shared" si="338"/>
        <v>112005.6</v>
      </c>
      <c r="AG184" s="1213">
        <f t="shared" si="338"/>
        <v>55850</v>
      </c>
      <c r="AH184" s="1213">
        <f>AH185+AH197</f>
        <v>252200.6</v>
      </c>
      <c r="AI184" s="1213">
        <f>AI185+AI197</f>
        <v>53095</v>
      </c>
      <c r="AJ184" s="1213"/>
      <c r="AK184" s="1213">
        <f>AK185+AK197</f>
        <v>112005.6</v>
      </c>
      <c r="AL184" s="1213">
        <f>AL185+AL197</f>
        <v>87100</v>
      </c>
      <c r="AM184" s="1213"/>
      <c r="AN184" s="1213"/>
      <c r="AO184" s="1214" t="s">
        <v>2384</v>
      </c>
      <c r="AP184" s="1214" t="s">
        <v>2385</v>
      </c>
      <c r="AQ184" s="1214"/>
    </row>
    <row r="185" spans="1:43" ht="30">
      <c r="A185" s="10" t="s">
        <v>351</v>
      </c>
      <c r="B185" s="10" t="s">
        <v>352</v>
      </c>
      <c r="C185" s="11"/>
      <c r="D185" s="10"/>
      <c r="E185" s="10"/>
      <c r="F185" s="10"/>
      <c r="G185" s="1215">
        <f t="shared" si="270"/>
        <v>2.2859256389837066</v>
      </c>
      <c r="H185" s="1215"/>
      <c r="I185" s="1215"/>
      <c r="J185" s="1216"/>
      <c r="K185" s="1216"/>
      <c r="L185" s="1216"/>
      <c r="M185" s="1217">
        <f t="shared" ref="M185" si="339">M186</f>
        <v>16420</v>
      </c>
      <c r="N185" s="1217"/>
      <c r="O185" s="1217"/>
      <c r="P185" s="1216"/>
      <c r="Q185" s="1216"/>
      <c r="R185" s="1216"/>
      <c r="S185" s="1217"/>
      <c r="T185" s="1217"/>
      <c r="U185" s="1217">
        <f t="shared" ref="U185" si="340">U186</f>
        <v>4085</v>
      </c>
      <c r="V185" s="1216"/>
      <c r="W185" s="1216"/>
      <c r="X185" s="1216"/>
      <c r="Y185" s="1217">
        <f t="shared" ref="Y185" si="341">Y186</f>
        <v>8510</v>
      </c>
      <c r="Z185" s="1217"/>
      <c r="AA185" s="1217"/>
      <c r="AB185" s="1216"/>
      <c r="AC185" s="1216"/>
      <c r="AD185" s="1216"/>
      <c r="AE185" s="1217">
        <f t="shared" ref="AE185:AG185" si="342">AE186</f>
        <v>50955</v>
      </c>
      <c r="AF185" s="1217"/>
      <c r="AG185" s="1217">
        <f t="shared" si="342"/>
        <v>55850</v>
      </c>
      <c r="AH185" s="1217">
        <f>AH186</f>
        <v>135820</v>
      </c>
      <c r="AI185" s="1217">
        <f>AI186</f>
        <v>49685</v>
      </c>
      <c r="AJ185" s="1217"/>
      <c r="AK185" s="1217"/>
      <c r="AL185" s="1217">
        <f>AL186</f>
        <v>86135</v>
      </c>
      <c r="AM185" s="1217"/>
      <c r="AN185" s="1217"/>
      <c r="AO185" s="1218" t="s">
        <v>2384</v>
      </c>
      <c r="AP185" s="1218" t="s">
        <v>2385</v>
      </c>
      <c r="AQ185" s="1218"/>
    </row>
    <row r="186" spans="1:43" ht="30">
      <c r="A186" s="14" t="s">
        <v>353</v>
      </c>
      <c r="B186" s="14" t="s">
        <v>354</v>
      </c>
      <c r="C186" s="15"/>
      <c r="D186" s="14"/>
      <c r="E186" s="14"/>
      <c r="F186" s="14"/>
      <c r="G186" s="683">
        <f t="shared" si="270"/>
        <v>2.2859256389837066</v>
      </c>
      <c r="H186" s="683">
        <f>+G186</f>
        <v>2.2859256389837066</v>
      </c>
      <c r="I186" s="683"/>
      <c r="J186" s="684"/>
      <c r="K186" s="684"/>
      <c r="L186" s="684"/>
      <c r="M186" s="685">
        <f t="shared" ref="M186" si="343">M187+M190+M195</f>
        <v>16420</v>
      </c>
      <c r="N186" s="685"/>
      <c r="O186" s="685"/>
      <c r="P186" s="684"/>
      <c r="Q186" s="684"/>
      <c r="R186" s="684"/>
      <c r="S186" s="685"/>
      <c r="T186" s="685"/>
      <c r="U186" s="685">
        <f t="shared" ref="U186" si="344">U187+U190+U195</f>
        <v>4085</v>
      </c>
      <c r="V186" s="684"/>
      <c r="W186" s="684"/>
      <c r="X186" s="684"/>
      <c r="Y186" s="685">
        <f t="shared" ref="Y186" si="345">Y187+Y190+Y195</f>
        <v>8510</v>
      </c>
      <c r="Z186" s="685"/>
      <c r="AA186" s="685"/>
      <c r="AB186" s="684"/>
      <c r="AC186" s="684"/>
      <c r="AD186" s="684"/>
      <c r="AE186" s="685">
        <f t="shared" ref="AE186:AG186" si="346">AE187+AE190+AE195</f>
        <v>50955</v>
      </c>
      <c r="AF186" s="685"/>
      <c r="AG186" s="685">
        <f t="shared" si="346"/>
        <v>55850</v>
      </c>
      <c r="AH186" s="685">
        <f>AH187+AH190+AH195</f>
        <v>135820</v>
      </c>
      <c r="AI186" s="685">
        <f>AI187+AI190+AI195</f>
        <v>49685</v>
      </c>
      <c r="AJ186" s="685"/>
      <c r="AK186" s="685"/>
      <c r="AL186" s="685">
        <f>AL187+AL190+AL195</f>
        <v>86135</v>
      </c>
      <c r="AM186" s="685"/>
      <c r="AN186" s="685"/>
      <c r="AO186" s="1219" t="s">
        <v>2384</v>
      </c>
      <c r="AP186" s="1219" t="s">
        <v>2385</v>
      </c>
      <c r="AQ186" s="1219"/>
    </row>
    <row r="187" spans="1:43" ht="30">
      <c r="A187" s="18" t="s">
        <v>368</v>
      </c>
      <c r="B187" s="18" t="s">
        <v>369</v>
      </c>
      <c r="C187" s="642"/>
      <c r="D187" s="554" t="s">
        <v>57</v>
      </c>
      <c r="E187" s="18" t="s">
        <v>370</v>
      </c>
      <c r="F187" s="18" t="s">
        <v>371</v>
      </c>
      <c r="G187" s="804">
        <f t="shared" si="270"/>
        <v>0.2034813795855766</v>
      </c>
      <c r="H187" s="804"/>
      <c r="I187" s="804"/>
      <c r="J187" s="805"/>
      <c r="K187" s="805"/>
      <c r="L187" s="805"/>
      <c r="M187" s="806"/>
      <c r="N187" s="806"/>
      <c r="O187" s="806"/>
      <c r="P187" s="805"/>
      <c r="Q187" s="805"/>
      <c r="R187" s="805"/>
      <c r="S187" s="806"/>
      <c r="T187" s="806"/>
      <c r="U187" s="806">
        <f t="shared" ref="U187" si="347">SUM(U188:U189)</f>
        <v>4085</v>
      </c>
      <c r="V187" s="805"/>
      <c r="W187" s="805"/>
      <c r="X187" s="805"/>
      <c r="Y187" s="806">
        <f t="shared" ref="Y187" si="348">SUM(Y188:Y189)</f>
        <v>4000</v>
      </c>
      <c r="Z187" s="806"/>
      <c r="AA187" s="806"/>
      <c r="AB187" s="805"/>
      <c r="AC187" s="805"/>
      <c r="AD187" s="805"/>
      <c r="AE187" s="806"/>
      <c r="AF187" s="806"/>
      <c r="AG187" s="806">
        <f t="shared" ref="AG187" si="349">SUM(AG188:AG189)</f>
        <v>4005</v>
      </c>
      <c r="AH187" s="806">
        <f>SUM(AH188:AH189)</f>
        <v>12090</v>
      </c>
      <c r="AI187" s="806">
        <f>SUM(AI188:AI189)</f>
        <v>3865</v>
      </c>
      <c r="AJ187" s="806"/>
      <c r="AK187" s="806"/>
      <c r="AL187" s="806">
        <f>SUM(AL188:AL189)</f>
        <v>8225</v>
      </c>
      <c r="AM187" s="806"/>
      <c r="AN187" s="806"/>
      <c r="AO187" s="1073" t="s">
        <v>2384</v>
      </c>
      <c r="AP187" s="1073" t="s">
        <v>2385</v>
      </c>
      <c r="AQ187" s="1073"/>
    </row>
    <row r="188" spans="1:43" ht="60">
      <c r="A188" s="22" t="s">
        <v>2868</v>
      </c>
      <c r="B188" s="22" t="s">
        <v>2869</v>
      </c>
      <c r="C188" s="1220">
        <f>+J188+K188+L188+P188+Q188+R188+V188+W188+X188+AB188+AC188+AD188</f>
        <v>100</v>
      </c>
      <c r="D188" s="1221" t="s">
        <v>2446</v>
      </c>
      <c r="E188" s="22" t="s">
        <v>2870</v>
      </c>
      <c r="F188" s="22" t="s">
        <v>2871</v>
      </c>
      <c r="G188" s="824">
        <f t="shared" si="270"/>
        <v>0.13472857267018534</v>
      </c>
      <c r="H188" s="824"/>
      <c r="I188" s="824">
        <f>+AH188/AH$187*100</f>
        <v>66.211745244003311</v>
      </c>
      <c r="J188" s="1222"/>
      <c r="K188" s="1222"/>
      <c r="L188" s="1222"/>
      <c r="M188" s="1223"/>
      <c r="N188" s="1223"/>
      <c r="O188" s="1223"/>
      <c r="P188" s="1222"/>
      <c r="Q188" s="1222"/>
      <c r="R188" s="1222"/>
      <c r="S188" s="1223"/>
      <c r="T188" s="1223"/>
      <c r="U188" s="1223"/>
      <c r="V188" s="1222">
        <v>50</v>
      </c>
      <c r="W188" s="1222"/>
      <c r="X188" s="1222"/>
      <c r="Y188" s="1223">
        <f>V188*80</f>
        <v>4000</v>
      </c>
      <c r="Z188" s="1223"/>
      <c r="AA188" s="1223"/>
      <c r="AB188" s="1222"/>
      <c r="AC188" s="1222"/>
      <c r="AD188" s="1222">
        <v>50</v>
      </c>
      <c r="AE188" s="1223"/>
      <c r="AF188" s="1223"/>
      <c r="AG188" s="1223">
        <f>AD188*80+5</f>
        <v>4005</v>
      </c>
      <c r="AH188" s="1223">
        <f t="shared" ref="AH188:AH189" si="350">M188+N188+O188+S188+T188+U188+Y188+Z188+AA188+AE188+AF188+AG188</f>
        <v>8005</v>
      </c>
      <c r="AI188" s="1223">
        <v>3410</v>
      </c>
      <c r="AJ188" s="1223"/>
      <c r="AK188" s="1223"/>
      <c r="AL188" s="1223">
        <v>4595</v>
      </c>
      <c r="AM188" s="1223"/>
      <c r="AN188" s="1223"/>
      <c r="AO188" s="1066" t="s">
        <v>2384</v>
      </c>
      <c r="AP188" s="1066" t="s">
        <v>2872</v>
      </c>
      <c r="AQ188" s="1066"/>
    </row>
    <row r="189" spans="1:43" ht="45">
      <c r="A189" s="22" t="s">
        <v>2873</v>
      </c>
      <c r="B189" s="22" t="s">
        <v>2874</v>
      </c>
      <c r="C189" s="1220">
        <f>+J189+K189+L189+P189+Q189+R189+V189+W189+X189+AB189+AC189+AD189</f>
        <v>1</v>
      </c>
      <c r="D189" s="1221" t="s">
        <v>57</v>
      </c>
      <c r="E189" s="22" t="s">
        <v>2875</v>
      </c>
      <c r="F189" s="22" t="s">
        <v>2876</v>
      </c>
      <c r="G189" s="824">
        <f t="shared" si="270"/>
        <v>6.8752806915391276E-2</v>
      </c>
      <c r="H189" s="824"/>
      <c r="I189" s="824">
        <f>+AH189/AH$187*100</f>
        <v>33.788254755996697</v>
      </c>
      <c r="J189" s="1222"/>
      <c r="K189" s="1222"/>
      <c r="L189" s="1222"/>
      <c r="M189" s="1223"/>
      <c r="N189" s="1223"/>
      <c r="O189" s="1223"/>
      <c r="P189" s="1222"/>
      <c r="Q189" s="1222"/>
      <c r="R189" s="1222">
        <v>1</v>
      </c>
      <c r="S189" s="1223"/>
      <c r="T189" s="1223"/>
      <c r="U189" s="1223">
        <v>4085</v>
      </c>
      <c r="V189" s="1222"/>
      <c r="W189" s="1222"/>
      <c r="X189" s="1222"/>
      <c r="Y189" s="1223"/>
      <c r="Z189" s="1223"/>
      <c r="AA189" s="1223"/>
      <c r="AB189" s="1222"/>
      <c r="AC189" s="1222"/>
      <c r="AD189" s="1222"/>
      <c r="AE189" s="1223"/>
      <c r="AF189" s="1223"/>
      <c r="AG189" s="1223"/>
      <c r="AH189" s="1223">
        <f t="shared" si="350"/>
        <v>4085</v>
      </c>
      <c r="AI189" s="1223">
        <v>455</v>
      </c>
      <c r="AJ189" s="1223"/>
      <c r="AK189" s="1223"/>
      <c r="AL189" s="1223">
        <v>3630</v>
      </c>
      <c r="AM189" s="1223"/>
      <c r="AN189" s="1223"/>
      <c r="AO189" s="1066" t="s">
        <v>2384</v>
      </c>
      <c r="AP189" s="1066" t="s">
        <v>2877</v>
      </c>
      <c r="AQ189" s="1066"/>
    </row>
    <row r="190" spans="1:43" ht="30">
      <c r="A190" s="18" t="s">
        <v>2878</v>
      </c>
      <c r="B190" s="18" t="s">
        <v>2879</v>
      </c>
      <c r="C190" s="642"/>
      <c r="D190" s="554" t="s">
        <v>57</v>
      </c>
      <c r="E190" s="18" t="s">
        <v>2880</v>
      </c>
      <c r="F190" s="18"/>
      <c r="G190" s="804">
        <f t="shared" si="270"/>
        <v>1.8060865875374876</v>
      </c>
      <c r="H190" s="804"/>
      <c r="I190" s="804"/>
      <c r="J190" s="805"/>
      <c r="K190" s="805"/>
      <c r="L190" s="805"/>
      <c r="M190" s="806"/>
      <c r="N190" s="806"/>
      <c r="O190" s="806"/>
      <c r="P190" s="805"/>
      <c r="Q190" s="805"/>
      <c r="R190" s="805"/>
      <c r="S190" s="806"/>
      <c r="T190" s="806"/>
      <c r="U190" s="806"/>
      <c r="V190" s="805"/>
      <c r="W190" s="805"/>
      <c r="X190" s="805"/>
      <c r="Y190" s="806">
        <f t="shared" ref="Y190" si="351">SUM(Y191:Y194)</f>
        <v>4510</v>
      </c>
      <c r="Z190" s="806"/>
      <c r="AA190" s="806"/>
      <c r="AB190" s="805"/>
      <c r="AC190" s="805"/>
      <c r="AD190" s="805"/>
      <c r="AE190" s="806">
        <f t="shared" ref="AE190:AG190" si="352">SUM(AE191:AE194)</f>
        <v>50955</v>
      </c>
      <c r="AF190" s="806"/>
      <c r="AG190" s="806">
        <f t="shared" si="352"/>
        <v>51845</v>
      </c>
      <c r="AH190" s="806">
        <f>SUM(AH191:AH194)</f>
        <v>107310</v>
      </c>
      <c r="AI190" s="806">
        <f>SUM(AI191:AI194)</f>
        <v>42065</v>
      </c>
      <c r="AJ190" s="806"/>
      <c r="AK190" s="806"/>
      <c r="AL190" s="806">
        <f>SUM(AL191:AL194)</f>
        <v>65245</v>
      </c>
      <c r="AM190" s="806"/>
      <c r="AN190" s="806"/>
      <c r="AO190" s="1073" t="s">
        <v>2384</v>
      </c>
      <c r="AP190" s="1073" t="s">
        <v>2385</v>
      </c>
      <c r="AQ190" s="1073"/>
    </row>
    <row r="191" spans="1:43" ht="45">
      <c r="A191" s="22" t="s">
        <v>2881</v>
      </c>
      <c r="B191" s="22" t="s">
        <v>2882</v>
      </c>
      <c r="C191" s="1220">
        <f>+J191+K191+L191+P191+Q191+R191+V191+W191+X191+AB191+AC191+AD191</f>
        <v>3</v>
      </c>
      <c r="D191" s="1221" t="s">
        <v>1962</v>
      </c>
      <c r="E191" s="22" t="s">
        <v>2883</v>
      </c>
      <c r="F191" s="22" t="s">
        <v>2884</v>
      </c>
      <c r="G191" s="824">
        <f t="shared" si="270"/>
        <v>0.28519371191708814</v>
      </c>
      <c r="H191" s="824"/>
      <c r="I191" s="824">
        <f>+AH191/AH$190*100</f>
        <v>15.790699841580469</v>
      </c>
      <c r="J191" s="1222"/>
      <c r="K191" s="1222"/>
      <c r="L191" s="1222"/>
      <c r="M191" s="1223"/>
      <c r="N191" s="1223"/>
      <c r="O191" s="1223"/>
      <c r="P191" s="1222"/>
      <c r="Q191" s="1222"/>
      <c r="R191" s="1222"/>
      <c r="S191" s="1223"/>
      <c r="T191" s="1223"/>
      <c r="U191" s="1223"/>
      <c r="V191" s="1222"/>
      <c r="W191" s="1222"/>
      <c r="X191" s="1222"/>
      <c r="Y191" s="1223"/>
      <c r="Z191" s="1223"/>
      <c r="AA191" s="1223"/>
      <c r="AB191" s="1222">
        <v>2</v>
      </c>
      <c r="AC191" s="1222"/>
      <c r="AD191" s="1222">
        <v>1</v>
      </c>
      <c r="AE191" s="1223">
        <f>AB191*5645</f>
        <v>11290</v>
      </c>
      <c r="AF191" s="1223"/>
      <c r="AG191" s="1223">
        <v>5655</v>
      </c>
      <c r="AH191" s="1223">
        <f t="shared" ref="AH191:AH194" si="353">M191+N191+O191+S191+T191+U191+Y191+Z191+AA191+AE191+AF191+AG191</f>
        <v>16945</v>
      </c>
      <c r="AI191" s="1223">
        <v>5230</v>
      </c>
      <c r="AJ191" s="1223"/>
      <c r="AK191" s="1223"/>
      <c r="AL191" s="1223">
        <v>11715</v>
      </c>
      <c r="AM191" s="1223"/>
      <c r="AN191" s="1223"/>
      <c r="AO191" s="1066" t="s">
        <v>2384</v>
      </c>
      <c r="AP191" s="1066" t="s">
        <v>2885</v>
      </c>
      <c r="AQ191" s="1066"/>
    </row>
    <row r="192" spans="1:43" ht="60">
      <c r="A192" s="22" t="s">
        <v>2886</v>
      </c>
      <c r="B192" s="22" t="s">
        <v>2887</v>
      </c>
      <c r="C192" s="1220">
        <f>+J192+K192+L192+P192+Q192+R192+V192+W192+X192+AB192+AC192+AD192</f>
        <v>1</v>
      </c>
      <c r="D192" s="1221" t="s">
        <v>57</v>
      </c>
      <c r="E192" s="22" t="s">
        <v>2888</v>
      </c>
      <c r="F192" s="22" t="s">
        <v>2889</v>
      </c>
      <c r="G192" s="824">
        <f t="shared" si="270"/>
        <v>0.66758386445507822</v>
      </c>
      <c r="H192" s="824"/>
      <c r="I192" s="824">
        <f t="shared" ref="I192:I194" si="354">+AH192/AH$190*100</f>
        <v>36.963004379834125</v>
      </c>
      <c r="J192" s="1222"/>
      <c r="K192" s="1222"/>
      <c r="L192" s="1222"/>
      <c r="M192" s="1223"/>
      <c r="N192" s="1223"/>
      <c r="O192" s="1223"/>
      <c r="P192" s="1222"/>
      <c r="Q192" s="1222"/>
      <c r="R192" s="1222"/>
      <c r="S192" s="1223"/>
      <c r="T192" s="1223"/>
      <c r="U192" s="1223"/>
      <c r="V192" s="1222"/>
      <c r="W192" s="1222"/>
      <c r="X192" s="1222"/>
      <c r="Y192" s="1223"/>
      <c r="Z192" s="1223"/>
      <c r="AA192" s="1223"/>
      <c r="AB192" s="1222">
        <v>1</v>
      </c>
      <c r="AC192" s="1222"/>
      <c r="AD192" s="1222"/>
      <c r="AE192" s="1223">
        <v>39665</v>
      </c>
      <c r="AF192" s="1223"/>
      <c r="AG192" s="1223"/>
      <c r="AH192" s="1223">
        <f t="shared" si="353"/>
        <v>39665</v>
      </c>
      <c r="AI192" s="1223">
        <v>34105</v>
      </c>
      <c r="AJ192" s="1223"/>
      <c r="AK192" s="1223"/>
      <c r="AL192" s="1223">
        <v>5560</v>
      </c>
      <c r="AM192" s="1223"/>
      <c r="AN192" s="1223"/>
      <c r="AO192" s="1066" t="s">
        <v>2384</v>
      </c>
      <c r="AP192" s="1066" t="s">
        <v>2890</v>
      </c>
      <c r="AQ192" s="1066"/>
    </row>
    <row r="193" spans="1:43" ht="60">
      <c r="A193" s="22" t="s">
        <v>2891</v>
      </c>
      <c r="B193" s="22" t="s">
        <v>2892</v>
      </c>
      <c r="C193" s="1220">
        <f>+J193+K193+L193+P193+Q193+R193+V193+W193+X193+AB193+AC193+AD193</f>
        <v>1</v>
      </c>
      <c r="D193" s="1221" t="s">
        <v>52</v>
      </c>
      <c r="E193" s="22" t="s">
        <v>2893</v>
      </c>
      <c r="F193" s="22" t="s">
        <v>2894</v>
      </c>
      <c r="G193" s="824">
        <f t="shared" si="270"/>
        <v>0.62584409428367793</v>
      </c>
      <c r="H193" s="824"/>
      <c r="I193" s="824">
        <f t="shared" si="354"/>
        <v>34.651942968968406</v>
      </c>
      <c r="J193" s="1222"/>
      <c r="K193" s="1222"/>
      <c r="L193" s="1222"/>
      <c r="M193" s="1223"/>
      <c r="N193" s="1223"/>
      <c r="O193" s="1223"/>
      <c r="P193" s="1222"/>
      <c r="Q193" s="1222"/>
      <c r="R193" s="1222"/>
      <c r="S193" s="1223"/>
      <c r="T193" s="1223"/>
      <c r="U193" s="1223"/>
      <c r="V193" s="1222"/>
      <c r="W193" s="1222"/>
      <c r="X193" s="1222"/>
      <c r="Y193" s="1223"/>
      <c r="Z193" s="1223"/>
      <c r="AA193" s="1223"/>
      <c r="AB193" s="1222"/>
      <c r="AC193" s="1222"/>
      <c r="AD193" s="1222">
        <v>1</v>
      </c>
      <c r="AE193" s="1223"/>
      <c r="AF193" s="1223"/>
      <c r="AG193" s="1223">
        <v>37185</v>
      </c>
      <c r="AH193" s="1223">
        <f t="shared" si="353"/>
        <v>37185</v>
      </c>
      <c r="AI193" s="1223">
        <v>910</v>
      </c>
      <c r="AJ193" s="1223"/>
      <c r="AK193" s="1223"/>
      <c r="AL193" s="1223">
        <v>36275</v>
      </c>
      <c r="AM193" s="1223"/>
      <c r="AN193" s="1223"/>
      <c r="AO193" s="1066" t="s">
        <v>2384</v>
      </c>
      <c r="AP193" s="1066" t="s">
        <v>2431</v>
      </c>
      <c r="AQ193" s="1066"/>
    </row>
    <row r="194" spans="1:43" ht="45">
      <c r="A194" s="22" t="s">
        <v>2895</v>
      </c>
      <c r="B194" s="22" t="s">
        <v>2896</v>
      </c>
      <c r="C194" s="1220">
        <f>+J194+K194+L194+P194+Q194+R194+V194+W194+X194+AB194+AC194+AD194</f>
        <v>75</v>
      </c>
      <c r="D194" s="1221" t="s">
        <v>2446</v>
      </c>
      <c r="E194" s="22" t="s">
        <v>2897</v>
      </c>
      <c r="F194" s="22" t="s">
        <v>2898</v>
      </c>
      <c r="G194" s="824">
        <f t="shared" si="270"/>
        <v>0.22746491688164333</v>
      </c>
      <c r="H194" s="824"/>
      <c r="I194" s="824">
        <f t="shared" si="354"/>
        <v>12.594352809616998</v>
      </c>
      <c r="J194" s="1222"/>
      <c r="K194" s="1222"/>
      <c r="L194" s="1222"/>
      <c r="M194" s="1223"/>
      <c r="N194" s="1223"/>
      <c r="O194" s="1223"/>
      <c r="P194" s="1222"/>
      <c r="Q194" s="1222"/>
      <c r="R194" s="1222"/>
      <c r="S194" s="1223"/>
      <c r="T194" s="1223"/>
      <c r="U194" s="1223"/>
      <c r="V194" s="1222">
        <v>25</v>
      </c>
      <c r="W194" s="1222"/>
      <c r="X194" s="1222"/>
      <c r="Y194" s="1223">
        <f>V194*180+10</f>
        <v>4510</v>
      </c>
      <c r="Z194" s="1223"/>
      <c r="AA194" s="1223"/>
      <c r="AB194" s="1222"/>
      <c r="AC194" s="1222"/>
      <c r="AD194" s="1222">
        <v>50</v>
      </c>
      <c r="AE194" s="1223"/>
      <c r="AF194" s="1223"/>
      <c r="AG194" s="1223">
        <f>AD194*180+5</f>
        <v>9005</v>
      </c>
      <c r="AH194" s="1223">
        <f t="shared" si="353"/>
        <v>13515</v>
      </c>
      <c r="AI194" s="1223">
        <v>1820</v>
      </c>
      <c r="AJ194" s="1223"/>
      <c r="AK194" s="1223"/>
      <c r="AL194" s="1223">
        <v>11695</v>
      </c>
      <c r="AM194" s="1223"/>
      <c r="AN194" s="1223"/>
      <c r="AO194" s="1066" t="s">
        <v>2384</v>
      </c>
      <c r="AP194" s="1066" t="s">
        <v>2872</v>
      </c>
      <c r="AQ194" s="1066"/>
    </row>
    <row r="195" spans="1:43" ht="45">
      <c r="A195" s="18" t="s">
        <v>2899</v>
      </c>
      <c r="B195" s="18" t="s">
        <v>2900</v>
      </c>
      <c r="C195" s="642"/>
      <c r="D195" s="554" t="s">
        <v>944</v>
      </c>
      <c r="E195" s="18" t="s">
        <v>2901</v>
      </c>
      <c r="F195" s="18"/>
      <c r="G195" s="804">
        <f t="shared" si="270"/>
        <v>0.27635767186064253</v>
      </c>
      <c r="H195" s="804"/>
      <c r="I195" s="804"/>
      <c r="J195" s="805"/>
      <c r="K195" s="805"/>
      <c r="L195" s="805"/>
      <c r="M195" s="806">
        <f t="shared" ref="M195" si="355">SUM(M196)</f>
        <v>16420</v>
      </c>
      <c r="N195" s="806"/>
      <c r="O195" s="806"/>
      <c r="P195" s="805"/>
      <c r="Q195" s="805"/>
      <c r="R195" s="805"/>
      <c r="S195" s="806"/>
      <c r="T195" s="806"/>
      <c r="U195" s="806"/>
      <c r="V195" s="805"/>
      <c r="W195" s="805"/>
      <c r="X195" s="805"/>
      <c r="Y195" s="806"/>
      <c r="Z195" s="806"/>
      <c r="AA195" s="806"/>
      <c r="AB195" s="805"/>
      <c r="AC195" s="805"/>
      <c r="AD195" s="805"/>
      <c r="AE195" s="806"/>
      <c r="AF195" s="806"/>
      <c r="AG195" s="806"/>
      <c r="AH195" s="806">
        <f>SUM(AH196)</f>
        <v>16420</v>
      </c>
      <c r="AI195" s="806">
        <f>SUM(AI196)</f>
        <v>3755</v>
      </c>
      <c r="AJ195" s="806"/>
      <c r="AK195" s="806"/>
      <c r="AL195" s="806">
        <f>SUM(AL196)</f>
        <v>12665</v>
      </c>
      <c r="AM195" s="806"/>
      <c r="AN195" s="806"/>
      <c r="AO195" s="1073" t="s">
        <v>2384</v>
      </c>
      <c r="AP195" s="1073" t="s">
        <v>2385</v>
      </c>
      <c r="AQ195" s="1073"/>
    </row>
    <row r="196" spans="1:43" ht="45">
      <c r="A196" s="22" t="s">
        <v>2902</v>
      </c>
      <c r="B196" s="22" t="s">
        <v>2903</v>
      </c>
      <c r="C196" s="1220">
        <f>+J196+K196+L196+P196+Q196+R196+V196+W196+X196+AB196+AC196+AD196</f>
        <v>3</v>
      </c>
      <c r="D196" s="1221" t="s">
        <v>944</v>
      </c>
      <c r="E196" s="22" t="s">
        <v>2901</v>
      </c>
      <c r="F196" s="22" t="s">
        <v>2904</v>
      </c>
      <c r="G196" s="824">
        <f t="shared" si="270"/>
        <v>0.27635767186064253</v>
      </c>
      <c r="H196" s="824"/>
      <c r="I196" s="824">
        <f>+AH196/AH195*100</f>
        <v>100</v>
      </c>
      <c r="J196" s="1222">
        <v>3</v>
      </c>
      <c r="K196" s="1222"/>
      <c r="L196" s="1222"/>
      <c r="M196" s="1223">
        <v>16420</v>
      </c>
      <c r="N196" s="1223"/>
      <c r="O196" s="1223"/>
      <c r="P196" s="1222"/>
      <c r="Q196" s="1222"/>
      <c r="R196" s="1222"/>
      <c r="S196" s="1223"/>
      <c r="T196" s="1223"/>
      <c r="U196" s="1223"/>
      <c r="V196" s="1222"/>
      <c r="W196" s="1222"/>
      <c r="X196" s="1222"/>
      <c r="Y196" s="1223"/>
      <c r="Z196" s="1223"/>
      <c r="AA196" s="1223"/>
      <c r="AB196" s="1222"/>
      <c r="AC196" s="1222"/>
      <c r="AD196" s="1222"/>
      <c r="AE196" s="1223"/>
      <c r="AF196" s="1223"/>
      <c r="AG196" s="1223"/>
      <c r="AH196" s="1223">
        <f>M196+N196+O196+S196+T196+U196+Y196+Z196+AA196+AE196+AF196+AG196</f>
        <v>16420</v>
      </c>
      <c r="AI196" s="1223">
        <v>3755</v>
      </c>
      <c r="AJ196" s="1223"/>
      <c r="AK196" s="1223"/>
      <c r="AL196" s="1223">
        <v>12665</v>
      </c>
      <c r="AM196" s="1223"/>
      <c r="AN196" s="1223"/>
      <c r="AO196" s="1066" t="s">
        <v>2384</v>
      </c>
      <c r="AP196" s="1066" t="s">
        <v>2890</v>
      </c>
      <c r="AQ196" s="1066"/>
    </row>
    <row r="197" spans="1:43" ht="30">
      <c r="A197" s="10" t="s">
        <v>2905</v>
      </c>
      <c r="B197" s="10" t="s">
        <v>798</v>
      </c>
      <c r="C197" s="11"/>
      <c r="D197" s="10"/>
      <c r="E197" s="10"/>
      <c r="F197" s="10"/>
      <c r="G197" s="1215">
        <f t="shared" si="270"/>
        <v>1.9587497969393846</v>
      </c>
      <c r="H197" s="1215"/>
      <c r="I197" s="1215"/>
      <c r="J197" s="1216"/>
      <c r="K197" s="1216"/>
      <c r="L197" s="1216"/>
      <c r="M197" s="1217"/>
      <c r="N197" s="1217"/>
      <c r="O197" s="1217"/>
      <c r="P197" s="1216"/>
      <c r="Q197" s="1216"/>
      <c r="R197" s="1216"/>
      <c r="S197" s="1217">
        <f t="shared" ref="S197" si="356">S198</f>
        <v>2185</v>
      </c>
      <c r="T197" s="1217"/>
      <c r="U197" s="1217"/>
      <c r="V197" s="1216"/>
      <c r="W197" s="1216"/>
      <c r="X197" s="1216"/>
      <c r="Y197" s="1217">
        <f t="shared" ref="Y197" si="357">Y198</f>
        <v>2190</v>
      </c>
      <c r="Z197" s="1217"/>
      <c r="AA197" s="1217"/>
      <c r="AB197" s="1216"/>
      <c r="AC197" s="1216"/>
      <c r="AD197" s="1216"/>
      <c r="AE197" s="1217"/>
      <c r="AF197" s="1217">
        <f t="shared" ref="AF197" si="358">AF198</f>
        <v>112005.6</v>
      </c>
      <c r="AG197" s="1217"/>
      <c r="AH197" s="1217">
        <f>AH198</f>
        <v>116380.6</v>
      </c>
      <c r="AI197" s="1217">
        <f>AI198</f>
        <v>3410</v>
      </c>
      <c r="AJ197" s="1217"/>
      <c r="AK197" s="1217">
        <f>AK198</f>
        <v>112005.6</v>
      </c>
      <c r="AL197" s="1217">
        <f>AL198</f>
        <v>965</v>
      </c>
      <c r="AM197" s="1217"/>
      <c r="AN197" s="1217"/>
      <c r="AO197" s="1218" t="s">
        <v>2384</v>
      </c>
      <c r="AP197" s="1218" t="s">
        <v>2385</v>
      </c>
      <c r="AQ197" s="1218"/>
    </row>
    <row r="198" spans="1:43" ht="30">
      <c r="A198" s="14" t="s">
        <v>2906</v>
      </c>
      <c r="B198" s="14" t="s">
        <v>800</v>
      </c>
      <c r="C198" s="15"/>
      <c r="D198" s="14"/>
      <c r="E198" s="14"/>
      <c r="F198" s="14"/>
      <c r="G198" s="683">
        <f t="shared" si="270"/>
        <v>1.9587497969393846</v>
      </c>
      <c r="H198" s="683">
        <f>+G198</f>
        <v>1.9587497969393846</v>
      </c>
      <c r="I198" s="683"/>
      <c r="J198" s="684"/>
      <c r="K198" s="684"/>
      <c r="L198" s="684"/>
      <c r="M198" s="685"/>
      <c r="N198" s="685"/>
      <c r="O198" s="685"/>
      <c r="P198" s="684"/>
      <c r="Q198" s="684"/>
      <c r="R198" s="684"/>
      <c r="S198" s="685">
        <f t="shared" ref="S198" si="359">S199+S201</f>
        <v>2185</v>
      </c>
      <c r="T198" s="685"/>
      <c r="U198" s="685"/>
      <c r="V198" s="684"/>
      <c r="W198" s="684"/>
      <c r="X198" s="684"/>
      <c r="Y198" s="685">
        <f t="shared" ref="Y198" si="360">Y199+Y201</f>
        <v>2190</v>
      </c>
      <c r="Z198" s="685"/>
      <c r="AA198" s="685"/>
      <c r="AB198" s="684"/>
      <c r="AC198" s="684"/>
      <c r="AD198" s="684"/>
      <c r="AE198" s="685">
        <f t="shared" ref="AE198:AF198" si="361">AE199+AE201</f>
        <v>0</v>
      </c>
      <c r="AF198" s="685">
        <f t="shared" si="361"/>
        <v>112005.6</v>
      </c>
      <c r="AG198" s="685"/>
      <c r="AH198" s="685">
        <f>AH199+AH201</f>
        <v>116380.6</v>
      </c>
      <c r="AI198" s="685">
        <f>AI199+AI201</f>
        <v>3410</v>
      </c>
      <c r="AJ198" s="685"/>
      <c r="AK198" s="685">
        <f>AK199+AK201</f>
        <v>112005.6</v>
      </c>
      <c r="AL198" s="685">
        <f>AL199+AL201</f>
        <v>965</v>
      </c>
      <c r="AM198" s="685"/>
      <c r="AN198" s="685"/>
      <c r="AO198" s="1219" t="s">
        <v>2384</v>
      </c>
      <c r="AP198" s="1219" t="s">
        <v>2385</v>
      </c>
      <c r="AQ198" s="1219"/>
    </row>
    <row r="199" spans="1:43" ht="30">
      <c r="A199" s="18" t="s">
        <v>2907</v>
      </c>
      <c r="B199" s="18" t="s">
        <v>802</v>
      </c>
      <c r="C199" s="642"/>
      <c r="D199" s="554" t="s">
        <v>2908</v>
      </c>
      <c r="E199" s="18" t="s">
        <v>2909</v>
      </c>
      <c r="F199" s="18"/>
      <c r="G199" s="804">
        <f t="shared" si="270"/>
        <v>1.8851161298023376</v>
      </c>
      <c r="H199" s="804"/>
      <c r="I199" s="804"/>
      <c r="J199" s="805"/>
      <c r="K199" s="805"/>
      <c r="L199" s="805"/>
      <c r="M199" s="806"/>
      <c r="N199" s="806"/>
      <c r="O199" s="806"/>
      <c r="P199" s="805"/>
      <c r="Q199" s="805"/>
      <c r="R199" s="805"/>
      <c r="S199" s="806"/>
      <c r="T199" s="806"/>
      <c r="U199" s="806"/>
      <c r="V199" s="805"/>
      <c r="W199" s="805"/>
      <c r="X199" s="805"/>
      <c r="Y199" s="806"/>
      <c r="Z199" s="806"/>
      <c r="AA199" s="806"/>
      <c r="AB199" s="805"/>
      <c r="AC199" s="805"/>
      <c r="AD199" s="805"/>
      <c r="AE199" s="806"/>
      <c r="AF199" s="806">
        <f t="shared" ref="AF199" si="362">SUM(AF200)</f>
        <v>112005.6</v>
      </c>
      <c r="AG199" s="806"/>
      <c r="AH199" s="806">
        <f>SUM(AH200)</f>
        <v>112005.6</v>
      </c>
      <c r="AI199" s="806"/>
      <c r="AJ199" s="806"/>
      <c r="AK199" s="806">
        <f>SUM(AK200)</f>
        <v>112005.6</v>
      </c>
      <c r="AL199" s="806"/>
      <c r="AM199" s="806"/>
      <c r="AN199" s="806"/>
      <c r="AO199" s="1073" t="s">
        <v>2384</v>
      </c>
      <c r="AP199" s="1073" t="s">
        <v>2385</v>
      </c>
      <c r="AQ199" s="1073"/>
    </row>
    <row r="200" spans="1:43" ht="45">
      <c r="A200" s="22" t="s">
        <v>2910</v>
      </c>
      <c r="B200" s="22" t="s">
        <v>2911</v>
      </c>
      <c r="C200" s="1220">
        <f>+J200+K200+L200+P200+Q200+R200+V200+W200+X200+AB200+AC200+AD200</f>
        <v>10</v>
      </c>
      <c r="D200" s="1221" t="s">
        <v>2912</v>
      </c>
      <c r="E200" s="22" t="s">
        <v>2913</v>
      </c>
      <c r="F200" s="22" t="s">
        <v>2914</v>
      </c>
      <c r="G200" s="824">
        <f t="shared" si="270"/>
        <v>1.8851161298023376</v>
      </c>
      <c r="H200" s="824"/>
      <c r="I200" s="824"/>
      <c r="J200" s="1222"/>
      <c r="K200" s="1222"/>
      <c r="L200" s="1222"/>
      <c r="M200" s="1223"/>
      <c r="N200" s="1223"/>
      <c r="O200" s="1223"/>
      <c r="P200" s="1222"/>
      <c r="Q200" s="1222"/>
      <c r="R200" s="1222"/>
      <c r="S200" s="1223"/>
      <c r="T200" s="1223"/>
      <c r="U200" s="1223"/>
      <c r="V200" s="1222"/>
      <c r="W200" s="1222"/>
      <c r="X200" s="1222"/>
      <c r="Y200" s="1223"/>
      <c r="Z200" s="1223"/>
      <c r="AA200" s="1223"/>
      <c r="AB200" s="1222"/>
      <c r="AC200" s="1222">
        <v>10</v>
      </c>
      <c r="AD200" s="1222"/>
      <c r="AE200" s="1223"/>
      <c r="AF200" s="1223">
        <v>112005.6</v>
      </c>
      <c r="AG200" s="1223"/>
      <c r="AH200" s="1223">
        <f>M200+N200+O200+S200+T200+U200+Y200+Z200+AA200+AE200+AF200+AG200</f>
        <v>112005.6</v>
      </c>
      <c r="AI200" s="1223"/>
      <c r="AJ200" s="1223"/>
      <c r="AK200" s="1223">
        <v>112005.6</v>
      </c>
      <c r="AL200" s="1223"/>
      <c r="AM200" s="1223"/>
      <c r="AN200" s="1223"/>
      <c r="AO200" s="1066"/>
      <c r="AP200" s="1066"/>
      <c r="AQ200" s="1066"/>
    </row>
    <row r="201" spans="1:43" ht="30">
      <c r="A201" s="18" t="s">
        <v>2915</v>
      </c>
      <c r="B201" s="18" t="s">
        <v>2916</v>
      </c>
      <c r="C201" s="642"/>
      <c r="D201" s="554" t="s">
        <v>2917</v>
      </c>
      <c r="E201" s="18" t="s">
        <v>2918</v>
      </c>
      <c r="F201" s="18"/>
      <c r="G201" s="804">
        <f t="shared" si="270"/>
        <v>7.3633667137046957E-2</v>
      </c>
      <c r="H201" s="804"/>
      <c r="I201" s="804"/>
      <c r="J201" s="805"/>
      <c r="K201" s="805"/>
      <c r="L201" s="805"/>
      <c r="M201" s="806"/>
      <c r="N201" s="806"/>
      <c r="O201" s="806"/>
      <c r="P201" s="805"/>
      <c r="Q201" s="805"/>
      <c r="R201" s="805"/>
      <c r="S201" s="806">
        <f t="shared" ref="S201" si="363">SUM(S202)</f>
        <v>2185</v>
      </c>
      <c r="T201" s="806"/>
      <c r="U201" s="806"/>
      <c r="V201" s="805"/>
      <c r="W201" s="805"/>
      <c r="X201" s="805"/>
      <c r="Y201" s="806">
        <f t="shared" ref="Y201" si="364">SUM(Y202)</f>
        <v>2190</v>
      </c>
      <c r="Z201" s="806"/>
      <c r="AA201" s="806"/>
      <c r="AB201" s="805"/>
      <c r="AC201" s="805"/>
      <c r="AD201" s="805"/>
      <c r="AE201" s="806"/>
      <c r="AF201" s="806"/>
      <c r="AG201" s="806"/>
      <c r="AH201" s="806">
        <f>SUM(AH202)</f>
        <v>4375</v>
      </c>
      <c r="AI201" s="806">
        <f>SUM(AI202)</f>
        <v>3410</v>
      </c>
      <c r="AJ201" s="806"/>
      <c r="AK201" s="806"/>
      <c r="AL201" s="806">
        <f>SUM(AL202)</f>
        <v>965</v>
      </c>
      <c r="AM201" s="806"/>
      <c r="AN201" s="806"/>
      <c r="AO201" s="1073" t="s">
        <v>2384</v>
      </c>
      <c r="AP201" s="1073" t="s">
        <v>2385</v>
      </c>
      <c r="AQ201" s="1073"/>
    </row>
    <row r="202" spans="1:43" ht="45">
      <c r="A202" s="22" t="s">
        <v>2919</v>
      </c>
      <c r="B202" s="22" t="s">
        <v>2920</v>
      </c>
      <c r="C202" s="1220">
        <f>+J202+K202+L202+P202+Q202+R202+V202+W202+X202+AB202+AC202+AD202</f>
        <v>2</v>
      </c>
      <c r="D202" s="1221" t="s">
        <v>159</v>
      </c>
      <c r="E202" s="22" t="s">
        <v>2921</v>
      </c>
      <c r="F202" s="22" t="s">
        <v>2922</v>
      </c>
      <c r="G202" s="824">
        <f t="shared" ref="G202:G265" si="365">+AH202/AH$289*100</f>
        <v>7.3633667137046957E-2</v>
      </c>
      <c r="H202" s="824"/>
      <c r="I202" s="824">
        <f>+AH202/AH201*100</f>
        <v>100</v>
      </c>
      <c r="J202" s="1222"/>
      <c r="K202" s="1222"/>
      <c r="L202" s="1222"/>
      <c r="M202" s="1223"/>
      <c r="N202" s="1223"/>
      <c r="O202" s="1223"/>
      <c r="P202" s="1222">
        <v>1</v>
      </c>
      <c r="Q202" s="1222"/>
      <c r="R202" s="1222"/>
      <c r="S202" s="1223">
        <v>2185</v>
      </c>
      <c r="T202" s="1223"/>
      <c r="U202" s="1223"/>
      <c r="V202" s="1222">
        <v>1</v>
      </c>
      <c r="W202" s="1222"/>
      <c r="X202" s="1222"/>
      <c r="Y202" s="1223">
        <f>2185+5</f>
        <v>2190</v>
      </c>
      <c r="Z202" s="1223"/>
      <c r="AA202" s="1223"/>
      <c r="AB202" s="1222"/>
      <c r="AC202" s="1222"/>
      <c r="AD202" s="1222"/>
      <c r="AE202" s="1223"/>
      <c r="AF202" s="1223"/>
      <c r="AG202" s="1223"/>
      <c r="AH202" s="1223">
        <f>M202+N202+O202+S202+T202+U202+Y202+Z202+AA202+AE202+AF202+AG202</f>
        <v>4375</v>
      </c>
      <c r="AI202" s="1223">
        <v>3410</v>
      </c>
      <c r="AJ202" s="1223"/>
      <c r="AK202" s="1223"/>
      <c r="AL202" s="1223">
        <v>965</v>
      </c>
      <c r="AM202" s="1223"/>
      <c r="AN202" s="1223"/>
      <c r="AO202" s="1066" t="s">
        <v>2384</v>
      </c>
      <c r="AP202" s="1066" t="s">
        <v>2923</v>
      </c>
      <c r="AQ202" s="1066" t="s">
        <v>2924</v>
      </c>
    </row>
    <row r="203" spans="1:43" ht="30">
      <c r="A203" s="1162" t="s">
        <v>379</v>
      </c>
      <c r="B203" s="1214" t="s">
        <v>2925</v>
      </c>
      <c r="C203" s="1212"/>
      <c r="D203" s="1214"/>
      <c r="E203" s="1214"/>
      <c r="F203" s="1214"/>
      <c r="G203" s="1211">
        <f t="shared" si="365"/>
        <v>42.194026783064075</v>
      </c>
      <c r="H203" s="1211"/>
      <c r="I203" s="1211"/>
      <c r="J203" s="1212"/>
      <c r="K203" s="1212"/>
      <c r="L203" s="1212"/>
      <c r="M203" s="1213">
        <f t="shared" ref="M203:O203" si="366">M204</f>
        <v>162645</v>
      </c>
      <c r="N203" s="1213">
        <f t="shared" si="366"/>
        <v>172850</v>
      </c>
      <c r="O203" s="1213">
        <f t="shared" si="366"/>
        <v>344200</v>
      </c>
      <c r="P203" s="1212"/>
      <c r="Q203" s="1212"/>
      <c r="R203" s="1212"/>
      <c r="S203" s="1213">
        <f t="shared" ref="S203:U203" si="367">S204</f>
        <v>250685</v>
      </c>
      <c r="T203" s="1213">
        <f t="shared" si="367"/>
        <v>182550</v>
      </c>
      <c r="U203" s="1213">
        <f t="shared" si="367"/>
        <v>195155</v>
      </c>
      <c r="V203" s="1212"/>
      <c r="W203" s="1212"/>
      <c r="X203" s="1212"/>
      <c r="Y203" s="1213">
        <f t="shared" ref="Y203:AA203" si="368">Y204</f>
        <v>219330</v>
      </c>
      <c r="Z203" s="1213">
        <f t="shared" si="368"/>
        <v>154935</v>
      </c>
      <c r="AA203" s="1213">
        <f t="shared" si="368"/>
        <v>266070</v>
      </c>
      <c r="AB203" s="1212"/>
      <c r="AC203" s="1212"/>
      <c r="AD203" s="1212"/>
      <c r="AE203" s="1213">
        <f t="shared" ref="AE203:AG203" si="369">AE204</f>
        <v>215735</v>
      </c>
      <c r="AF203" s="1213">
        <f t="shared" si="369"/>
        <v>137485</v>
      </c>
      <c r="AG203" s="1213">
        <f t="shared" si="369"/>
        <v>205350</v>
      </c>
      <c r="AH203" s="1213">
        <f>AH204</f>
        <v>2506990</v>
      </c>
      <c r="AI203" s="1213">
        <f>AI204</f>
        <v>1077805</v>
      </c>
      <c r="AJ203" s="1213"/>
      <c r="AK203" s="1213"/>
      <c r="AL203" s="1213">
        <f>AL204</f>
        <v>1429185</v>
      </c>
      <c r="AM203" s="1213"/>
      <c r="AN203" s="1213"/>
      <c r="AO203" s="1238" t="s">
        <v>2384</v>
      </c>
      <c r="AP203" s="1214" t="s">
        <v>2385</v>
      </c>
      <c r="AQ203" s="1239"/>
    </row>
    <row r="204" spans="1:43" ht="30">
      <c r="A204" s="1165" t="s">
        <v>2926</v>
      </c>
      <c r="B204" s="1218" t="s">
        <v>2927</v>
      </c>
      <c r="C204" s="1216"/>
      <c r="D204" s="1218"/>
      <c r="E204" s="1218"/>
      <c r="F204" s="1218"/>
      <c r="G204" s="1215">
        <f t="shared" si="365"/>
        <v>42.194026783064075</v>
      </c>
      <c r="H204" s="1215"/>
      <c r="I204" s="1215"/>
      <c r="J204" s="1216"/>
      <c r="K204" s="1216"/>
      <c r="L204" s="1216"/>
      <c r="M204" s="1217">
        <f t="shared" ref="M204:O204" si="370">M205+M213+M227+M231+M246+M251+M258+M265+M275</f>
        <v>162645</v>
      </c>
      <c r="N204" s="1217">
        <f t="shared" si="370"/>
        <v>172850</v>
      </c>
      <c r="O204" s="1217">
        <f t="shared" si="370"/>
        <v>344200</v>
      </c>
      <c r="P204" s="1216"/>
      <c r="Q204" s="1216"/>
      <c r="R204" s="1216"/>
      <c r="S204" s="1217">
        <f t="shared" ref="S204:U204" si="371">S205+S213+S227+S231+S246+S251+S258+S265+S275</f>
        <v>250685</v>
      </c>
      <c r="T204" s="1217">
        <f t="shared" si="371"/>
        <v>182550</v>
      </c>
      <c r="U204" s="1217">
        <f t="shared" si="371"/>
        <v>195155</v>
      </c>
      <c r="V204" s="1216"/>
      <c r="W204" s="1216"/>
      <c r="X204" s="1216"/>
      <c r="Y204" s="1217">
        <f t="shared" ref="Y204:AA204" si="372">Y205+Y213+Y227+Y231+Y246+Y251+Y258+Y265+Y275</f>
        <v>219330</v>
      </c>
      <c r="Z204" s="1217">
        <f t="shared" si="372"/>
        <v>154935</v>
      </c>
      <c r="AA204" s="1217">
        <f t="shared" si="372"/>
        <v>266070</v>
      </c>
      <c r="AB204" s="1216"/>
      <c r="AC204" s="1216"/>
      <c r="AD204" s="1216"/>
      <c r="AE204" s="1217">
        <f t="shared" ref="AE204:AF204" si="373">AE205+AE213+AE227+AE231+AE246+AE251+AE258+AE265+AE275</f>
        <v>215735</v>
      </c>
      <c r="AF204" s="1217">
        <f t="shared" si="373"/>
        <v>137485</v>
      </c>
      <c r="AG204" s="1217">
        <f>AG205+AG213+AG227+AG231+AG246+AG251+AG258+AG265+AG275</f>
        <v>205350</v>
      </c>
      <c r="AH204" s="1217">
        <f>AH205+AH213+AH227+AH231+AH246+AH251+AH258+AH265+AH275</f>
        <v>2506990</v>
      </c>
      <c r="AI204" s="1217">
        <f>AI205+AI213+AI227+AI231+AI246+AI251+AI258+AI265+AI275</f>
        <v>1077805</v>
      </c>
      <c r="AJ204" s="1217"/>
      <c r="AK204" s="1217"/>
      <c r="AL204" s="1217">
        <f>AL205+AL213+AL227+AL231+AL246+AL251+AL258+AL265+AL275</f>
        <v>1429185</v>
      </c>
      <c r="AM204" s="1217"/>
      <c r="AN204" s="1217"/>
      <c r="AO204" s="1218" t="s">
        <v>2384</v>
      </c>
      <c r="AP204" s="1240" t="s">
        <v>2385</v>
      </c>
      <c r="AQ204" s="1241"/>
    </row>
    <row r="205" spans="1:43" ht="30">
      <c r="A205" s="1019" t="s">
        <v>2928</v>
      </c>
      <c r="B205" s="1219" t="s">
        <v>2929</v>
      </c>
      <c r="C205" s="684"/>
      <c r="D205" s="1219"/>
      <c r="E205" s="1219"/>
      <c r="F205" s="1219"/>
      <c r="G205" s="683">
        <f t="shared" si="365"/>
        <v>2.6732808045057945</v>
      </c>
      <c r="H205" s="683">
        <f>+G205</f>
        <v>2.6732808045057945</v>
      </c>
      <c r="I205" s="683"/>
      <c r="J205" s="684"/>
      <c r="K205" s="684"/>
      <c r="L205" s="684"/>
      <c r="M205" s="685">
        <f t="shared" ref="M205:O205" si="374">M206</f>
        <v>10050</v>
      </c>
      <c r="N205" s="685">
        <f t="shared" si="374"/>
        <v>7155</v>
      </c>
      <c r="O205" s="685">
        <f t="shared" si="374"/>
        <v>10330</v>
      </c>
      <c r="P205" s="684"/>
      <c r="Q205" s="684"/>
      <c r="R205" s="684"/>
      <c r="S205" s="685">
        <f t="shared" ref="S205:U205" si="375">S206</f>
        <v>13890</v>
      </c>
      <c r="T205" s="685">
        <f t="shared" si="375"/>
        <v>21525</v>
      </c>
      <c r="U205" s="685">
        <f t="shared" si="375"/>
        <v>6800</v>
      </c>
      <c r="V205" s="684"/>
      <c r="W205" s="684"/>
      <c r="X205" s="684"/>
      <c r="Y205" s="685">
        <f t="shared" ref="Y205:AA205" si="376">Y206</f>
        <v>7060</v>
      </c>
      <c r="Z205" s="685">
        <f t="shared" si="376"/>
        <v>5490</v>
      </c>
      <c r="AA205" s="685">
        <f t="shared" si="376"/>
        <v>4755</v>
      </c>
      <c r="AB205" s="684"/>
      <c r="AC205" s="684"/>
      <c r="AD205" s="684"/>
      <c r="AE205" s="685">
        <f t="shared" ref="AE205:AG205" si="377">AE206</f>
        <v>2050</v>
      </c>
      <c r="AF205" s="685">
        <f t="shared" si="377"/>
        <v>4885</v>
      </c>
      <c r="AG205" s="685">
        <f t="shared" si="377"/>
        <v>64845</v>
      </c>
      <c r="AH205" s="685">
        <f>AH206</f>
        <v>158835</v>
      </c>
      <c r="AI205" s="685">
        <f>AI206</f>
        <v>77400</v>
      </c>
      <c r="AJ205" s="685"/>
      <c r="AK205" s="685"/>
      <c r="AL205" s="685">
        <f>AL206</f>
        <v>81435</v>
      </c>
      <c r="AM205" s="685"/>
      <c r="AN205" s="685"/>
      <c r="AO205" s="1219" t="s">
        <v>2384</v>
      </c>
      <c r="AP205" s="1242" t="s">
        <v>2385</v>
      </c>
      <c r="AQ205" s="1243"/>
    </row>
    <row r="206" spans="1:43" ht="45">
      <c r="A206" s="428" t="s">
        <v>2930</v>
      </c>
      <c r="B206" s="1233" t="s">
        <v>2931</v>
      </c>
      <c r="C206" s="1244"/>
      <c r="D206" s="1245"/>
      <c r="E206" s="1233"/>
      <c r="F206" s="1233"/>
      <c r="G206" s="804">
        <f t="shared" si="365"/>
        <v>2.6732808045057945</v>
      </c>
      <c r="H206" s="1246"/>
      <c r="I206" s="804"/>
      <c r="J206" s="1247"/>
      <c r="K206" s="1247"/>
      <c r="L206" s="1247"/>
      <c r="M206" s="1248">
        <f t="shared" ref="M206:O206" si="378">SUM(M207:M212)</f>
        <v>10050</v>
      </c>
      <c r="N206" s="1248">
        <f t="shared" si="378"/>
        <v>7155</v>
      </c>
      <c r="O206" s="1248">
        <f t="shared" si="378"/>
        <v>10330</v>
      </c>
      <c r="P206" s="805"/>
      <c r="Q206" s="805"/>
      <c r="R206" s="805"/>
      <c r="S206" s="1248">
        <f t="shared" ref="S206:U206" si="379">SUM(S207:S212)</f>
        <v>13890</v>
      </c>
      <c r="T206" s="1248">
        <f t="shared" si="379"/>
        <v>21525</v>
      </c>
      <c r="U206" s="1248">
        <f t="shared" si="379"/>
        <v>6800</v>
      </c>
      <c r="V206" s="805"/>
      <c r="W206" s="805"/>
      <c r="X206" s="805"/>
      <c r="Y206" s="1248">
        <f t="shared" ref="Y206:AA206" si="380">SUM(Y207:Y212)</f>
        <v>7060</v>
      </c>
      <c r="Z206" s="1248">
        <f t="shared" si="380"/>
        <v>5490</v>
      </c>
      <c r="AA206" s="1248">
        <f t="shared" si="380"/>
        <v>4755</v>
      </c>
      <c r="AB206" s="805"/>
      <c r="AC206" s="805"/>
      <c r="AD206" s="805"/>
      <c r="AE206" s="1248">
        <f t="shared" ref="AE206:AG206" si="381">SUM(AE207:AE212)</f>
        <v>2050</v>
      </c>
      <c r="AF206" s="1248">
        <f t="shared" si="381"/>
        <v>4885</v>
      </c>
      <c r="AG206" s="1248">
        <f t="shared" si="381"/>
        <v>64845</v>
      </c>
      <c r="AH206" s="1248">
        <f>SUM(AH207:AH212)</f>
        <v>158835</v>
      </c>
      <c r="AI206" s="1248">
        <f>SUM(AI207:AI212)</f>
        <v>77400</v>
      </c>
      <c r="AJ206" s="1248"/>
      <c r="AK206" s="1248"/>
      <c r="AL206" s="1248">
        <f>SUM(AL207:AL212)</f>
        <v>81435</v>
      </c>
      <c r="AM206" s="1248"/>
      <c r="AN206" s="1248"/>
      <c r="AO206" s="1249" t="s">
        <v>2384</v>
      </c>
      <c r="AP206" s="1233" t="s">
        <v>2385</v>
      </c>
      <c r="AQ206" s="1250"/>
    </row>
    <row r="207" spans="1:43" ht="30">
      <c r="A207" s="437" t="s">
        <v>2932</v>
      </c>
      <c r="B207" s="1251" t="s">
        <v>2933</v>
      </c>
      <c r="C207" s="1220">
        <f t="shared" ref="C207:C212" si="382">+J207+K207+L207+P207+Q207+R207+V207+W207+X207+AB207+AC207+AD207</f>
        <v>369</v>
      </c>
      <c r="D207" s="1231" t="s">
        <v>1950</v>
      </c>
      <c r="E207" s="1252" t="s">
        <v>2934</v>
      </c>
      <c r="F207" s="1251" t="s">
        <v>2935</v>
      </c>
      <c r="G207" s="824">
        <f t="shared" si="365"/>
        <v>0.29604941827214992</v>
      </c>
      <c r="H207" s="824"/>
      <c r="I207" s="824">
        <f>+AH207/AH$206*100</f>
        <v>11.07438536846413</v>
      </c>
      <c r="J207" s="1222">
        <v>32</v>
      </c>
      <c r="K207" s="1222">
        <v>39</v>
      </c>
      <c r="L207" s="1222">
        <v>24</v>
      </c>
      <c r="M207" s="1223">
        <f>J207*45</f>
        <v>1440</v>
      </c>
      <c r="N207" s="1223">
        <f t="shared" ref="N207:O207" si="383">K207*45</f>
        <v>1755</v>
      </c>
      <c r="O207" s="1223">
        <f t="shared" si="383"/>
        <v>1080</v>
      </c>
      <c r="P207" s="1222">
        <v>32</v>
      </c>
      <c r="Q207" s="1222">
        <v>32</v>
      </c>
      <c r="R207" s="1222">
        <v>21</v>
      </c>
      <c r="S207" s="1223">
        <f t="shared" ref="S207:T207" si="384">P207*45</f>
        <v>1440</v>
      </c>
      <c r="T207" s="1223">
        <f t="shared" si="384"/>
        <v>1440</v>
      </c>
      <c r="U207" s="1223">
        <f>R207*45+40</f>
        <v>985</v>
      </c>
      <c r="V207" s="1222">
        <v>36</v>
      </c>
      <c r="W207" s="1222">
        <v>25</v>
      </c>
      <c r="X207" s="1222">
        <v>52</v>
      </c>
      <c r="Y207" s="1223">
        <f t="shared" ref="Y207:AA207" si="385">V207*50</f>
        <v>1800</v>
      </c>
      <c r="Z207" s="1223">
        <f t="shared" si="385"/>
        <v>1250</v>
      </c>
      <c r="AA207" s="1223">
        <f t="shared" si="385"/>
        <v>2600</v>
      </c>
      <c r="AB207" s="1222">
        <v>41</v>
      </c>
      <c r="AC207" s="1222">
        <v>20</v>
      </c>
      <c r="AD207" s="1222">
        <v>15</v>
      </c>
      <c r="AE207" s="1223">
        <f>AB207*50</f>
        <v>2050</v>
      </c>
      <c r="AF207" s="1223">
        <f>AC207*50</f>
        <v>1000</v>
      </c>
      <c r="AG207" s="1223">
        <f>AD207*50</f>
        <v>750</v>
      </c>
      <c r="AH207" s="1223">
        <f t="shared" ref="AH207:AH212" si="386">M207+N207+O207+S207+T207+U207+Y207+Z207+AA207+AE207+AF207+AG207</f>
        <v>17590</v>
      </c>
      <c r="AI207" s="1223">
        <v>2730</v>
      </c>
      <c r="AJ207" s="1223"/>
      <c r="AK207" s="1223"/>
      <c r="AL207" s="1223">
        <v>14860</v>
      </c>
      <c r="AM207" s="1223"/>
      <c r="AN207" s="1223"/>
      <c r="AO207" s="1251" t="s">
        <v>2384</v>
      </c>
      <c r="AP207" s="1253" t="s">
        <v>2481</v>
      </c>
      <c r="AQ207" s="1254"/>
    </row>
    <row r="208" spans="1:43" ht="45">
      <c r="A208" s="1255" t="s">
        <v>2936</v>
      </c>
      <c r="B208" s="1256" t="s">
        <v>2937</v>
      </c>
      <c r="C208" s="1220">
        <f t="shared" si="382"/>
        <v>140</v>
      </c>
      <c r="D208" s="1231" t="s">
        <v>419</v>
      </c>
      <c r="E208" s="1257" t="s">
        <v>2938</v>
      </c>
      <c r="F208" s="1256" t="s">
        <v>2939</v>
      </c>
      <c r="G208" s="824">
        <f t="shared" si="365"/>
        <v>0.28376311495556833</v>
      </c>
      <c r="H208" s="824"/>
      <c r="I208" s="824">
        <f t="shared" ref="I208:I212" si="387">+AH208/AH$206*100</f>
        <v>10.614788931910473</v>
      </c>
      <c r="J208" s="1222">
        <v>13</v>
      </c>
      <c r="K208" s="1222">
        <v>1</v>
      </c>
      <c r="L208" s="1222"/>
      <c r="M208" s="1223">
        <f>J208*120</f>
        <v>1560</v>
      </c>
      <c r="N208" s="1223">
        <f>K208*120</f>
        <v>120</v>
      </c>
      <c r="O208" s="1223"/>
      <c r="P208" s="1222">
        <v>45</v>
      </c>
      <c r="Q208" s="1222">
        <v>30</v>
      </c>
      <c r="R208" s="1222">
        <v>14</v>
      </c>
      <c r="S208" s="1223">
        <f t="shared" ref="S208:U208" si="388">P208*120</f>
        <v>5400</v>
      </c>
      <c r="T208" s="1223">
        <f t="shared" si="388"/>
        <v>3600</v>
      </c>
      <c r="U208" s="1223">
        <f t="shared" si="388"/>
        <v>1680</v>
      </c>
      <c r="V208" s="1222">
        <v>16</v>
      </c>
      <c r="W208" s="1222">
        <v>9</v>
      </c>
      <c r="X208" s="1222">
        <v>8</v>
      </c>
      <c r="Y208" s="1223">
        <f>V208*120</f>
        <v>1920</v>
      </c>
      <c r="Z208" s="1223">
        <f>W208*120</f>
        <v>1080</v>
      </c>
      <c r="AA208" s="1223">
        <f>X208*125</f>
        <v>1000</v>
      </c>
      <c r="AB208" s="1222"/>
      <c r="AC208" s="1222">
        <v>4</v>
      </c>
      <c r="AD208" s="1222"/>
      <c r="AE208" s="1223"/>
      <c r="AF208" s="1223">
        <f>AC208*125</f>
        <v>500</v>
      </c>
      <c r="AG208" s="1223"/>
      <c r="AH208" s="1223">
        <f t="shared" si="386"/>
        <v>16860</v>
      </c>
      <c r="AI208" s="1223">
        <v>2730</v>
      </c>
      <c r="AJ208" s="1223"/>
      <c r="AK208" s="1223"/>
      <c r="AL208" s="1223">
        <v>14130</v>
      </c>
      <c r="AM208" s="1223"/>
      <c r="AN208" s="1223"/>
      <c r="AO208" s="1251" t="s">
        <v>2384</v>
      </c>
      <c r="AP208" s="1253" t="s">
        <v>2481</v>
      </c>
      <c r="AQ208" s="1254"/>
    </row>
    <row r="209" spans="1:43" ht="45">
      <c r="A209" s="1255" t="s">
        <v>2940</v>
      </c>
      <c r="B209" s="1256" t="s">
        <v>2937</v>
      </c>
      <c r="C209" s="1220">
        <f t="shared" si="382"/>
        <v>235</v>
      </c>
      <c r="D209" s="1231" t="s">
        <v>424</v>
      </c>
      <c r="E209" s="1257" t="s">
        <v>2938</v>
      </c>
      <c r="F209" s="1256" t="s">
        <v>2939</v>
      </c>
      <c r="G209" s="824">
        <f t="shared" si="365"/>
        <v>0.35411482435736408</v>
      </c>
      <c r="H209" s="824"/>
      <c r="I209" s="824">
        <f t="shared" si="387"/>
        <v>13.246450719299901</v>
      </c>
      <c r="J209" s="1222">
        <v>39</v>
      </c>
      <c r="K209" s="1222">
        <v>39</v>
      </c>
      <c r="L209" s="1222">
        <v>49</v>
      </c>
      <c r="M209" s="1223">
        <f t="shared" ref="M209:O209" si="389">J209*90</f>
        <v>3510</v>
      </c>
      <c r="N209" s="1223">
        <f t="shared" si="389"/>
        <v>3510</v>
      </c>
      <c r="O209" s="1223">
        <f t="shared" si="389"/>
        <v>4410</v>
      </c>
      <c r="P209" s="1222">
        <v>26</v>
      </c>
      <c r="Q209" s="1222">
        <v>71</v>
      </c>
      <c r="R209" s="1222">
        <v>2</v>
      </c>
      <c r="S209" s="1223">
        <f>P209*85</f>
        <v>2210</v>
      </c>
      <c r="T209" s="1223">
        <f t="shared" ref="T209:U209" si="390">Q209*90</f>
        <v>6390</v>
      </c>
      <c r="U209" s="1223">
        <f t="shared" si="390"/>
        <v>180</v>
      </c>
      <c r="V209" s="1222">
        <v>3</v>
      </c>
      <c r="W209" s="1222">
        <v>1</v>
      </c>
      <c r="X209" s="1222">
        <v>3</v>
      </c>
      <c r="Y209" s="1223">
        <f t="shared" ref="Y209:AA209" si="391">V209*90</f>
        <v>270</v>
      </c>
      <c r="Z209" s="1223">
        <f t="shared" si="391"/>
        <v>90</v>
      </c>
      <c r="AA209" s="1223">
        <f t="shared" si="391"/>
        <v>270</v>
      </c>
      <c r="AB209" s="1222"/>
      <c r="AC209" s="1222">
        <v>2</v>
      </c>
      <c r="AD209" s="1222"/>
      <c r="AE209" s="1223"/>
      <c r="AF209" s="1223">
        <f>AC209*90+20</f>
        <v>200</v>
      </c>
      <c r="AG209" s="1223"/>
      <c r="AH209" s="1223">
        <f t="shared" si="386"/>
        <v>21040</v>
      </c>
      <c r="AI209" s="1223">
        <v>6910</v>
      </c>
      <c r="AJ209" s="1223"/>
      <c r="AK209" s="1223"/>
      <c r="AL209" s="1223">
        <v>14130</v>
      </c>
      <c r="AM209" s="1223"/>
      <c r="AN209" s="1223"/>
      <c r="AO209" s="1251" t="s">
        <v>2384</v>
      </c>
      <c r="AP209" s="1253" t="s">
        <v>2481</v>
      </c>
      <c r="AQ209" s="1254"/>
    </row>
    <row r="210" spans="1:43" ht="45">
      <c r="A210" s="1255" t="s">
        <v>2941</v>
      </c>
      <c r="B210" s="1256" t="s">
        <v>2937</v>
      </c>
      <c r="C210" s="1220">
        <f t="shared" si="382"/>
        <v>22</v>
      </c>
      <c r="D210" s="1231" t="s">
        <v>944</v>
      </c>
      <c r="E210" s="1257" t="s">
        <v>2938</v>
      </c>
      <c r="F210" s="1256" t="s">
        <v>2939</v>
      </c>
      <c r="G210" s="824">
        <f t="shared" si="365"/>
        <v>0.329289759436874</v>
      </c>
      <c r="H210" s="824"/>
      <c r="I210" s="824">
        <f t="shared" si="387"/>
        <v>12.317814083797652</v>
      </c>
      <c r="J210" s="1222">
        <v>4</v>
      </c>
      <c r="K210" s="1222">
        <v>2</v>
      </c>
      <c r="L210" s="1222">
        <v>3</v>
      </c>
      <c r="M210" s="1223">
        <f>J210*885</f>
        <v>3540</v>
      </c>
      <c r="N210" s="1223">
        <f t="shared" ref="N210:O210" si="392">K210*885</f>
        <v>1770</v>
      </c>
      <c r="O210" s="1223">
        <f t="shared" si="392"/>
        <v>2655</v>
      </c>
      <c r="P210" s="1222">
        <v>3</v>
      </c>
      <c r="Q210" s="1222">
        <v>4</v>
      </c>
      <c r="R210" s="1222">
        <v>2</v>
      </c>
      <c r="S210" s="1223">
        <f t="shared" ref="S210:U210" si="393">P210*885</f>
        <v>2655</v>
      </c>
      <c r="T210" s="1223">
        <f t="shared" si="393"/>
        <v>3540</v>
      </c>
      <c r="U210" s="1223">
        <f t="shared" si="393"/>
        <v>1770</v>
      </c>
      <c r="V210" s="1222">
        <v>1</v>
      </c>
      <c r="W210" s="1222">
        <v>1</v>
      </c>
      <c r="X210" s="1222">
        <v>1</v>
      </c>
      <c r="Y210" s="1223">
        <f t="shared" ref="Y210:AA210" si="394">V210*885</f>
        <v>885</v>
      </c>
      <c r="Z210" s="1223">
        <f t="shared" si="394"/>
        <v>885</v>
      </c>
      <c r="AA210" s="1223">
        <f t="shared" si="394"/>
        <v>885</v>
      </c>
      <c r="AB210" s="1222"/>
      <c r="AC210" s="1222">
        <v>1</v>
      </c>
      <c r="AD210" s="1222"/>
      <c r="AE210" s="1223"/>
      <c r="AF210" s="1223">
        <f>AC210*885+95</f>
        <v>980</v>
      </c>
      <c r="AG210" s="1223"/>
      <c r="AH210" s="1223">
        <f t="shared" si="386"/>
        <v>19565</v>
      </c>
      <c r="AI210" s="1223">
        <v>2045</v>
      </c>
      <c r="AJ210" s="1223"/>
      <c r="AK210" s="1223"/>
      <c r="AL210" s="1223">
        <v>17520</v>
      </c>
      <c r="AM210" s="1223"/>
      <c r="AN210" s="1223"/>
      <c r="AO210" s="1251" t="s">
        <v>2384</v>
      </c>
      <c r="AP210" s="1253" t="s">
        <v>2481</v>
      </c>
      <c r="AQ210" s="1254"/>
    </row>
    <row r="211" spans="1:43" ht="30">
      <c r="A211" s="437" t="s">
        <v>2942</v>
      </c>
      <c r="B211" s="1066" t="s">
        <v>2943</v>
      </c>
      <c r="C211" s="1220">
        <f t="shared" si="382"/>
        <v>9</v>
      </c>
      <c r="D211" s="1231" t="s">
        <v>944</v>
      </c>
      <c r="E211" s="1251" t="s">
        <v>2944</v>
      </c>
      <c r="F211" s="1251" t="s">
        <v>2945</v>
      </c>
      <c r="G211" s="824">
        <f t="shared" si="365"/>
        <v>0.3313094257354901</v>
      </c>
      <c r="H211" s="824"/>
      <c r="I211" s="824">
        <f t="shared" si="387"/>
        <v>12.393364182957157</v>
      </c>
      <c r="J211" s="1222"/>
      <c r="K211" s="1222"/>
      <c r="L211" s="1222">
        <v>1</v>
      </c>
      <c r="M211" s="1223"/>
      <c r="N211" s="1223"/>
      <c r="O211" s="1223">
        <f>L211*2185</f>
        <v>2185</v>
      </c>
      <c r="P211" s="1222">
        <v>1</v>
      </c>
      <c r="Q211" s="1222">
        <v>3</v>
      </c>
      <c r="R211" s="1222">
        <v>1</v>
      </c>
      <c r="S211" s="1223">
        <f t="shared" ref="S211:U211" si="395">P211*2185</f>
        <v>2185</v>
      </c>
      <c r="T211" s="1223">
        <f t="shared" si="395"/>
        <v>6555</v>
      </c>
      <c r="U211" s="1223">
        <f t="shared" si="395"/>
        <v>2185</v>
      </c>
      <c r="V211" s="1222">
        <v>1</v>
      </c>
      <c r="W211" s="1222">
        <v>1</v>
      </c>
      <c r="X211" s="1222"/>
      <c r="Y211" s="1223">
        <f t="shared" ref="Y211:Z211" si="396">V211*2185</f>
        <v>2185</v>
      </c>
      <c r="Z211" s="1223">
        <f t="shared" si="396"/>
        <v>2185</v>
      </c>
      <c r="AA211" s="1223"/>
      <c r="AB211" s="1222"/>
      <c r="AC211" s="1222">
        <v>1</v>
      </c>
      <c r="AD211" s="1222"/>
      <c r="AE211" s="1223"/>
      <c r="AF211" s="1223">
        <f>AC211*2185+20</f>
        <v>2205</v>
      </c>
      <c r="AG211" s="1223"/>
      <c r="AH211" s="1223">
        <f t="shared" si="386"/>
        <v>19685</v>
      </c>
      <c r="AI211" s="1223">
        <v>17510</v>
      </c>
      <c r="AJ211" s="1223"/>
      <c r="AK211" s="1223"/>
      <c r="AL211" s="1223">
        <v>2175</v>
      </c>
      <c r="AM211" s="1223"/>
      <c r="AN211" s="1223"/>
      <c r="AO211" s="1251" t="s">
        <v>2384</v>
      </c>
      <c r="AP211" s="1253" t="s">
        <v>2481</v>
      </c>
      <c r="AQ211" s="1254"/>
    </row>
    <row r="212" spans="1:43" ht="30">
      <c r="A212" s="437" t="s">
        <v>2946</v>
      </c>
      <c r="B212" s="1066" t="s">
        <v>2947</v>
      </c>
      <c r="C212" s="1220">
        <f t="shared" si="382"/>
        <v>3</v>
      </c>
      <c r="D212" s="1231" t="s">
        <v>57</v>
      </c>
      <c r="E212" s="1258" t="s">
        <v>2948</v>
      </c>
      <c r="F212" s="1251" t="s">
        <v>2949</v>
      </c>
      <c r="G212" s="824">
        <f t="shared" si="365"/>
        <v>1.0787542617483485</v>
      </c>
      <c r="H212" s="824"/>
      <c r="I212" s="824">
        <f t="shared" si="387"/>
        <v>40.353196713570689</v>
      </c>
      <c r="J212" s="1222"/>
      <c r="K212" s="1222"/>
      <c r="L212" s="1222"/>
      <c r="M212" s="1223"/>
      <c r="N212" s="1223"/>
      <c r="O212" s="1223"/>
      <c r="P212" s="1222"/>
      <c r="Q212" s="1222"/>
      <c r="R212" s="1222"/>
      <c r="S212" s="1223"/>
      <c r="T212" s="1223"/>
      <c r="U212" s="1223"/>
      <c r="V212" s="1222"/>
      <c r="W212" s="1222"/>
      <c r="X212" s="1222"/>
      <c r="Y212" s="1223"/>
      <c r="Z212" s="1223"/>
      <c r="AA212" s="1223"/>
      <c r="AB212" s="1222"/>
      <c r="AC212" s="1222"/>
      <c r="AD212" s="1222">
        <v>3</v>
      </c>
      <c r="AE212" s="1223"/>
      <c r="AF212" s="1223"/>
      <c r="AG212" s="1223">
        <v>64095</v>
      </c>
      <c r="AH212" s="1223">
        <f t="shared" si="386"/>
        <v>64095</v>
      </c>
      <c r="AI212" s="1223">
        <v>45475</v>
      </c>
      <c r="AJ212" s="1223"/>
      <c r="AK212" s="1223"/>
      <c r="AL212" s="1223">
        <v>18620</v>
      </c>
      <c r="AM212" s="1223"/>
      <c r="AN212" s="1223"/>
      <c r="AO212" s="1251" t="s">
        <v>2384</v>
      </c>
      <c r="AP212" s="1253" t="s">
        <v>2481</v>
      </c>
      <c r="AQ212" s="1254"/>
    </row>
    <row r="213" spans="1:43" ht="30">
      <c r="A213" s="1019" t="s">
        <v>2950</v>
      </c>
      <c r="B213" s="1219" t="s">
        <v>2951</v>
      </c>
      <c r="C213" s="684"/>
      <c r="D213" s="1219"/>
      <c r="E213" s="1219"/>
      <c r="F213" s="1219"/>
      <c r="G213" s="683">
        <f t="shared" si="365"/>
        <v>8.266830771285651</v>
      </c>
      <c r="H213" s="683">
        <f>+G213</f>
        <v>8.266830771285651</v>
      </c>
      <c r="I213" s="683"/>
      <c r="J213" s="684"/>
      <c r="K213" s="684"/>
      <c r="L213" s="684"/>
      <c r="M213" s="685">
        <f t="shared" ref="M213:O213" si="397">M214</f>
        <v>38890</v>
      </c>
      <c r="N213" s="685">
        <f t="shared" si="397"/>
        <v>41515</v>
      </c>
      <c r="O213" s="685">
        <f t="shared" si="397"/>
        <v>52410</v>
      </c>
      <c r="P213" s="684"/>
      <c r="Q213" s="684"/>
      <c r="R213" s="684"/>
      <c r="S213" s="685">
        <f t="shared" ref="S213:U213" si="398">S214</f>
        <v>42190</v>
      </c>
      <c r="T213" s="685">
        <f t="shared" si="398"/>
        <v>53135</v>
      </c>
      <c r="U213" s="685">
        <f t="shared" si="398"/>
        <v>43920</v>
      </c>
      <c r="V213" s="684"/>
      <c r="W213" s="684"/>
      <c r="X213" s="684"/>
      <c r="Y213" s="685">
        <f t="shared" ref="Y213:AA213" si="399">Y214</f>
        <v>49910</v>
      </c>
      <c r="Z213" s="685">
        <f t="shared" si="399"/>
        <v>38840</v>
      </c>
      <c r="AA213" s="685">
        <f t="shared" si="399"/>
        <v>36335</v>
      </c>
      <c r="AB213" s="684"/>
      <c r="AC213" s="684"/>
      <c r="AD213" s="684"/>
      <c r="AE213" s="685">
        <f t="shared" ref="AE213:AG213" si="400">AE214</f>
        <v>36760</v>
      </c>
      <c r="AF213" s="685">
        <f t="shared" si="400"/>
        <v>32560</v>
      </c>
      <c r="AG213" s="685">
        <f t="shared" si="400"/>
        <v>24715</v>
      </c>
      <c r="AH213" s="685">
        <f>AH214</f>
        <v>491180</v>
      </c>
      <c r="AI213" s="685">
        <f>AI214</f>
        <v>209395</v>
      </c>
      <c r="AJ213" s="685"/>
      <c r="AK213" s="685"/>
      <c r="AL213" s="685">
        <f>AL214</f>
        <v>281785</v>
      </c>
      <c r="AM213" s="685"/>
      <c r="AN213" s="685"/>
      <c r="AO213" s="1219" t="s">
        <v>2384</v>
      </c>
      <c r="AP213" s="1242" t="s">
        <v>2385</v>
      </c>
      <c r="AQ213" s="1243"/>
    </row>
    <row r="214" spans="1:43" ht="60">
      <c r="A214" s="428" t="s">
        <v>2952</v>
      </c>
      <c r="B214" s="1233" t="s">
        <v>2953</v>
      </c>
      <c r="C214" s="1259"/>
      <c r="D214" s="1260"/>
      <c r="E214" s="1073"/>
      <c r="F214" s="1073"/>
      <c r="G214" s="804">
        <f t="shared" si="365"/>
        <v>8.266830771285651</v>
      </c>
      <c r="H214" s="804"/>
      <c r="I214" s="804"/>
      <c r="J214" s="805"/>
      <c r="K214" s="805"/>
      <c r="L214" s="805"/>
      <c r="M214" s="806">
        <f>SUM(M215:M226)</f>
        <v>38890</v>
      </c>
      <c r="N214" s="806">
        <f t="shared" ref="N214:O214" si="401">SUM(N215:N226)</f>
        <v>41515</v>
      </c>
      <c r="O214" s="806">
        <f t="shared" si="401"/>
        <v>52410</v>
      </c>
      <c r="P214" s="805"/>
      <c r="Q214" s="805"/>
      <c r="R214" s="805"/>
      <c r="S214" s="806">
        <f t="shared" ref="S214:U214" si="402">SUM(S215:S226)</f>
        <v>42190</v>
      </c>
      <c r="T214" s="806">
        <f t="shared" si="402"/>
        <v>53135</v>
      </c>
      <c r="U214" s="806">
        <f t="shared" si="402"/>
        <v>43920</v>
      </c>
      <c r="V214" s="805"/>
      <c r="W214" s="805"/>
      <c r="X214" s="805"/>
      <c r="Y214" s="806">
        <f t="shared" ref="Y214:AA214" si="403">SUM(Y215:Y226)</f>
        <v>49910</v>
      </c>
      <c r="Z214" s="806">
        <f t="shared" si="403"/>
        <v>38840</v>
      </c>
      <c r="AA214" s="806">
        <f t="shared" si="403"/>
        <v>36335</v>
      </c>
      <c r="AB214" s="805"/>
      <c r="AC214" s="805"/>
      <c r="AD214" s="805"/>
      <c r="AE214" s="806">
        <f t="shared" ref="AE214:AG214" si="404">SUM(AE215:AE226)</f>
        <v>36760</v>
      </c>
      <c r="AF214" s="806">
        <f t="shared" si="404"/>
        <v>32560</v>
      </c>
      <c r="AG214" s="806">
        <f t="shared" si="404"/>
        <v>24715</v>
      </c>
      <c r="AH214" s="806">
        <f>SUM(AH215:AH226)</f>
        <v>491180</v>
      </c>
      <c r="AI214" s="806">
        <f>SUM(AI215:AI226)</f>
        <v>209395</v>
      </c>
      <c r="AJ214" s="806"/>
      <c r="AK214" s="806"/>
      <c r="AL214" s="806">
        <f>SUM(AL215:AL226)</f>
        <v>281785</v>
      </c>
      <c r="AM214" s="806"/>
      <c r="AN214" s="806"/>
      <c r="AO214" s="1249" t="s">
        <v>2384</v>
      </c>
      <c r="AP214" s="1233" t="s">
        <v>2385</v>
      </c>
      <c r="AQ214" s="1261"/>
    </row>
    <row r="215" spans="1:43" ht="60">
      <c r="A215" s="437" t="s">
        <v>2954</v>
      </c>
      <c r="B215" s="1252" t="s">
        <v>2955</v>
      </c>
      <c r="C215" s="1220">
        <f t="shared" ref="C215:C226" si="405">+J215+K215+L215+P215+Q215+R215+V215+W215+X215+AB215+AC215+AD215</f>
        <v>11803</v>
      </c>
      <c r="D215" s="1262" t="s">
        <v>2441</v>
      </c>
      <c r="E215" s="1252" t="s">
        <v>2956</v>
      </c>
      <c r="F215" s="1251" t="s">
        <v>2957</v>
      </c>
      <c r="G215" s="824">
        <f t="shared" si="365"/>
        <v>1.5625484930293574</v>
      </c>
      <c r="H215" s="824"/>
      <c r="I215" s="824">
        <f>+AH215/AH$214*100</f>
        <v>18.901421067633049</v>
      </c>
      <c r="J215" s="1222">
        <v>882</v>
      </c>
      <c r="K215" s="1222">
        <v>814</v>
      </c>
      <c r="L215" s="1222">
        <v>1166</v>
      </c>
      <c r="M215" s="1223">
        <v>6930</v>
      </c>
      <c r="N215" s="1223">
        <v>6400</v>
      </c>
      <c r="O215" s="1223">
        <v>9165</v>
      </c>
      <c r="P215" s="1222">
        <v>883</v>
      </c>
      <c r="Q215" s="1222">
        <v>1954</v>
      </c>
      <c r="R215" s="1222">
        <v>953</v>
      </c>
      <c r="S215" s="1223">
        <v>6940</v>
      </c>
      <c r="T215" s="1223">
        <v>15355</v>
      </c>
      <c r="U215" s="1223">
        <v>7490</v>
      </c>
      <c r="V215" s="1222">
        <v>1093</v>
      </c>
      <c r="W215" s="1222">
        <v>798</v>
      </c>
      <c r="X215" s="1222">
        <v>906</v>
      </c>
      <c r="Y215" s="1223">
        <v>8590</v>
      </c>
      <c r="Z215" s="1223">
        <v>6270</v>
      </c>
      <c r="AA215" s="1223">
        <v>7120</v>
      </c>
      <c r="AB215" s="1222">
        <v>854</v>
      </c>
      <c r="AC215" s="1222">
        <v>850</v>
      </c>
      <c r="AD215" s="1222">
        <v>650</v>
      </c>
      <c r="AE215" s="1223">
        <v>6710</v>
      </c>
      <c r="AF215" s="1223">
        <v>6680</v>
      </c>
      <c r="AG215" s="1223">
        <f>5110+80</f>
        <v>5190</v>
      </c>
      <c r="AH215" s="1223">
        <f t="shared" ref="AH215:AH226" si="406">M215+N215+O215+S215+T215+U215+Y215+Z215+AA215+AE215+AF215+AG215</f>
        <v>92840</v>
      </c>
      <c r="AI215" s="1223">
        <v>44475</v>
      </c>
      <c r="AJ215" s="1223"/>
      <c r="AK215" s="1223"/>
      <c r="AL215" s="1223">
        <v>48365</v>
      </c>
      <c r="AM215" s="1223"/>
      <c r="AN215" s="1223"/>
      <c r="AO215" s="1251" t="s">
        <v>2384</v>
      </c>
      <c r="AP215" s="1251" t="s">
        <v>2872</v>
      </c>
      <c r="AQ215" s="1254"/>
    </row>
    <row r="216" spans="1:43" ht="45">
      <c r="A216" s="437" t="s">
        <v>2958</v>
      </c>
      <c r="B216" s="1252" t="s">
        <v>2959</v>
      </c>
      <c r="C216" s="1220">
        <f t="shared" si="405"/>
        <v>266633</v>
      </c>
      <c r="D216" s="1262" t="s">
        <v>2306</v>
      </c>
      <c r="E216" s="1252" t="s">
        <v>2960</v>
      </c>
      <c r="F216" s="1251" t="s">
        <v>2961</v>
      </c>
      <c r="G216" s="824">
        <f t="shared" si="365"/>
        <v>1.5625484930293574</v>
      </c>
      <c r="H216" s="824"/>
      <c r="I216" s="824">
        <f t="shared" ref="I216:I226" si="407">+AH216/AH$214*100</f>
        <v>18.901421067633049</v>
      </c>
      <c r="J216" s="1222">
        <v>24537</v>
      </c>
      <c r="K216" s="1222">
        <v>23704</v>
      </c>
      <c r="L216" s="1222">
        <v>25930</v>
      </c>
      <c r="M216" s="1223">
        <v>8590</v>
      </c>
      <c r="N216" s="1223">
        <v>8295</v>
      </c>
      <c r="O216" s="1223">
        <v>9075</v>
      </c>
      <c r="P216" s="1222">
        <v>21869</v>
      </c>
      <c r="Q216" s="1222">
        <v>21865</v>
      </c>
      <c r="R216" s="1222">
        <v>21844</v>
      </c>
      <c r="S216" s="1223">
        <v>7655</v>
      </c>
      <c r="T216" s="1223">
        <v>7650</v>
      </c>
      <c r="U216" s="1223">
        <v>7645</v>
      </c>
      <c r="V216" s="1222">
        <v>23131</v>
      </c>
      <c r="W216" s="1222">
        <v>21287</v>
      </c>
      <c r="X216" s="1222">
        <v>22150</v>
      </c>
      <c r="Y216" s="1223">
        <v>8095</v>
      </c>
      <c r="Z216" s="1223">
        <f>7450-95</f>
        <v>7355</v>
      </c>
      <c r="AA216" s="1223">
        <f>7750-95</f>
        <v>7655</v>
      </c>
      <c r="AB216" s="1222">
        <v>22316</v>
      </c>
      <c r="AC216" s="1222">
        <v>23000</v>
      </c>
      <c r="AD216" s="1222">
        <v>15000</v>
      </c>
      <c r="AE216" s="1223">
        <f>7810-95</f>
        <v>7715</v>
      </c>
      <c r="AF216" s="1223">
        <f>8050-95</f>
        <v>7955</v>
      </c>
      <c r="AG216" s="1223">
        <f>5250-95</f>
        <v>5155</v>
      </c>
      <c r="AH216" s="1223">
        <f t="shared" si="406"/>
        <v>92840</v>
      </c>
      <c r="AI216" s="1223">
        <v>44475</v>
      </c>
      <c r="AJ216" s="1223"/>
      <c r="AK216" s="1223"/>
      <c r="AL216" s="1223">
        <v>48365</v>
      </c>
      <c r="AM216" s="1223"/>
      <c r="AN216" s="1223"/>
      <c r="AO216" s="1251" t="s">
        <v>2384</v>
      </c>
      <c r="AP216" s="1251" t="s">
        <v>2872</v>
      </c>
      <c r="AQ216" s="1254"/>
    </row>
    <row r="217" spans="1:43" ht="60">
      <c r="A217" s="437" t="s">
        <v>2962</v>
      </c>
      <c r="B217" s="1251" t="s">
        <v>2963</v>
      </c>
      <c r="C217" s="1220">
        <f t="shared" si="405"/>
        <v>256074</v>
      </c>
      <c r="D217" s="1262" t="s">
        <v>252</v>
      </c>
      <c r="E217" s="1251" t="s">
        <v>2964</v>
      </c>
      <c r="F217" s="1251" t="s">
        <v>2965</v>
      </c>
      <c r="G217" s="824">
        <f t="shared" si="365"/>
        <v>0.87140185509042434</v>
      </c>
      <c r="H217" s="824"/>
      <c r="I217" s="824">
        <f t="shared" si="407"/>
        <v>10.540942220774461</v>
      </c>
      <c r="J217" s="1222">
        <v>20875</v>
      </c>
      <c r="K217" s="1222">
        <v>20241</v>
      </c>
      <c r="L217" s="1222">
        <v>22743</v>
      </c>
      <c r="M217" s="1223">
        <v>4385</v>
      </c>
      <c r="N217" s="1223">
        <v>4250</v>
      </c>
      <c r="O217" s="1223">
        <v>4775</v>
      </c>
      <c r="P217" s="1222">
        <v>20246</v>
      </c>
      <c r="Q217" s="1222">
        <v>22017</v>
      </c>
      <c r="R217" s="1222">
        <v>21960</v>
      </c>
      <c r="S217" s="1223">
        <v>4250</v>
      </c>
      <c r="T217" s="1223">
        <v>4625</v>
      </c>
      <c r="U217" s="1223">
        <v>4610</v>
      </c>
      <c r="V217" s="1222">
        <v>23540</v>
      </c>
      <c r="W217" s="1222">
        <v>21404</v>
      </c>
      <c r="X217" s="1222">
        <v>22518</v>
      </c>
      <c r="Y217" s="1223">
        <v>4945</v>
      </c>
      <c r="Z217" s="1223">
        <f>4500-400</f>
        <v>4100</v>
      </c>
      <c r="AA217" s="1223">
        <f>4725-400</f>
        <v>4325</v>
      </c>
      <c r="AB217" s="1222">
        <v>22557</v>
      </c>
      <c r="AC217" s="1222">
        <v>19973</v>
      </c>
      <c r="AD217" s="1222">
        <v>18000</v>
      </c>
      <c r="AE217" s="1223">
        <f>4735-400</f>
        <v>4335</v>
      </c>
      <c r="AF217" s="1223">
        <f>4200-400</f>
        <v>3800</v>
      </c>
      <c r="AG217" s="1223">
        <f>3780-405</f>
        <v>3375</v>
      </c>
      <c r="AH217" s="1223">
        <f t="shared" si="406"/>
        <v>51775</v>
      </c>
      <c r="AI217" s="1223">
        <v>3410</v>
      </c>
      <c r="AJ217" s="1223"/>
      <c r="AK217" s="1223"/>
      <c r="AL217" s="1223">
        <v>48365</v>
      </c>
      <c r="AM217" s="1223"/>
      <c r="AN217" s="1223"/>
      <c r="AO217" s="1251" t="s">
        <v>2384</v>
      </c>
      <c r="AP217" s="1251" t="s">
        <v>2872</v>
      </c>
      <c r="AQ217" s="1254"/>
    </row>
    <row r="218" spans="1:43" ht="30">
      <c r="A218" s="437" t="s">
        <v>2966</v>
      </c>
      <c r="B218" s="1252" t="s">
        <v>2967</v>
      </c>
      <c r="C218" s="24">
        <f t="shared" si="405"/>
        <v>2.620469316536119</v>
      </c>
      <c r="D218" s="1262" t="s">
        <v>2446</v>
      </c>
      <c r="E218" s="1252" t="s">
        <v>2968</v>
      </c>
      <c r="F218" s="1251" t="s">
        <v>2969</v>
      </c>
      <c r="G218" s="824">
        <f t="shared" si="365"/>
        <v>0.23714248456251238</v>
      </c>
      <c r="H218" s="824"/>
      <c r="I218" s="824">
        <f t="shared" si="407"/>
        <v>2.8686021417810172</v>
      </c>
      <c r="J218" s="1223">
        <v>0.34</v>
      </c>
      <c r="K218" s="1223">
        <v>0.21</v>
      </c>
      <c r="L218" s="1223">
        <v>0.13</v>
      </c>
      <c r="M218" s="1223">
        <v>1830</v>
      </c>
      <c r="N218" s="1223">
        <v>1125</v>
      </c>
      <c r="O218" s="1223">
        <v>700</v>
      </c>
      <c r="P218" s="1223">
        <v>0.1</v>
      </c>
      <c r="Q218" s="1223">
        <v>0.33</v>
      </c>
      <c r="R218" s="1223">
        <v>0.19</v>
      </c>
      <c r="S218" s="1223">
        <v>535</v>
      </c>
      <c r="T218" s="1223">
        <v>1775</v>
      </c>
      <c r="U218" s="1223">
        <v>1020</v>
      </c>
      <c r="V218" s="1223">
        <v>0.26303751143641352</v>
      </c>
      <c r="W218" s="1223">
        <v>0.34371348044270295</v>
      </c>
      <c r="X218" s="1223">
        <v>0.15408320493066258</v>
      </c>
      <c r="Y218" s="1223">
        <v>1410</v>
      </c>
      <c r="Z218" s="1223">
        <v>1850</v>
      </c>
      <c r="AA218" s="1223">
        <v>830</v>
      </c>
      <c r="AB218" s="1223">
        <v>0.15963511972633979</v>
      </c>
      <c r="AC218" s="1223">
        <v>0.2</v>
      </c>
      <c r="AD218" s="1223">
        <v>0.2</v>
      </c>
      <c r="AE218" s="1223">
        <v>860</v>
      </c>
      <c r="AF218" s="1223">
        <v>1075</v>
      </c>
      <c r="AG218" s="1223">
        <f>1075+5</f>
        <v>1080</v>
      </c>
      <c r="AH218" s="1223">
        <f t="shared" si="406"/>
        <v>14090</v>
      </c>
      <c r="AI218" s="1223">
        <v>10460</v>
      </c>
      <c r="AJ218" s="1223"/>
      <c r="AK218" s="1223"/>
      <c r="AL218" s="1223">
        <v>3630</v>
      </c>
      <c r="AM218" s="1223"/>
      <c r="AN218" s="1223"/>
      <c r="AO218" s="1251" t="s">
        <v>2384</v>
      </c>
      <c r="AP218" s="1251" t="s">
        <v>2872</v>
      </c>
      <c r="AQ218" s="1254"/>
    </row>
    <row r="219" spans="1:43" ht="45">
      <c r="A219" s="437" t="s">
        <v>2970</v>
      </c>
      <c r="B219" s="1251" t="s">
        <v>2971</v>
      </c>
      <c r="C219" s="1220">
        <f t="shared" si="405"/>
        <v>196</v>
      </c>
      <c r="D219" s="1262" t="s">
        <v>2441</v>
      </c>
      <c r="E219" s="1251" t="s">
        <v>2972</v>
      </c>
      <c r="F219" s="1251" t="s">
        <v>2973</v>
      </c>
      <c r="G219" s="824">
        <f t="shared" si="365"/>
        <v>0.55229457990907338</v>
      </c>
      <c r="H219" s="824"/>
      <c r="I219" s="824">
        <f t="shared" si="407"/>
        <v>6.6808501974836103</v>
      </c>
      <c r="J219" s="1222">
        <v>5</v>
      </c>
      <c r="K219" s="1222">
        <v>2</v>
      </c>
      <c r="L219" s="1222">
        <v>47</v>
      </c>
      <c r="M219" s="1223">
        <f>J219*165</f>
        <v>825</v>
      </c>
      <c r="N219" s="1223">
        <f>K219*165</f>
        <v>330</v>
      </c>
      <c r="O219" s="1223">
        <f>L219*165</f>
        <v>7755</v>
      </c>
      <c r="P219" s="1222">
        <v>32</v>
      </c>
      <c r="Q219" s="1222">
        <v>24</v>
      </c>
      <c r="R219" s="1222">
        <v>24</v>
      </c>
      <c r="S219" s="1223">
        <f>P219*165</f>
        <v>5280</v>
      </c>
      <c r="T219" s="1223">
        <f>Q219*165+45</f>
        <v>4005</v>
      </c>
      <c r="U219" s="1223">
        <f>R219*170</f>
        <v>4080</v>
      </c>
      <c r="V219" s="1222">
        <v>10</v>
      </c>
      <c r="W219" s="1222">
        <v>22</v>
      </c>
      <c r="X219" s="1222">
        <v>6</v>
      </c>
      <c r="Y219" s="1223">
        <f>V219*170</f>
        <v>1700</v>
      </c>
      <c r="Z219" s="1223">
        <f>W219*170</f>
        <v>3740</v>
      </c>
      <c r="AA219" s="1223">
        <f>X219*170</f>
        <v>1020</v>
      </c>
      <c r="AB219" s="1222">
        <v>9</v>
      </c>
      <c r="AC219" s="1222">
        <v>9</v>
      </c>
      <c r="AD219" s="1222">
        <v>6</v>
      </c>
      <c r="AE219" s="1223">
        <f>AB219*170</f>
        <v>1530</v>
      </c>
      <c r="AF219" s="1223">
        <f>AC219*170</f>
        <v>1530</v>
      </c>
      <c r="AG219" s="1223">
        <f>AD219*170</f>
        <v>1020</v>
      </c>
      <c r="AH219" s="1223">
        <f t="shared" si="406"/>
        <v>32815</v>
      </c>
      <c r="AI219" s="1223">
        <v>10460</v>
      </c>
      <c r="AJ219" s="1223"/>
      <c r="AK219" s="1223"/>
      <c r="AL219" s="1223">
        <v>22355</v>
      </c>
      <c r="AM219" s="1223"/>
      <c r="AN219" s="1223"/>
      <c r="AO219" s="1251" t="s">
        <v>2384</v>
      </c>
      <c r="AP219" s="1251" t="s">
        <v>2974</v>
      </c>
      <c r="AQ219" s="1254"/>
    </row>
    <row r="220" spans="1:43" ht="45">
      <c r="A220" s="437" t="s">
        <v>2975</v>
      </c>
      <c r="B220" s="1251" t="s">
        <v>2976</v>
      </c>
      <c r="C220" s="1220">
        <f t="shared" si="405"/>
        <v>751</v>
      </c>
      <c r="D220" s="1262" t="s">
        <v>2441</v>
      </c>
      <c r="E220" s="1251" t="s">
        <v>2977</v>
      </c>
      <c r="F220" s="1251" t="s">
        <v>2978</v>
      </c>
      <c r="G220" s="824">
        <f t="shared" si="365"/>
        <v>0.24463208041988058</v>
      </c>
      <c r="H220" s="824"/>
      <c r="I220" s="824">
        <f t="shared" si="407"/>
        <v>2.9592002931715462</v>
      </c>
      <c r="J220" s="1222">
        <v>57</v>
      </c>
      <c r="K220" s="1222">
        <v>63</v>
      </c>
      <c r="L220" s="1222">
        <v>71</v>
      </c>
      <c r="M220" s="1223">
        <f>J220*20</f>
        <v>1140</v>
      </c>
      <c r="N220" s="1223">
        <f>K220*20</f>
        <v>1260</v>
      </c>
      <c r="O220" s="1223">
        <f>L220*20</f>
        <v>1420</v>
      </c>
      <c r="P220" s="1222">
        <v>56</v>
      </c>
      <c r="Q220" s="1222">
        <v>51</v>
      </c>
      <c r="R220" s="1222">
        <v>39</v>
      </c>
      <c r="S220" s="1223">
        <f t="shared" ref="S220:U220" si="408">P220*20</f>
        <v>1120</v>
      </c>
      <c r="T220" s="1223">
        <f t="shared" si="408"/>
        <v>1020</v>
      </c>
      <c r="U220" s="1223">
        <f t="shared" si="408"/>
        <v>780</v>
      </c>
      <c r="V220" s="1222">
        <v>90</v>
      </c>
      <c r="W220" s="1222">
        <v>60</v>
      </c>
      <c r="X220" s="1222">
        <v>86</v>
      </c>
      <c r="Y220" s="1223">
        <f t="shared" ref="Y220:AA220" si="409">V220*20</f>
        <v>1800</v>
      </c>
      <c r="Z220" s="1223">
        <f t="shared" si="409"/>
        <v>1200</v>
      </c>
      <c r="AA220" s="1223">
        <f t="shared" si="409"/>
        <v>1720</v>
      </c>
      <c r="AB220" s="1222">
        <v>80</v>
      </c>
      <c r="AC220" s="1222">
        <v>50</v>
      </c>
      <c r="AD220" s="1222">
        <v>48</v>
      </c>
      <c r="AE220" s="1223">
        <f t="shared" ref="AE220" si="410">AB220*20</f>
        <v>1600</v>
      </c>
      <c r="AF220" s="1223">
        <f>AC220*15+5</f>
        <v>755</v>
      </c>
      <c r="AG220" s="1223">
        <f>AD220*15</f>
        <v>720</v>
      </c>
      <c r="AH220" s="1223">
        <f t="shared" si="406"/>
        <v>14535</v>
      </c>
      <c r="AI220" s="1223">
        <v>3410</v>
      </c>
      <c r="AJ220" s="1223"/>
      <c r="AK220" s="1223"/>
      <c r="AL220" s="1223">
        <v>11125</v>
      </c>
      <c r="AM220" s="1223"/>
      <c r="AN220" s="1223"/>
      <c r="AO220" s="1251" t="s">
        <v>2384</v>
      </c>
      <c r="AP220" s="1251" t="s">
        <v>2974</v>
      </c>
      <c r="AQ220" s="1254"/>
    </row>
    <row r="221" spans="1:43" ht="60">
      <c r="A221" s="437" t="s">
        <v>2979</v>
      </c>
      <c r="B221" s="1252" t="s">
        <v>2980</v>
      </c>
      <c r="C221" s="1220">
        <f t="shared" si="405"/>
        <v>490</v>
      </c>
      <c r="D221" s="1262" t="s">
        <v>2441</v>
      </c>
      <c r="E221" s="1252" t="s">
        <v>2981</v>
      </c>
      <c r="F221" s="1251" t="s">
        <v>2982</v>
      </c>
      <c r="G221" s="824">
        <f t="shared" si="365"/>
        <v>0.30749419396430805</v>
      </c>
      <c r="H221" s="824"/>
      <c r="I221" s="824">
        <f t="shared" si="407"/>
        <v>3.7196139907976713</v>
      </c>
      <c r="J221" s="1222">
        <v>43</v>
      </c>
      <c r="K221" s="1222">
        <v>133</v>
      </c>
      <c r="L221" s="1222">
        <v>56</v>
      </c>
      <c r="M221" s="1223">
        <f>J221*35</f>
        <v>1505</v>
      </c>
      <c r="N221" s="1223">
        <f>K221*35</f>
        <v>4655</v>
      </c>
      <c r="O221" s="1223">
        <f>L221*35</f>
        <v>1960</v>
      </c>
      <c r="P221" s="1222">
        <v>37</v>
      </c>
      <c r="Q221" s="1222">
        <v>15</v>
      </c>
      <c r="R221" s="1222">
        <v>28</v>
      </c>
      <c r="S221" s="1223">
        <f>P221*35+15</f>
        <v>1310</v>
      </c>
      <c r="T221" s="1223">
        <f>Q221*40</f>
        <v>600</v>
      </c>
      <c r="U221" s="1223">
        <f>R221*40</f>
        <v>1120</v>
      </c>
      <c r="V221" s="1222">
        <v>19</v>
      </c>
      <c r="W221" s="1222">
        <v>45</v>
      </c>
      <c r="X221" s="1222">
        <v>48</v>
      </c>
      <c r="Y221" s="1223">
        <f>V221*40</f>
        <v>760</v>
      </c>
      <c r="Z221" s="1223">
        <f>W221*40</f>
        <v>1800</v>
      </c>
      <c r="AA221" s="1223">
        <f>X221*40</f>
        <v>1920</v>
      </c>
      <c r="AB221" s="1222">
        <v>21</v>
      </c>
      <c r="AC221" s="1222">
        <v>25</v>
      </c>
      <c r="AD221" s="1222">
        <v>20</v>
      </c>
      <c r="AE221" s="1223">
        <f t="shared" ref="AE221:AG222" si="411">AB221*40</f>
        <v>840</v>
      </c>
      <c r="AF221" s="1223">
        <f t="shared" si="411"/>
        <v>1000</v>
      </c>
      <c r="AG221" s="1223">
        <f t="shared" si="411"/>
        <v>800</v>
      </c>
      <c r="AH221" s="1223">
        <f t="shared" si="406"/>
        <v>18270</v>
      </c>
      <c r="AI221" s="1223">
        <v>3410</v>
      </c>
      <c r="AJ221" s="1223"/>
      <c r="AK221" s="1223"/>
      <c r="AL221" s="1223">
        <v>14860</v>
      </c>
      <c r="AM221" s="1223"/>
      <c r="AN221" s="1223"/>
      <c r="AO221" s="1251" t="s">
        <v>2384</v>
      </c>
      <c r="AP221" s="1251" t="s">
        <v>2974</v>
      </c>
      <c r="AQ221" s="1254"/>
    </row>
    <row r="222" spans="1:43" ht="45">
      <c r="A222" s="437" t="s">
        <v>2983</v>
      </c>
      <c r="B222" s="1252" t="s">
        <v>2984</v>
      </c>
      <c r="C222" s="1220">
        <f t="shared" si="405"/>
        <v>438</v>
      </c>
      <c r="D222" s="1262" t="s">
        <v>2985</v>
      </c>
      <c r="E222" s="1252" t="s">
        <v>2986</v>
      </c>
      <c r="F222" s="1251" t="s">
        <v>2987</v>
      </c>
      <c r="G222" s="824">
        <f t="shared" si="365"/>
        <v>0.32280999672881383</v>
      </c>
      <c r="H222" s="824"/>
      <c r="I222" s="824">
        <f t="shared" si="407"/>
        <v>3.9048821206075166</v>
      </c>
      <c r="J222" s="1222">
        <v>52</v>
      </c>
      <c r="K222" s="1222">
        <v>132</v>
      </c>
      <c r="L222" s="1222">
        <v>16</v>
      </c>
      <c r="M222" s="1223">
        <f>J222*45</f>
        <v>2340</v>
      </c>
      <c r="N222" s="1223">
        <f>K222*45</f>
        <v>5940</v>
      </c>
      <c r="O222" s="1223">
        <f>L222*45</f>
        <v>720</v>
      </c>
      <c r="P222" s="1222">
        <v>43</v>
      </c>
      <c r="Q222" s="1222">
        <v>16</v>
      </c>
      <c r="R222" s="1222">
        <v>34</v>
      </c>
      <c r="S222" s="1223">
        <f t="shared" ref="S222:U222" si="412">P222*45</f>
        <v>1935</v>
      </c>
      <c r="T222" s="1223">
        <f t="shared" si="412"/>
        <v>720</v>
      </c>
      <c r="U222" s="1223">
        <f t="shared" si="412"/>
        <v>1530</v>
      </c>
      <c r="V222" s="1222">
        <v>23</v>
      </c>
      <c r="W222" s="1222">
        <v>47</v>
      </c>
      <c r="X222" s="1222">
        <v>34</v>
      </c>
      <c r="Y222" s="1223">
        <f t="shared" ref="Y222" si="413">V222*45</f>
        <v>1035</v>
      </c>
      <c r="Z222" s="1223">
        <f>W222*40+40</f>
        <v>1920</v>
      </c>
      <c r="AA222" s="1223">
        <f>X222*40+40</f>
        <v>1400</v>
      </c>
      <c r="AB222" s="1222">
        <v>3</v>
      </c>
      <c r="AC222" s="1222">
        <v>20</v>
      </c>
      <c r="AD222" s="1222">
        <v>18</v>
      </c>
      <c r="AE222" s="1223">
        <f t="shared" si="411"/>
        <v>120</v>
      </c>
      <c r="AF222" s="1223">
        <f t="shared" si="411"/>
        <v>800</v>
      </c>
      <c r="AG222" s="1223">
        <f t="shared" si="411"/>
        <v>720</v>
      </c>
      <c r="AH222" s="1223">
        <f t="shared" si="406"/>
        <v>19180</v>
      </c>
      <c r="AI222" s="1223">
        <v>4320</v>
      </c>
      <c r="AJ222" s="1223"/>
      <c r="AK222" s="1223"/>
      <c r="AL222" s="1223">
        <v>14860</v>
      </c>
      <c r="AM222" s="1223"/>
      <c r="AN222" s="1223"/>
      <c r="AO222" s="1251" t="s">
        <v>2384</v>
      </c>
      <c r="AP222" s="1251" t="s">
        <v>2974</v>
      </c>
      <c r="AQ222" s="1254"/>
    </row>
    <row r="223" spans="1:43" ht="45">
      <c r="A223" s="437" t="s">
        <v>2988</v>
      </c>
      <c r="B223" s="1251" t="s">
        <v>2989</v>
      </c>
      <c r="C223" s="1220">
        <f t="shared" si="405"/>
        <v>8621</v>
      </c>
      <c r="D223" s="1262" t="s">
        <v>2990</v>
      </c>
      <c r="E223" s="1251" t="s">
        <v>2991</v>
      </c>
      <c r="F223" s="1251" t="s">
        <v>2992</v>
      </c>
      <c r="G223" s="824">
        <f t="shared" si="365"/>
        <v>0.37203936275758237</v>
      </c>
      <c r="H223" s="824"/>
      <c r="I223" s="824">
        <f t="shared" si="407"/>
        <v>4.5003868235677347</v>
      </c>
      <c r="J223" s="1222">
        <v>716</v>
      </c>
      <c r="K223" s="1222">
        <v>763</v>
      </c>
      <c r="L223" s="1222">
        <v>809</v>
      </c>
      <c r="M223" s="1223">
        <v>1845</v>
      </c>
      <c r="N223" s="1223">
        <v>1845</v>
      </c>
      <c r="O223" s="1223">
        <v>1845</v>
      </c>
      <c r="P223" s="1222">
        <v>661</v>
      </c>
      <c r="Q223" s="1222">
        <v>815</v>
      </c>
      <c r="R223" s="1222">
        <v>766</v>
      </c>
      <c r="S223" s="1223">
        <v>1845</v>
      </c>
      <c r="T223" s="1223">
        <v>1845</v>
      </c>
      <c r="U223" s="1223">
        <v>1845</v>
      </c>
      <c r="V223" s="1222">
        <v>839</v>
      </c>
      <c r="W223" s="1222">
        <v>661</v>
      </c>
      <c r="X223" s="1222">
        <v>662</v>
      </c>
      <c r="Y223" s="1223">
        <v>1845</v>
      </c>
      <c r="Z223" s="1223">
        <v>1845</v>
      </c>
      <c r="AA223" s="1223">
        <v>1845</v>
      </c>
      <c r="AB223" s="1222">
        <v>804</v>
      </c>
      <c r="AC223" s="1222">
        <v>575</v>
      </c>
      <c r="AD223" s="1222">
        <v>550</v>
      </c>
      <c r="AE223" s="1223">
        <v>1845</v>
      </c>
      <c r="AF223" s="1223">
        <v>1845</v>
      </c>
      <c r="AG223" s="1223">
        <f>1845-35</f>
        <v>1810</v>
      </c>
      <c r="AH223" s="1223">
        <f t="shared" si="406"/>
        <v>22105</v>
      </c>
      <c r="AI223" s="1223">
        <v>17510</v>
      </c>
      <c r="AJ223" s="1223"/>
      <c r="AK223" s="1223"/>
      <c r="AL223" s="1223">
        <v>4595</v>
      </c>
      <c r="AM223" s="1223"/>
      <c r="AN223" s="1223"/>
      <c r="AO223" s="1251" t="s">
        <v>2384</v>
      </c>
      <c r="AP223" s="1253" t="s">
        <v>2974</v>
      </c>
      <c r="AQ223" s="1254"/>
    </row>
    <row r="224" spans="1:43" ht="75">
      <c r="A224" s="437" t="s">
        <v>2993</v>
      </c>
      <c r="B224" s="1251" t="s">
        <v>2994</v>
      </c>
      <c r="C224" s="1220">
        <f t="shared" si="405"/>
        <v>60</v>
      </c>
      <c r="D224" s="1262" t="s">
        <v>2995</v>
      </c>
      <c r="E224" s="1251" t="s">
        <v>2996</v>
      </c>
      <c r="F224" s="1251" t="s">
        <v>2997</v>
      </c>
      <c r="G224" s="824">
        <f t="shared" si="365"/>
        <v>0.70907117633915151</v>
      </c>
      <c r="H224" s="824"/>
      <c r="I224" s="824">
        <f t="shared" si="407"/>
        <v>8.5773036361415365</v>
      </c>
      <c r="J224" s="1222">
        <v>4</v>
      </c>
      <c r="K224" s="1222"/>
      <c r="L224" s="1222">
        <v>12</v>
      </c>
      <c r="M224" s="1223">
        <f>J224*700</f>
        <v>2800</v>
      </c>
      <c r="N224" s="1223"/>
      <c r="O224" s="1223">
        <f>L224*700</f>
        <v>8400</v>
      </c>
      <c r="P224" s="1222">
        <v>4</v>
      </c>
      <c r="Q224" s="1222">
        <v>11</v>
      </c>
      <c r="R224" s="1222">
        <v>6</v>
      </c>
      <c r="S224" s="1223">
        <f t="shared" ref="S224:U224" si="414">P224*700</f>
        <v>2800</v>
      </c>
      <c r="T224" s="1223">
        <f t="shared" si="414"/>
        <v>7700</v>
      </c>
      <c r="U224" s="1223">
        <f t="shared" si="414"/>
        <v>4200</v>
      </c>
      <c r="V224" s="1222">
        <v>14</v>
      </c>
      <c r="W224" s="1222">
        <v>1</v>
      </c>
      <c r="X224" s="1222">
        <v>1</v>
      </c>
      <c r="Y224" s="1223">
        <f t="shared" ref="Y224:AA224" si="415">V224*700</f>
        <v>9800</v>
      </c>
      <c r="Z224" s="1223">
        <f t="shared" si="415"/>
        <v>700</v>
      </c>
      <c r="AA224" s="1223">
        <f t="shared" si="415"/>
        <v>700</v>
      </c>
      <c r="AB224" s="1222">
        <v>4</v>
      </c>
      <c r="AC224" s="1222">
        <v>2</v>
      </c>
      <c r="AD224" s="1222">
        <v>1</v>
      </c>
      <c r="AE224" s="1223">
        <f t="shared" ref="AE224:AF224" si="416">AB224*700</f>
        <v>2800</v>
      </c>
      <c r="AF224" s="1223">
        <f t="shared" si="416"/>
        <v>1400</v>
      </c>
      <c r="AG224" s="1223">
        <f>AD224*700+130</f>
        <v>830</v>
      </c>
      <c r="AH224" s="1223">
        <f t="shared" si="406"/>
        <v>42130</v>
      </c>
      <c r="AI224" s="1223">
        <v>12280</v>
      </c>
      <c r="AJ224" s="1223"/>
      <c r="AK224" s="1223"/>
      <c r="AL224" s="1223">
        <v>29850</v>
      </c>
      <c r="AM224" s="1223"/>
      <c r="AN224" s="1223"/>
      <c r="AO224" s="1251" t="s">
        <v>2384</v>
      </c>
      <c r="AP224" s="1251" t="s">
        <v>2974</v>
      </c>
      <c r="AQ224" s="1254"/>
    </row>
    <row r="225" spans="1:43" ht="45">
      <c r="A225" s="437" t="s">
        <v>2998</v>
      </c>
      <c r="B225" s="1251" t="s">
        <v>2999</v>
      </c>
      <c r="C225" s="1220">
        <f t="shared" si="405"/>
        <v>3852</v>
      </c>
      <c r="D225" s="1262" t="s">
        <v>3000</v>
      </c>
      <c r="E225" s="1251" t="s">
        <v>3001</v>
      </c>
      <c r="F225" s="1251" t="s">
        <v>3002</v>
      </c>
      <c r="G225" s="824">
        <f t="shared" si="365"/>
        <v>0.58486169897425866</v>
      </c>
      <c r="H225" s="824"/>
      <c r="I225" s="824">
        <f t="shared" si="407"/>
        <v>7.0747994625188326</v>
      </c>
      <c r="J225" s="1222">
        <v>280</v>
      </c>
      <c r="K225" s="1222">
        <v>286</v>
      </c>
      <c r="L225" s="1222">
        <v>317</v>
      </c>
      <c r="M225" s="1223">
        <v>2520</v>
      </c>
      <c r="N225" s="1223">
        <v>2575</v>
      </c>
      <c r="O225" s="1223">
        <v>2855</v>
      </c>
      <c r="P225" s="1222">
        <v>372</v>
      </c>
      <c r="Q225" s="1222">
        <v>370</v>
      </c>
      <c r="R225" s="1222">
        <v>419</v>
      </c>
      <c r="S225" s="1223">
        <v>3350</v>
      </c>
      <c r="T225" s="1223">
        <v>3330</v>
      </c>
      <c r="U225" s="1223">
        <v>3770</v>
      </c>
      <c r="V225" s="1222">
        <v>382</v>
      </c>
      <c r="W225" s="1222">
        <v>333</v>
      </c>
      <c r="X225" s="1222">
        <v>317</v>
      </c>
      <c r="Y225" s="1223">
        <v>3440</v>
      </c>
      <c r="Z225" s="1223">
        <v>3000</v>
      </c>
      <c r="AA225" s="1223">
        <v>2850</v>
      </c>
      <c r="AB225" s="1222">
        <v>461</v>
      </c>
      <c r="AC225" s="1222">
        <v>165</v>
      </c>
      <c r="AD225" s="1222">
        <v>150</v>
      </c>
      <c r="AE225" s="1223">
        <v>4150</v>
      </c>
      <c r="AF225" s="1223">
        <f>1485+35</f>
        <v>1520</v>
      </c>
      <c r="AG225" s="1223">
        <f>1350+40</f>
        <v>1390</v>
      </c>
      <c r="AH225" s="1223">
        <f t="shared" si="406"/>
        <v>34750</v>
      </c>
      <c r="AI225" s="1223">
        <v>10460</v>
      </c>
      <c r="AJ225" s="1223"/>
      <c r="AK225" s="1223"/>
      <c r="AL225" s="1223">
        <v>24290</v>
      </c>
      <c r="AM225" s="1223"/>
      <c r="AN225" s="1223"/>
      <c r="AO225" s="1251" t="s">
        <v>2384</v>
      </c>
      <c r="AP225" s="1251" t="s">
        <v>2974</v>
      </c>
      <c r="AQ225" s="1254"/>
    </row>
    <row r="226" spans="1:43" ht="90">
      <c r="A226" s="437" t="s">
        <v>3003</v>
      </c>
      <c r="B226" s="1251" t="s">
        <v>3004</v>
      </c>
      <c r="C226" s="1220">
        <f t="shared" si="405"/>
        <v>511</v>
      </c>
      <c r="D226" s="1262" t="s">
        <v>2488</v>
      </c>
      <c r="E226" s="1251" t="s">
        <v>3005</v>
      </c>
      <c r="F226" s="1251" t="s">
        <v>3006</v>
      </c>
      <c r="G226" s="824">
        <f t="shared" si="365"/>
        <v>0.93998635648093087</v>
      </c>
      <c r="H226" s="824"/>
      <c r="I226" s="824">
        <f t="shared" si="407"/>
        <v>11.370576977889979</v>
      </c>
      <c r="J226" s="1222">
        <v>38</v>
      </c>
      <c r="K226" s="1222">
        <v>44</v>
      </c>
      <c r="L226" s="1222">
        <v>34</v>
      </c>
      <c r="M226" s="1223">
        <f>J226*110</f>
        <v>4180</v>
      </c>
      <c r="N226" s="1223">
        <f>K226*110</f>
        <v>4840</v>
      </c>
      <c r="O226" s="1223">
        <f>L226*110</f>
        <v>3740</v>
      </c>
      <c r="P226" s="1222">
        <v>47</v>
      </c>
      <c r="Q226" s="1222">
        <v>41</v>
      </c>
      <c r="R226" s="1222">
        <v>53</v>
      </c>
      <c r="S226" s="1223">
        <f t="shared" ref="S226:U226" si="417">P226*110</f>
        <v>5170</v>
      </c>
      <c r="T226" s="1223">
        <f t="shared" si="417"/>
        <v>4510</v>
      </c>
      <c r="U226" s="1223">
        <f t="shared" si="417"/>
        <v>5830</v>
      </c>
      <c r="V226" s="1222">
        <v>59</v>
      </c>
      <c r="W226" s="1222">
        <v>46</v>
      </c>
      <c r="X226" s="1222">
        <v>45</v>
      </c>
      <c r="Y226" s="1223">
        <f t="shared" ref="Y226:AA226" si="418">V226*110</f>
        <v>6490</v>
      </c>
      <c r="Z226" s="1223">
        <f t="shared" si="418"/>
        <v>5060</v>
      </c>
      <c r="AA226" s="1223">
        <f t="shared" si="418"/>
        <v>4950</v>
      </c>
      <c r="AB226" s="1222">
        <v>39</v>
      </c>
      <c r="AC226" s="1222">
        <v>40</v>
      </c>
      <c r="AD226" s="1222">
        <v>25</v>
      </c>
      <c r="AE226" s="1223">
        <f>AB226*110-35</f>
        <v>4255</v>
      </c>
      <c r="AF226" s="1223">
        <f>AC226*105</f>
        <v>4200</v>
      </c>
      <c r="AG226" s="1223">
        <f>AD226*105</f>
        <v>2625</v>
      </c>
      <c r="AH226" s="1223">
        <f t="shared" si="406"/>
        <v>55850</v>
      </c>
      <c r="AI226" s="1223">
        <v>44725</v>
      </c>
      <c r="AJ226" s="1223"/>
      <c r="AK226" s="1223"/>
      <c r="AL226" s="1223">
        <v>11125</v>
      </c>
      <c r="AM226" s="1223"/>
      <c r="AN226" s="1223"/>
      <c r="AO226" s="1251" t="s">
        <v>2384</v>
      </c>
      <c r="AP226" s="1251" t="s">
        <v>2974</v>
      </c>
      <c r="AQ226" s="1254"/>
    </row>
    <row r="227" spans="1:43" ht="30">
      <c r="A227" s="1019" t="s">
        <v>3007</v>
      </c>
      <c r="B227" s="1219" t="s">
        <v>3008</v>
      </c>
      <c r="C227" s="684"/>
      <c r="D227" s="1219"/>
      <c r="E227" s="1219"/>
      <c r="F227" s="1219"/>
      <c r="G227" s="683">
        <f t="shared" si="365"/>
        <v>3.1174390846764619</v>
      </c>
      <c r="H227" s="683">
        <f>+G227</f>
        <v>3.1174390846764619</v>
      </c>
      <c r="I227" s="683"/>
      <c r="J227" s="684"/>
      <c r="K227" s="684"/>
      <c r="L227" s="684"/>
      <c r="M227" s="685">
        <f t="shared" ref="M227:O227" si="419">M228</f>
        <v>10575</v>
      </c>
      <c r="N227" s="685">
        <f t="shared" si="419"/>
        <v>12190</v>
      </c>
      <c r="O227" s="685">
        <f t="shared" si="419"/>
        <v>10890</v>
      </c>
      <c r="P227" s="684"/>
      <c r="Q227" s="684"/>
      <c r="R227" s="684"/>
      <c r="S227" s="685">
        <f t="shared" ref="S227:U227" si="420">S228</f>
        <v>18460</v>
      </c>
      <c r="T227" s="685">
        <f t="shared" si="420"/>
        <v>24280</v>
      </c>
      <c r="U227" s="685">
        <f t="shared" si="420"/>
        <v>18145</v>
      </c>
      <c r="V227" s="684"/>
      <c r="W227" s="684"/>
      <c r="X227" s="684"/>
      <c r="Y227" s="685">
        <f t="shared" ref="Y227:AA227" si="421">Y228</f>
        <v>23375</v>
      </c>
      <c r="Z227" s="685">
        <f t="shared" si="421"/>
        <v>13315</v>
      </c>
      <c r="AA227" s="685">
        <f t="shared" si="421"/>
        <v>21325</v>
      </c>
      <c r="AB227" s="684"/>
      <c r="AC227" s="684"/>
      <c r="AD227" s="684"/>
      <c r="AE227" s="685">
        <f t="shared" ref="AE227:AG227" si="422">AE228</f>
        <v>20320</v>
      </c>
      <c r="AF227" s="685">
        <f t="shared" si="422"/>
        <v>5995</v>
      </c>
      <c r="AG227" s="685">
        <f t="shared" si="422"/>
        <v>6355</v>
      </c>
      <c r="AH227" s="685">
        <f>AH228</f>
        <v>185225</v>
      </c>
      <c r="AI227" s="685">
        <f>AI228</f>
        <v>66035</v>
      </c>
      <c r="AJ227" s="685"/>
      <c r="AK227" s="685"/>
      <c r="AL227" s="685">
        <f>AL228</f>
        <v>119190</v>
      </c>
      <c r="AM227" s="685"/>
      <c r="AN227" s="685"/>
      <c r="AO227" s="1219" t="s">
        <v>2384</v>
      </c>
      <c r="AP227" s="1242" t="s">
        <v>2385</v>
      </c>
      <c r="AQ227" s="1243"/>
    </row>
    <row r="228" spans="1:43" ht="60">
      <c r="A228" s="428" t="s">
        <v>3009</v>
      </c>
      <c r="B228" s="1233" t="s">
        <v>3010</v>
      </c>
      <c r="C228" s="1259"/>
      <c r="D228" s="1260"/>
      <c r="E228" s="1073"/>
      <c r="F228" s="1073"/>
      <c r="G228" s="804">
        <f t="shared" si="365"/>
        <v>3.1174390846764619</v>
      </c>
      <c r="H228" s="804"/>
      <c r="I228" s="804"/>
      <c r="J228" s="805"/>
      <c r="K228" s="805"/>
      <c r="L228" s="805"/>
      <c r="M228" s="806">
        <f>SUM(M229:M230)</f>
        <v>10575</v>
      </c>
      <c r="N228" s="806">
        <f t="shared" ref="N228:O228" si="423">SUM(N229:N230)</f>
        <v>12190</v>
      </c>
      <c r="O228" s="806">
        <f t="shared" si="423"/>
        <v>10890</v>
      </c>
      <c r="P228" s="805"/>
      <c r="Q228" s="805"/>
      <c r="R228" s="805"/>
      <c r="S228" s="806">
        <f t="shared" ref="S228:U228" si="424">SUM(S229:S230)</f>
        <v>18460</v>
      </c>
      <c r="T228" s="806">
        <f t="shared" si="424"/>
        <v>24280</v>
      </c>
      <c r="U228" s="806">
        <f t="shared" si="424"/>
        <v>18145</v>
      </c>
      <c r="V228" s="805"/>
      <c r="W228" s="805"/>
      <c r="X228" s="805"/>
      <c r="Y228" s="806">
        <f t="shared" ref="Y228:AA228" si="425">SUM(Y229:Y230)</f>
        <v>23375</v>
      </c>
      <c r="Z228" s="806">
        <f t="shared" si="425"/>
        <v>13315</v>
      </c>
      <c r="AA228" s="806">
        <f t="shared" si="425"/>
        <v>21325</v>
      </c>
      <c r="AB228" s="805"/>
      <c r="AC228" s="805"/>
      <c r="AD228" s="805"/>
      <c r="AE228" s="806">
        <f t="shared" ref="AE228:AI228" si="426">SUM(AE229:AE230)</f>
        <v>20320</v>
      </c>
      <c r="AF228" s="806">
        <f t="shared" si="426"/>
        <v>5995</v>
      </c>
      <c r="AG228" s="806">
        <f t="shared" si="426"/>
        <v>6355</v>
      </c>
      <c r="AH228" s="806">
        <f t="shared" si="426"/>
        <v>185225</v>
      </c>
      <c r="AI228" s="806">
        <f t="shared" si="426"/>
        <v>66035</v>
      </c>
      <c r="AJ228" s="806"/>
      <c r="AK228" s="806"/>
      <c r="AL228" s="806">
        <f>SUM(AL229:AL230)</f>
        <v>119190</v>
      </c>
      <c r="AM228" s="806"/>
      <c r="AN228" s="806"/>
      <c r="AO228" s="1249" t="s">
        <v>2384</v>
      </c>
      <c r="AP228" s="1233" t="s">
        <v>2385</v>
      </c>
      <c r="AQ228" s="1261"/>
    </row>
    <row r="229" spans="1:43" ht="45">
      <c r="A229" s="437" t="s">
        <v>3011</v>
      </c>
      <c r="B229" s="1251" t="s">
        <v>3012</v>
      </c>
      <c r="C229" s="1220">
        <f>+J229+K229+L229+P229+Q229+R229+V229+W229+X229+AB229+AC229+AD229</f>
        <v>48797</v>
      </c>
      <c r="D229" s="1262" t="s">
        <v>3013</v>
      </c>
      <c r="E229" s="1251" t="s">
        <v>3014</v>
      </c>
      <c r="F229" s="1251" t="s">
        <v>3015</v>
      </c>
      <c r="G229" s="824">
        <f t="shared" si="365"/>
        <v>1.6169111775671086</v>
      </c>
      <c r="H229" s="824"/>
      <c r="I229" s="824">
        <f>+AH229/AH$228*100</f>
        <v>51.866648670535831</v>
      </c>
      <c r="J229" s="1263">
        <v>1823</v>
      </c>
      <c r="K229" s="1263">
        <v>2572</v>
      </c>
      <c r="L229" s="1263">
        <v>1975</v>
      </c>
      <c r="M229" s="1223">
        <v>3575</v>
      </c>
      <c r="N229" s="1223">
        <v>5045</v>
      </c>
      <c r="O229" s="1223">
        <v>3870</v>
      </c>
      <c r="P229" s="1263">
        <v>5282</v>
      </c>
      <c r="Q229" s="1263">
        <v>9670</v>
      </c>
      <c r="R229" s="1263">
        <v>5534</v>
      </c>
      <c r="S229" s="1223">
        <v>10350</v>
      </c>
      <c r="T229" s="1223">
        <v>18950</v>
      </c>
      <c r="U229" s="1223">
        <v>10845</v>
      </c>
      <c r="V229" s="1263">
        <v>8207</v>
      </c>
      <c r="W229" s="1263">
        <v>2419</v>
      </c>
      <c r="X229" s="1263">
        <v>5014</v>
      </c>
      <c r="Y229" s="1223">
        <v>16085</v>
      </c>
      <c r="Z229" s="1223">
        <f>4740+35</f>
        <v>4775</v>
      </c>
      <c r="AA229" s="1223">
        <f>9830+100</f>
        <v>9930</v>
      </c>
      <c r="AB229" s="1263">
        <v>3901</v>
      </c>
      <c r="AC229" s="1263">
        <v>1200</v>
      </c>
      <c r="AD229" s="1263">
        <v>1200</v>
      </c>
      <c r="AE229" s="1223">
        <f>7645+100</f>
        <v>7745</v>
      </c>
      <c r="AF229" s="1223">
        <f>2350+100</f>
        <v>2450</v>
      </c>
      <c r="AG229" s="1223">
        <f>2350+100</f>
        <v>2450</v>
      </c>
      <c r="AH229" s="1223">
        <f t="shared" ref="AH229:AH230" si="427">M229+N229+O229+S229+T229+U229+Y229+Z229+AA229+AE229+AF229+AG229</f>
        <v>96070</v>
      </c>
      <c r="AI229" s="1223">
        <v>36475</v>
      </c>
      <c r="AJ229" s="1223"/>
      <c r="AK229" s="1223"/>
      <c r="AL229" s="1223">
        <v>59595</v>
      </c>
      <c r="AM229" s="1223"/>
      <c r="AN229" s="1223"/>
      <c r="AO229" s="1251" t="s">
        <v>2384</v>
      </c>
      <c r="AP229" s="1253" t="s">
        <v>2890</v>
      </c>
      <c r="AQ229" s="1254"/>
    </row>
    <row r="230" spans="1:43" ht="45">
      <c r="A230" s="437" t="s">
        <v>3016</v>
      </c>
      <c r="B230" s="1251" t="s">
        <v>3017</v>
      </c>
      <c r="C230" s="1220">
        <f>+J230+K230+L230+P230+Q230+R230+V230+W230+X230+AB230+AC230+AD230</f>
        <v>14075</v>
      </c>
      <c r="D230" s="1262" t="s">
        <v>3013</v>
      </c>
      <c r="E230" s="1251" t="s">
        <v>3018</v>
      </c>
      <c r="F230" s="1251" t="s">
        <v>3015</v>
      </c>
      <c r="G230" s="824">
        <f t="shared" si="365"/>
        <v>1.5005279071093534</v>
      </c>
      <c r="H230" s="824"/>
      <c r="I230" s="824">
        <f>+AH230/AH$228*100</f>
        <v>48.133351329464162</v>
      </c>
      <c r="J230" s="1263">
        <v>1111</v>
      </c>
      <c r="K230" s="1263">
        <v>1134</v>
      </c>
      <c r="L230" s="1263">
        <v>1114</v>
      </c>
      <c r="M230" s="1223">
        <v>7000</v>
      </c>
      <c r="N230" s="1223">
        <v>7145</v>
      </c>
      <c r="O230" s="1223">
        <v>7020</v>
      </c>
      <c r="P230" s="1263">
        <v>1287</v>
      </c>
      <c r="Q230" s="1263">
        <v>846</v>
      </c>
      <c r="R230" s="1263">
        <v>1159</v>
      </c>
      <c r="S230" s="1223">
        <v>8110</v>
      </c>
      <c r="T230" s="1223">
        <v>5330</v>
      </c>
      <c r="U230" s="1223">
        <v>7300</v>
      </c>
      <c r="V230" s="1263">
        <v>1157</v>
      </c>
      <c r="W230" s="1263">
        <v>1351</v>
      </c>
      <c r="X230" s="1263">
        <v>1789</v>
      </c>
      <c r="Y230" s="1223">
        <v>7290</v>
      </c>
      <c r="Z230" s="1223">
        <f>8510+30</f>
        <v>8540</v>
      </c>
      <c r="AA230" s="1223">
        <f>11270+125</f>
        <v>11395</v>
      </c>
      <c r="AB230" s="1263">
        <v>1984</v>
      </c>
      <c r="AC230" s="1263">
        <v>543</v>
      </c>
      <c r="AD230" s="1263">
        <v>600</v>
      </c>
      <c r="AE230" s="1223">
        <f>12450+125</f>
        <v>12575</v>
      </c>
      <c r="AF230" s="1223">
        <f>3420+125</f>
        <v>3545</v>
      </c>
      <c r="AG230" s="1223">
        <f>3780+125</f>
        <v>3905</v>
      </c>
      <c r="AH230" s="1223">
        <f t="shared" si="427"/>
        <v>89155</v>
      </c>
      <c r="AI230" s="1223">
        <v>29560</v>
      </c>
      <c r="AJ230" s="1223"/>
      <c r="AK230" s="1223"/>
      <c r="AL230" s="1223">
        <v>59595</v>
      </c>
      <c r="AM230" s="1223"/>
      <c r="AN230" s="1223"/>
      <c r="AO230" s="1251" t="s">
        <v>2384</v>
      </c>
      <c r="AP230" s="1253" t="s">
        <v>2890</v>
      </c>
      <c r="AQ230" s="1254"/>
    </row>
    <row r="231" spans="1:43" ht="30">
      <c r="A231" s="1019" t="s">
        <v>3019</v>
      </c>
      <c r="B231" s="1219" t="s">
        <v>3020</v>
      </c>
      <c r="C231" s="684"/>
      <c r="D231" s="1219"/>
      <c r="E231" s="1219"/>
      <c r="F231" s="1219"/>
      <c r="G231" s="683">
        <f t="shared" si="365"/>
        <v>7.6191911115294069</v>
      </c>
      <c r="H231" s="683">
        <f>+G231</f>
        <v>7.6191911115294069</v>
      </c>
      <c r="I231" s="683"/>
      <c r="J231" s="684"/>
      <c r="K231" s="684"/>
      <c r="L231" s="684"/>
      <c r="M231" s="685">
        <f t="shared" ref="M231:O231" si="428">M232</f>
        <v>35150</v>
      </c>
      <c r="N231" s="685">
        <f t="shared" si="428"/>
        <v>66325</v>
      </c>
      <c r="O231" s="685">
        <f t="shared" si="428"/>
        <v>63690</v>
      </c>
      <c r="P231" s="684"/>
      <c r="Q231" s="684"/>
      <c r="R231" s="684"/>
      <c r="S231" s="685">
        <f t="shared" ref="S231:U231" si="429">S232</f>
        <v>60730</v>
      </c>
      <c r="T231" s="685">
        <f t="shared" si="429"/>
        <v>24160</v>
      </c>
      <c r="U231" s="685">
        <f t="shared" si="429"/>
        <v>53000</v>
      </c>
      <c r="V231" s="684"/>
      <c r="W231" s="684"/>
      <c r="X231" s="684"/>
      <c r="Y231" s="685">
        <f t="shared" ref="Y231:AA231" si="430">Y232</f>
        <v>23595</v>
      </c>
      <c r="Z231" s="685">
        <f t="shared" si="430"/>
        <v>20885</v>
      </c>
      <c r="AA231" s="685">
        <f t="shared" si="430"/>
        <v>36485</v>
      </c>
      <c r="AB231" s="684"/>
      <c r="AC231" s="684"/>
      <c r="AD231" s="684"/>
      <c r="AE231" s="685">
        <f t="shared" ref="AE231:AG231" si="431">AE232</f>
        <v>38595</v>
      </c>
      <c r="AF231" s="685">
        <f t="shared" si="431"/>
        <v>21065</v>
      </c>
      <c r="AG231" s="685">
        <f t="shared" si="431"/>
        <v>9020</v>
      </c>
      <c r="AH231" s="685">
        <f>AH232</f>
        <v>452700</v>
      </c>
      <c r="AI231" s="685">
        <f>AI232</f>
        <v>199910</v>
      </c>
      <c r="AJ231" s="685"/>
      <c r="AK231" s="685"/>
      <c r="AL231" s="685">
        <f>AL232</f>
        <v>252790</v>
      </c>
      <c r="AM231" s="685"/>
      <c r="AN231" s="685"/>
      <c r="AO231" s="1219" t="s">
        <v>2384</v>
      </c>
      <c r="AP231" s="1242" t="s">
        <v>2385</v>
      </c>
      <c r="AQ231" s="1243"/>
    </row>
    <row r="232" spans="1:43" ht="30">
      <c r="A232" s="428" t="s">
        <v>3021</v>
      </c>
      <c r="B232" s="1233" t="s">
        <v>3022</v>
      </c>
      <c r="C232" s="1259"/>
      <c r="D232" s="1260"/>
      <c r="E232" s="1073"/>
      <c r="F232" s="1073"/>
      <c r="G232" s="804">
        <f t="shared" si="365"/>
        <v>7.6191911115294069</v>
      </c>
      <c r="H232" s="804"/>
      <c r="I232" s="804"/>
      <c r="J232" s="805"/>
      <c r="K232" s="805"/>
      <c r="L232" s="805"/>
      <c r="M232" s="806">
        <f t="shared" ref="M232:O232" si="432">SUM(M233:M245)</f>
        <v>35150</v>
      </c>
      <c r="N232" s="806">
        <f t="shared" si="432"/>
        <v>66325</v>
      </c>
      <c r="O232" s="806">
        <f t="shared" si="432"/>
        <v>63690</v>
      </c>
      <c r="P232" s="805"/>
      <c r="Q232" s="805"/>
      <c r="R232" s="805"/>
      <c r="S232" s="806">
        <f t="shared" ref="S232:U232" si="433">SUM(S233:S245)</f>
        <v>60730</v>
      </c>
      <c r="T232" s="806">
        <f t="shared" si="433"/>
        <v>24160</v>
      </c>
      <c r="U232" s="806">
        <f t="shared" si="433"/>
        <v>53000</v>
      </c>
      <c r="V232" s="805"/>
      <c r="W232" s="805"/>
      <c r="X232" s="805"/>
      <c r="Y232" s="806">
        <f t="shared" ref="Y232:AA232" si="434">SUM(Y233:Y245)</f>
        <v>23595</v>
      </c>
      <c r="Z232" s="806">
        <f t="shared" si="434"/>
        <v>20885</v>
      </c>
      <c r="AA232" s="806">
        <f t="shared" si="434"/>
        <v>36485</v>
      </c>
      <c r="AB232" s="805"/>
      <c r="AC232" s="805"/>
      <c r="AD232" s="805"/>
      <c r="AE232" s="806">
        <f t="shared" ref="AE232:AG232" si="435">SUM(AE233:AE245)</f>
        <v>38595</v>
      </c>
      <c r="AF232" s="806">
        <f t="shared" si="435"/>
        <v>21065</v>
      </c>
      <c r="AG232" s="806">
        <f t="shared" si="435"/>
        <v>9020</v>
      </c>
      <c r="AH232" s="806">
        <f>SUM(AH233:AH245)</f>
        <v>452700</v>
      </c>
      <c r="AI232" s="806">
        <f>SUM(AI233:AI245)</f>
        <v>199910</v>
      </c>
      <c r="AJ232" s="806"/>
      <c r="AK232" s="806"/>
      <c r="AL232" s="806">
        <f>SUM(AL233:AL245)</f>
        <v>252790</v>
      </c>
      <c r="AM232" s="806"/>
      <c r="AN232" s="806"/>
      <c r="AO232" s="1249" t="s">
        <v>2384</v>
      </c>
      <c r="AP232" s="1233" t="s">
        <v>2385</v>
      </c>
      <c r="AQ232" s="1261"/>
    </row>
    <row r="233" spans="1:43" ht="45">
      <c r="A233" s="437" t="s">
        <v>3023</v>
      </c>
      <c r="B233" s="1253" t="s">
        <v>3024</v>
      </c>
      <c r="C233" s="1220">
        <f t="shared" ref="C233:C245" si="436">+J233+K233+L233+P233+Q233+R233+V233+W233+X233+AB233+AC233+AD233</f>
        <v>539</v>
      </c>
      <c r="D233" s="1264" t="s">
        <v>1950</v>
      </c>
      <c r="E233" s="1253" t="s">
        <v>3025</v>
      </c>
      <c r="F233" s="1253" t="s">
        <v>3026</v>
      </c>
      <c r="G233" s="824">
        <f t="shared" si="365"/>
        <v>1.1031585628566269</v>
      </c>
      <c r="H233" s="824"/>
      <c r="I233" s="824">
        <f>+AH233/AH$232*100</f>
        <v>14.478683454826596</v>
      </c>
      <c r="J233" s="1222">
        <v>64</v>
      </c>
      <c r="K233" s="1222">
        <v>43</v>
      </c>
      <c r="L233" s="1222">
        <v>41</v>
      </c>
      <c r="M233" s="1223">
        <v>7810</v>
      </c>
      <c r="N233" s="1223">
        <v>5245</v>
      </c>
      <c r="O233" s="1223">
        <v>5000</v>
      </c>
      <c r="P233" s="1222">
        <v>42</v>
      </c>
      <c r="Q233" s="1222">
        <v>46</v>
      </c>
      <c r="R233" s="1222"/>
      <c r="S233" s="1223">
        <v>5125</v>
      </c>
      <c r="T233" s="1223">
        <v>5610</v>
      </c>
      <c r="U233" s="1223"/>
      <c r="V233" s="1222">
        <v>60</v>
      </c>
      <c r="W233" s="1222">
        <v>44</v>
      </c>
      <c r="X233" s="1222">
        <v>63</v>
      </c>
      <c r="Y233" s="1223">
        <v>7320</v>
      </c>
      <c r="Z233" s="1223">
        <v>5370</v>
      </c>
      <c r="AA233" s="1223">
        <v>7685</v>
      </c>
      <c r="AB233" s="1222">
        <v>66</v>
      </c>
      <c r="AC233" s="1222">
        <v>40</v>
      </c>
      <c r="AD233" s="1222">
        <v>30</v>
      </c>
      <c r="AE233" s="1223">
        <f>AB233*122-12</f>
        <v>8040</v>
      </c>
      <c r="AF233" s="1223">
        <f>AC233*122-100</f>
        <v>4780</v>
      </c>
      <c r="AG233" s="1223">
        <f>AD233*122-100</f>
        <v>3560</v>
      </c>
      <c r="AH233" s="1223">
        <f t="shared" ref="AH233:AH245" si="437">M233+N233+O233+S233+T233+U233+Y233+Z233+AA233+AE233+AF233+AG233</f>
        <v>65545</v>
      </c>
      <c r="AI233" s="1223">
        <v>34105</v>
      </c>
      <c r="AJ233" s="1223"/>
      <c r="AK233" s="1223"/>
      <c r="AL233" s="1223">
        <v>31440</v>
      </c>
      <c r="AM233" s="1223"/>
      <c r="AN233" s="1223"/>
      <c r="AO233" s="1253" t="s">
        <v>2384</v>
      </c>
      <c r="AP233" s="1251" t="s">
        <v>2431</v>
      </c>
      <c r="AQ233" s="1265"/>
    </row>
    <row r="234" spans="1:43" ht="75">
      <c r="A234" s="437" t="s">
        <v>3027</v>
      </c>
      <c r="B234" s="1253" t="s">
        <v>3028</v>
      </c>
      <c r="C234" s="1220">
        <f t="shared" si="436"/>
        <v>10</v>
      </c>
      <c r="D234" s="1264" t="s">
        <v>2452</v>
      </c>
      <c r="E234" s="1253" t="s">
        <v>3029</v>
      </c>
      <c r="F234" s="1253" t="s">
        <v>3030</v>
      </c>
      <c r="G234" s="824">
        <f t="shared" si="365"/>
        <v>0.84009702746187398</v>
      </c>
      <c r="H234" s="824"/>
      <c r="I234" s="824">
        <f t="shared" ref="I234:I245" si="438">+AH234/AH$232*100</f>
        <v>11.02606582725867</v>
      </c>
      <c r="J234" s="1222"/>
      <c r="K234" s="1222">
        <v>1</v>
      </c>
      <c r="L234" s="1222">
        <v>1</v>
      </c>
      <c r="M234" s="1223"/>
      <c r="N234" s="1223">
        <f>K234*4990</f>
        <v>4990</v>
      </c>
      <c r="O234" s="1223">
        <f>L234*4990</f>
        <v>4990</v>
      </c>
      <c r="P234" s="1222">
        <v>3</v>
      </c>
      <c r="Q234" s="1222">
        <v>1</v>
      </c>
      <c r="R234" s="1222"/>
      <c r="S234" s="1223">
        <f>P234*4990</f>
        <v>14970</v>
      </c>
      <c r="T234" s="1223">
        <f>Q234*4990</f>
        <v>4990</v>
      </c>
      <c r="U234" s="1223"/>
      <c r="V234" s="1222"/>
      <c r="W234" s="1222"/>
      <c r="X234" s="1222"/>
      <c r="Y234" s="1223"/>
      <c r="Z234" s="1223"/>
      <c r="AA234" s="1223"/>
      <c r="AB234" s="1222">
        <v>3</v>
      </c>
      <c r="AC234" s="1222">
        <v>1</v>
      </c>
      <c r="AD234" s="1222"/>
      <c r="AE234" s="1223">
        <f>AB234*4990</f>
        <v>14970</v>
      </c>
      <c r="AF234" s="1223">
        <f>AC234*4990+15</f>
        <v>5005</v>
      </c>
      <c r="AG234" s="1223"/>
      <c r="AH234" s="1223">
        <f t="shared" si="437"/>
        <v>49915</v>
      </c>
      <c r="AI234" s="1223">
        <v>13640</v>
      </c>
      <c r="AJ234" s="1223"/>
      <c r="AK234" s="1223"/>
      <c r="AL234" s="1223">
        <v>36275</v>
      </c>
      <c r="AM234" s="1223"/>
      <c r="AN234" s="1223"/>
      <c r="AO234" s="1253" t="s">
        <v>2384</v>
      </c>
      <c r="AP234" s="1251" t="s">
        <v>2431</v>
      </c>
      <c r="AQ234" s="1265"/>
    </row>
    <row r="235" spans="1:43" ht="30">
      <c r="A235" s="437" t="s">
        <v>3031</v>
      </c>
      <c r="B235" s="1253" t="s">
        <v>3032</v>
      </c>
      <c r="C235" s="1220">
        <f t="shared" si="436"/>
        <v>9</v>
      </c>
      <c r="D235" s="1264" t="s">
        <v>2441</v>
      </c>
      <c r="E235" s="1253" t="s">
        <v>3033</v>
      </c>
      <c r="F235" s="1253" t="s">
        <v>3034</v>
      </c>
      <c r="G235" s="824">
        <f t="shared" si="365"/>
        <v>0.47150792796442753</v>
      </c>
      <c r="H235" s="824"/>
      <c r="I235" s="824">
        <f t="shared" si="438"/>
        <v>6.1884250055224213</v>
      </c>
      <c r="J235" s="1222"/>
      <c r="K235" s="1222"/>
      <c r="L235" s="1222"/>
      <c r="M235" s="1223"/>
      <c r="N235" s="1223"/>
      <c r="O235" s="1223"/>
      <c r="P235" s="1222"/>
      <c r="Q235" s="1222"/>
      <c r="R235" s="1222">
        <v>8</v>
      </c>
      <c r="S235" s="1223"/>
      <c r="T235" s="1223"/>
      <c r="U235" s="1223">
        <f>R235*3115</f>
        <v>24920</v>
      </c>
      <c r="V235" s="1222"/>
      <c r="W235" s="1222"/>
      <c r="X235" s="1222"/>
      <c r="Y235" s="1223"/>
      <c r="Z235" s="1223"/>
      <c r="AA235" s="1223"/>
      <c r="AB235" s="1222"/>
      <c r="AC235" s="1222">
        <v>1</v>
      </c>
      <c r="AD235" s="1222"/>
      <c r="AE235" s="1223"/>
      <c r="AF235" s="1223">
        <f>AC235*3115-20</f>
        <v>3095</v>
      </c>
      <c r="AG235" s="1223"/>
      <c r="AH235" s="1223">
        <f t="shared" si="437"/>
        <v>28015</v>
      </c>
      <c r="AI235" s="1223">
        <v>2275</v>
      </c>
      <c r="AJ235" s="1223"/>
      <c r="AK235" s="1223"/>
      <c r="AL235" s="1223">
        <v>25740</v>
      </c>
      <c r="AM235" s="1223"/>
      <c r="AN235" s="1223"/>
      <c r="AO235" s="1253" t="s">
        <v>2384</v>
      </c>
      <c r="AP235" s="1251" t="s">
        <v>2431</v>
      </c>
      <c r="AQ235" s="1265"/>
    </row>
    <row r="236" spans="1:43" ht="45">
      <c r="A236" s="1189" t="s">
        <v>3035</v>
      </c>
      <c r="B236" s="1266" t="s">
        <v>3036</v>
      </c>
      <c r="C236" s="1220">
        <f t="shared" si="436"/>
        <v>64</v>
      </c>
      <c r="D236" s="1262" t="s">
        <v>419</v>
      </c>
      <c r="E236" s="1266" t="s">
        <v>3037</v>
      </c>
      <c r="F236" s="1266" t="s">
        <v>3038</v>
      </c>
      <c r="G236" s="824">
        <f t="shared" si="365"/>
        <v>7.9019443933356678E-2</v>
      </c>
      <c r="H236" s="824"/>
      <c r="I236" s="824">
        <f t="shared" si="438"/>
        <v>1.0371106693174288</v>
      </c>
      <c r="J236" s="1222"/>
      <c r="K236" s="1222"/>
      <c r="L236" s="1222">
        <v>12</v>
      </c>
      <c r="M236" s="1223"/>
      <c r="N236" s="1223"/>
      <c r="O236" s="1223">
        <f>L236*75</f>
        <v>900</v>
      </c>
      <c r="P236" s="1222"/>
      <c r="Q236" s="1222"/>
      <c r="R236" s="1222">
        <v>1</v>
      </c>
      <c r="S236" s="1223"/>
      <c r="T236" s="1223"/>
      <c r="U236" s="1223">
        <f>R236*75</f>
        <v>75</v>
      </c>
      <c r="V236" s="1222">
        <v>13</v>
      </c>
      <c r="W236" s="1222">
        <v>9</v>
      </c>
      <c r="X236" s="1222">
        <v>12</v>
      </c>
      <c r="Y236" s="1223">
        <f t="shared" ref="Y236:Z236" si="439">V236*75</f>
        <v>975</v>
      </c>
      <c r="Z236" s="1223">
        <f t="shared" si="439"/>
        <v>675</v>
      </c>
      <c r="AA236" s="1223">
        <f>X236*75-20</f>
        <v>880</v>
      </c>
      <c r="AB236" s="1222">
        <v>12</v>
      </c>
      <c r="AC236" s="1222">
        <v>5</v>
      </c>
      <c r="AD236" s="1222"/>
      <c r="AE236" s="1223">
        <f>AB236*70</f>
        <v>840</v>
      </c>
      <c r="AF236" s="1223">
        <f>AC236*70</f>
        <v>350</v>
      </c>
      <c r="AG236" s="1223"/>
      <c r="AH236" s="1223">
        <f t="shared" si="437"/>
        <v>4695</v>
      </c>
      <c r="AI236" s="1223">
        <v>2275</v>
      </c>
      <c r="AJ236" s="1223"/>
      <c r="AK236" s="1223"/>
      <c r="AL236" s="1223">
        <v>2420</v>
      </c>
      <c r="AM236" s="1223"/>
      <c r="AN236" s="1223"/>
      <c r="AO236" s="1253" t="s">
        <v>2384</v>
      </c>
      <c r="AP236" s="1251" t="s">
        <v>2431</v>
      </c>
      <c r="AQ236" s="1265"/>
    </row>
    <row r="237" spans="1:43" ht="45">
      <c r="A237" s="1189" t="s">
        <v>3039</v>
      </c>
      <c r="B237" s="1266" t="s">
        <v>3036</v>
      </c>
      <c r="C237" s="1220">
        <f t="shared" si="436"/>
        <v>15</v>
      </c>
      <c r="D237" s="1262" t="s">
        <v>424</v>
      </c>
      <c r="E237" s="1266" t="s">
        <v>3037</v>
      </c>
      <c r="F237" s="1266" t="s">
        <v>3038</v>
      </c>
      <c r="G237" s="824">
        <f t="shared" si="365"/>
        <v>5.9832614096503298E-2</v>
      </c>
      <c r="H237" s="824"/>
      <c r="I237" s="824">
        <f t="shared" si="438"/>
        <v>0.78528827037773352</v>
      </c>
      <c r="J237" s="1222"/>
      <c r="K237" s="1222"/>
      <c r="L237" s="1222">
        <v>1</v>
      </c>
      <c r="M237" s="1223"/>
      <c r="N237" s="1223"/>
      <c r="O237" s="1223">
        <f>L237*235</f>
        <v>235</v>
      </c>
      <c r="P237" s="1222"/>
      <c r="Q237" s="1222"/>
      <c r="R237" s="1222">
        <v>1</v>
      </c>
      <c r="S237" s="1223"/>
      <c r="T237" s="1223"/>
      <c r="U237" s="1223">
        <f>R237*235</f>
        <v>235</v>
      </c>
      <c r="V237" s="1222">
        <v>3</v>
      </c>
      <c r="W237" s="1222"/>
      <c r="X237" s="1222">
        <v>4</v>
      </c>
      <c r="Y237" s="1223">
        <f>V237*235</f>
        <v>705</v>
      </c>
      <c r="Z237" s="1223"/>
      <c r="AA237" s="1223">
        <f>X237*235</f>
        <v>940</v>
      </c>
      <c r="AB237" s="1222">
        <v>1</v>
      </c>
      <c r="AC237" s="1222">
        <v>5</v>
      </c>
      <c r="AD237" s="1222"/>
      <c r="AE237" s="1223">
        <f>AB237*235+15</f>
        <v>250</v>
      </c>
      <c r="AF237" s="1223">
        <f>AC237*235+15</f>
        <v>1190</v>
      </c>
      <c r="AG237" s="1223"/>
      <c r="AH237" s="1223">
        <f t="shared" si="437"/>
        <v>3555</v>
      </c>
      <c r="AI237" s="1223">
        <v>1135</v>
      </c>
      <c r="AJ237" s="1223"/>
      <c r="AK237" s="1223"/>
      <c r="AL237" s="1223">
        <v>2420</v>
      </c>
      <c r="AM237" s="1223"/>
      <c r="AN237" s="1223"/>
      <c r="AO237" s="1253" t="s">
        <v>2384</v>
      </c>
      <c r="AP237" s="1251" t="s">
        <v>2431</v>
      </c>
      <c r="AQ237" s="1265"/>
    </row>
    <row r="238" spans="1:43" ht="45">
      <c r="A238" s="1189" t="s">
        <v>3040</v>
      </c>
      <c r="B238" s="1266" t="s">
        <v>3036</v>
      </c>
      <c r="C238" s="1220">
        <f t="shared" si="436"/>
        <v>8</v>
      </c>
      <c r="D238" s="1262" t="s">
        <v>944</v>
      </c>
      <c r="E238" s="1266" t="s">
        <v>3037</v>
      </c>
      <c r="F238" s="1266" t="s">
        <v>3038</v>
      </c>
      <c r="G238" s="824">
        <f t="shared" si="365"/>
        <v>8.162817956906919E-2</v>
      </c>
      <c r="H238" s="824"/>
      <c r="I238" s="824">
        <f t="shared" si="438"/>
        <v>1.0713496796995803</v>
      </c>
      <c r="J238" s="1222"/>
      <c r="K238" s="1222"/>
      <c r="L238" s="1222">
        <v>2</v>
      </c>
      <c r="M238" s="1223"/>
      <c r="N238" s="1223"/>
      <c r="O238" s="1223">
        <f>L238*605</f>
        <v>1210</v>
      </c>
      <c r="P238" s="1222"/>
      <c r="Q238" s="1222"/>
      <c r="R238" s="1222"/>
      <c r="S238" s="1223"/>
      <c r="T238" s="1223"/>
      <c r="U238" s="1223"/>
      <c r="V238" s="1222">
        <v>2</v>
      </c>
      <c r="W238" s="1222">
        <v>1</v>
      </c>
      <c r="X238" s="1222">
        <v>1</v>
      </c>
      <c r="Y238" s="1223">
        <f t="shared" ref="Y238:AA238" si="440">V238*605</f>
        <v>1210</v>
      </c>
      <c r="Z238" s="1223">
        <f t="shared" si="440"/>
        <v>605</v>
      </c>
      <c r="AA238" s="1223">
        <f t="shared" si="440"/>
        <v>605</v>
      </c>
      <c r="AB238" s="1222">
        <v>1</v>
      </c>
      <c r="AC238" s="1222">
        <v>1</v>
      </c>
      <c r="AD238" s="1222"/>
      <c r="AE238" s="1223">
        <f t="shared" ref="AE238" si="441">AB238*605</f>
        <v>605</v>
      </c>
      <c r="AF238" s="1223">
        <f>AC238*605+10</f>
        <v>615</v>
      </c>
      <c r="AG238" s="1223"/>
      <c r="AH238" s="1223">
        <f t="shared" si="437"/>
        <v>4850</v>
      </c>
      <c r="AI238" s="1223">
        <v>3640</v>
      </c>
      <c r="AJ238" s="1223"/>
      <c r="AK238" s="1223"/>
      <c r="AL238" s="1223">
        <v>1210</v>
      </c>
      <c r="AM238" s="1223"/>
      <c r="AN238" s="1223"/>
      <c r="AO238" s="1253" t="s">
        <v>2384</v>
      </c>
      <c r="AP238" s="1251" t="s">
        <v>2431</v>
      </c>
      <c r="AQ238" s="1265"/>
    </row>
    <row r="239" spans="1:43" ht="45">
      <c r="A239" s="437" t="s">
        <v>3041</v>
      </c>
      <c r="B239" s="1251" t="s">
        <v>3042</v>
      </c>
      <c r="C239" s="1220">
        <f t="shared" si="436"/>
        <v>57</v>
      </c>
      <c r="D239" s="1231" t="s">
        <v>2441</v>
      </c>
      <c r="E239" s="1252" t="s">
        <v>3043</v>
      </c>
      <c r="F239" s="1251" t="s">
        <v>3044</v>
      </c>
      <c r="G239" s="824">
        <f t="shared" si="365"/>
        <v>0.34973888071036247</v>
      </c>
      <c r="H239" s="824"/>
      <c r="I239" s="824">
        <f t="shared" si="438"/>
        <v>4.5902363596200573</v>
      </c>
      <c r="J239" s="1222">
        <v>1</v>
      </c>
      <c r="K239" s="1222"/>
      <c r="L239" s="1222">
        <v>1</v>
      </c>
      <c r="M239" s="1223">
        <f>J239*365</f>
        <v>365</v>
      </c>
      <c r="N239" s="1223"/>
      <c r="O239" s="1223">
        <f>L239*365</f>
        <v>365</v>
      </c>
      <c r="P239" s="1222"/>
      <c r="Q239" s="1222">
        <v>1</v>
      </c>
      <c r="R239" s="1222">
        <v>50</v>
      </c>
      <c r="S239" s="1223"/>
      <c r="T239" s="1223">
        <f>Q239*365</f>
        <v>365</v>
      </c>
      <c r="U239" s="1223">
        <f>R239*365</f>
        <v>18250</v>
      </c>
      <c r="V239" s="1222">
        <v>2</v>
      </c>
      <c r="W239" s="1222">
        <v>1</v>
      </c>
      <c r="X239" s="1222"/>
      <c r="Y239" s="1223">
        <f t="shared" ref="Y239:Z239" si="442">V239*365</f>
        <v>730</v>
      </c>
      <c r="Z239" s="1223">
        <f t="shared" si="442"/>
        <v>365</v>
      </c>
      <c r="AA239" s="1223"/>
      <c r="AB239" s="1222">
        <v>1</v>
      </c>
      <c r="AC239" s="1222"/>
      <c r="AD239" s="1222"/>
      <c r="AE239" s="1223">
        <f>AB239*365-25</f>
        <v>340</v>
      </c>
      <c r="AF239" s="1223"/>
      <c r="AG239" s="1223"/>
      <c r="AH239" s="1223">
        <f t="shared" si="437"/>
        <v>20780</v>
      </c>
      <c r="AI239" s="1223">
        <v>6275</v>
      </c>
      <c r="AJ239" s="1223"/>
      <c r="AK239" s="1223"/>
      <c r="AL239" s="1223">
        <v>14505</v>
      </c>
      <c r="AM239" s="1223"/>
      <c r="AN239" s="1223"/>
      <c r="AO239" s="1251" t="s">
        <v>2384</v>
      </c>
      <c r="AP239" s="1251" t="s">
        <v>2431</v>
      </c>
      <c r="AQ239" s="1267"/>
    </row>
    <row r="240" spans="1:43" ht="45">
      <c r="A240" s="1251" t="s">
        <v>3045</v>
      </c>
      <c r="B240" s="1266" t="s">
        <v>3046</v>
      </c>
      <c r="C240" s="1220">
        <f t="shared" si="436"/>
        <v>12</v>
      </c>
      <c r="D240" s="1231" t="s">
        <v>2037</v>
      </c>
      <c r="E240" s="1252" t="s">
        <v>3047</v>
      </c>
      <c r="F240" s="1251" t="s">
        <v>3048</v>
      </c>
      <c r="G240" s="824">
        <f t="shared" si="365"/>
        <v>0.28948550280164748</v>
      </c>
      <c r="H240" s="824"/>
      <c r="I240" s="824">
        <f t="shared" si="438"/>
        <v>3.7994256682129448</v>
      </c>
      <c r="J240" s="1222">
        <v>1</v>
      </c>
      <c r="K240" s="1222">
        <v>1</v>
      </c>
      <c r="L240" s="1222">
        <v>1</v>
      </c>
      <c r="M240" s="1223">
        <f>J240*1435</f>
        <v>1435</v>
      </c>
      <c r="N240" s="1223">
        <f>K240*1435</f>
        <v>1435</v>
      </c>
      <c r="O240" s="1223">
        <f>L240*1435</f>
        <v>1435</v>
      </c>
      <c r="P240" s="1222">
        <v>1</v>
      </c>
      <c r="Q240" s="1222">
        <v>1</v>
      </c>
      <c r="R240" s="1222">
        <v>1</v>
      </c>
      <c r="S240" s="1223">
        <f t="shared" ref="S240:U240" si="443">P240*1435</f>
        <v>1435</v>
      </c>
      <c r="T240" s="1223">
        <f t="shared" si="443"/>
        <v>1435</v>
      </c>
      <c r="U240" s="1223">
        <f t="shared" si="443"/>
        <v>1435</v>
      </c>
      <c r="V240" s="1222">
        <v>1</v>
      </c>
      <c r="W240" s="1222">
        <v>1</v>
      </c>
      <c r="X240" s="1222">
        <v>1</v>
      </c>
      <c r="Y240" s="1223">
        <f t="shared" ref="Y240:AA240" si="444">V240*1435</f>
        <v>1435</v>
      </c>
      <c r="Z240" s="1223">
        <f t="shared" si="444"/>
        <v>1435</v>
      </c>
      <c r="AA240" s="1223">
        <f t="shared" si="444"/>
        <v>1435</v>
      </c>
      <c r="AB240" s="1222">
        <v>1</v>
      </c>
      <c r="AC240" s="1222">
        <v>1</v>
      </c>
      <c r="AD240" s="1222">
        <v>1</v>
      </c>
      <c r="AE240" s="1223">
        <f t="shared" ref="AE240:AF240" si="445">AB240*1435</f>
        <v>1435</v>
      </c>
      <c r="AF240" s="1223">
        <f t="shared" si="445"/>
        <v>1435</v>
      </c>
      <c r="AG240" s="1223">
        <f>AD240*1435-20</f>
        <v>1415</v>
      </c>
      <c r="AH240" s="1223">
        <f t="shared" si="437"/>
        <v>17200</v>
      </c>
      <c r="AI240" s="1223">
        <f>1820+10785</f>
        <v>12605</v>
      </c>
      <c r="AJ240" s="1223"/>
      <c r="AK240" s="1223"/>
      <c r="AL240" s="1223">
        <v>4595</v>
      </c>
      <c r="AM240" s="1223"/>
      <c r="AN240" s="1223"/>
      <c r="AO240" s="1251" t="s">
        <v>2384</v>
      </c>
      <c r="AP240" s="1251" t="s">
        <v>2431</v>
      </c>
      <c r="AQ240" s="1254"/>
    </row>
    <row r="241" spans="1:43" ht="60">
      <c r="A241" s="1251" t="s">
        <v>3049</v>
      </c>
      <c r="B241" s="1266" t="s">
        <v>3046</v>
      </c>
      <c r="C241" s="1220">
        <f t="shared" si="436"/>
        <v>124</v>
      </c>
      <c r="D241" s="1231" t="s">
        <v>3050</v>
      </c>
      <c r="E241" s="1252" t="s">
        <v>3051</v>
      </c>
      <c r="F241" s="1251" t="s">
        <v>3052</v>
      </c>
      <c r="G241" s="824">
        <f t="shared" si="365"/>
        <v>0.60657311168438222</v>
      </c>
      <c r="H241" s="824"/>
      <c r="I241" s="824">
        <f t="shared" si="438"/>
        <v>7.9611221559531691</v>
      </c>
      <c r="J241" s="1222">
        <v>8</v>
      </c>
      <c r="K241" s="1222">
        <v>12</v>
      </c>
      <c r="L241" s="1222">
        <v>17</v>
      </c>
      <c r="M241" s="1223">
        <f>J241*290</f>
        <v>2320</v>
      </c>
      <c r="N241" s="1223">
        <f>K241*290</f>
        <v>3480</v>
      </c>
      <c r="O241" s="1223">
        <f>L241*290</f>
        <v>4930</v>
      </c>
      <c r="P241" s="1222">
        <v>17</v>
      </c>
      <c r="Q241" s="1222">
        <v>12</v>
      </c>
      <c r="R241" s="1222">
        <v>7</v>
      </c>
      <c r="S241" s="1223">
        <f t="shared" ref="S241:U241" si="446">P241*290</f>
        <v>4930</v>
      </c>
      <c r="T241" s="1223">
        <f t="shared" si="446"/>
        <v>3480</v>
      </c>
      <c r="U241" s="1223">
        <f t="shared" si="446"/>
        <v>2030</v>
      </c>
      <c r="V241" s="1222">
        <v>7</v>
      </c>
      <c r="W241" s="1222">
        <v>5</v>
      </c>
      <c r="X241" s="1222">
        <v>18</v>
      </c>
      <c r="Y241" s="1223">
        <f t="shared" ref="Y241:AA241" si="447">V241*290</f>
        <v>2030</v>
      </c>
      <c r="Z241" s="1223">
        <f t="shared" si="447"/>
        <v>1450</v>
      </c>
      <c r="AA241" s="1223">
        <f t="shared" si="447"/>
        <v>5220</v>
      </c>
      <c r="AB241" s="1222">
        <v>7</v>
      </c>
      <c r="AC241" s="1222">
        <v>7</v>
      </c>
      <c r="AD241" s="1222">
        <v>7</v>
      </c>
      <c r="AE241" s="1223">
        <f t="shared" ref="AE241:AF241" si="448">AB241*290</f>
        <v>2030</v>
      </c>
      <c r="AF241" s="1223">
        <f t="shared" si="448"/>
        <v>2030</v>
      </c>
      <c r="AG241" s="1223">
        <f>AD241*290+80</f>
        <v>2110</v>
      </c>
      <c r="AH241" s="1223">
        <f t="shared" si="437"/>
        <v>36040</v>
      </c>
      <c r="AI241" s="1223">
        <v>34105</v>
      </c>
      <c r="AJ241" s="1223"/>
      <c r="AK241" s="1223"/>
      <c r="AL241" s="1223">
        <v>1935</v>
      </c>
      <c r="AM241" s="1223"/>
      <c r="AN241" s="1223"/>
      <c r="AO241" s="1251" t="s">
        <v>2384</v>
      </c>
      <c r="AP241" s="1251" t="s">
        <v>2431</v>
      </c>
      <c r="AQ241" s="1254"/>
    </row>
    <row r="242" spans="1:43" ht="60">
      <c r="A242" s="1251" t="s">
        <v>3053</v>
      </c>
      <c r="B242" s="1268" t="s">
        <v>3054</v>
      </c>
      <c r="C242" s="1220">
        <f t="shared" si="436"/>
        <v>289</v>
      </c>
      <c r="D242" s="1269" t="s">
        <v>2426</v>
      </c>
      <c r="E242" s="1268" t="s">
        <v>3055</v>
      </c>
      <c r="F242" s="1268" t="s">
        <v>2428</v>
      </c>
      <c r="G242" s="824">
        <f t="shared" si="365"/>
        <v>1.1677037316499013</v>
      </c>
      <c r="H242" s="824"/>
      <c r="I242" s="824">
        <f t="shared" si="438"/>
        <v>15.325822840733377</v>
      </c>
      <c r="J242" s="1222">
        <v>9</v>
      </c>
      <c r="K242" s="1222">
        <v>120</v>
      </c>
      <c r="L242" s="1222">
        <v>49</v>
      </c>
      <c r="M242" s="1223">
        <f>J242*240</f>
        <v>2160</v>
      </c>
      <c r="N242" s="1223">
        <f>K242*240</f>
        <v>28800</v>
      </c>
      <c r="O242" s="1223">
        <f>L242*240</f>
        <v>11760</v>
      </c>
      <c r="P242" s="1222">
        <v>111</v>
      </c>
      <c r="Q242" s="1222"/>
      <c r="R242" s="1222"/>
      <c r="S242" s="1223">
        <f>P242*240+20</f>
        <v>26660</v>
      </c>
      <c r="T242" s="1223"/>
      <c r="U242" s="1223"/>
      <c r="V242" s="1222"/>
      <c r="W242" s="1222"/>
      <c r="X242" s="1222"/>
      <c r="Y242" s="1223"/>
      <c r="Z242" s="1223"/>
      <c r="AA242" s="1223"/>
      <c r="AB242" s="1222"/>
      <c r="AC242" s="1222"/>
      <c r="AD242" s="1222"/>
      <c r="AE242" s="1223"/>
      <c r="AF242" s="1223"/>
      <c r="AG242" s="1223"/>
      <c r="AH242" s="1223">
        <f t="shared" si="437"/>
        <v>69380</v>
      </c>
      <c r="AI242" s="1223">
        <v>33105</v>
      </c>
      <c r="AJ242" s="1223"/>
      <c r="AK242" s="1223"/>
      <c r="AL242" s="1223">
        <v>36275</v>
      </c>
      <c r="AM242" s="1223"/>
      <c r="AN242" s="1223"/>
      <c r="AO242" s="1251" t="s">
        <v>3056</v>
      </c>
      <c r="AP242" s="1251" t="s">
        <v>2431</v>
      </c>
      <c r="AQ242" s="1254" t="s">
        <v>3057</v>
      </c>
    </row>
    <row r="243" spans="1:43" ht="75">
      <c r="A243" s="1251" t="s">
        <v>3058</v>
      </c>
      <c r="B243" s="1253" t="s">
        <v>3059</v>
      </c>
      <c r="C243" s="1220">
        <f t="shared" si="436"/>
        <v>120</v>
      </c>
      <c r="D243" s="1264" t="s">
        <v>1950</v>
      </c>
      <c r="E243" s="1253" t="s">
        <v>3060</v>
      </c>
      <c r="F243" s="1253" t="s">
        <v>3026</v>
      </c>
      <c r="G243" s="824">
        <f t="shared" si="365"/>
        <v>1.3567108360953954</v>
      </c>
      <c r="H243" s="824"/>
      <c r="I243" s="824">
        <f t="shared" si="438"/>
        <v>17.806494367130547</v>
      </c>
      <c r="J243" s="1222">
        <v>18</v>
      </c>
      <c r="K243" s="1222">
        <v>25</v>
      </c>
      <c r="L243" s="1222">
        <v>12</v>
      </c>
      <c r="M243" s="1223">
        <f>J243*670</f>
        <v>12060</v>
      </c>
      <c r="N243" s="1223">
        <f>K243*670</f>
        <v>16750</v>
      </c>
      <c r="O243" s="1223">
        <f>L243*670</f>
        <v>8040</v>
      </c>
      <c r="P243" s="1222">
        <v>8</v>
      </c>
      <c r="Q243" s="1222">
        <v>9</v>
      </c>
      <c r="R243" s="1222">
        <v>4</v>
      </c>
      <c r="S243" s="1223">
        <f t="shared" ref="S243:U243" si="449">P243*670</f>
        <v>5360</v>
      </c>
      <c r="T243" s="1223">
        <f t="shared" si="449"/>
        <v>6030</v>
      </c>
      <c r="U243" s="1223">
        <f t="shared" si="449"/>
        <v>2680</v>
      </c>
      <c r="V243" s="1222">
        <v>7</v>
      </c>
      <c r="W243" s="1222">
        <v>8</v>
      </c>
      <c r="X243" s="1222">
        <v>16</v>
      </c>
      <c r="Y243" s="1223">
        <f t="shared" ref="Y243:AA243" si="450">V243*670</f>
        <v>4690</v>
      </c>
      <c r="Z243" s="1223">
        <f t="shared" si="450"/>
        <v>5360</v>
      </c>
      <c r="AA243" s="1223">
        <f t="shared" si="450"/>
        <v>10720</v>
      </c>
      <c r="AB243" s="1222">
        <v>10</v>
      </c>
      <c r="AC243" s="1222">
        <v>2</v>
      </c>
      <c r="AD243" s="1222">
        <v>1</v>
      </c>
      <c r="AE243" s="1223">
        <f>AB243*670+10</f>
        <v>6710</v>
      </c>
      <c r="AF243" s="1223">
        <f>AC243*670+100</f>
        <v>1440</v>
      </c>
      <c r="AG243" s="1223">
        <f>AD243*670+100</f>
        <v>770</v>
      </c>
      <c r="AH243" s="1223">
        <f t="shared" si="437"/>
        <v>80610</v>
      </c>
      <c r="AI243" s="1223">
        <v>33105</v>
      </c>
      <c r="AJ243" s="1223"/>
      <c r="AK243" s="1223"/>
      <c r="AL243" s="1223">
        <v>47505</v>
      </c>
      <c r="AM243" s="1223"/>
      <c r="AN243" s="1223"/>
      <c r="AO243" s="1251" t="s">
        <v>2384</v>
      </c>
      <c r="AP243" s="1251" t="s">
        <v>2431</v>
      </c>
      <c r="AQ243" s="1270"/>
    </row>
    <row r="244" spans="1:43" ht="75">
      <c r="A244" s="1251" t="s">
        <v>3061</v>
      </c>
      <c r="B244" s="1253" t="s">
        <v>3062</v>
      </c>
      <c r="C244" s="1220">
        <f t="shared" si="436"/>
        <v>43</v>
      </c>
      <c r="D244" s="1264" t="s">
        <v>2452</v>
      </c>
      <c r="E244" s="1253" t="s">
        <v>3063</v>
      </c>
      <c r="F244" s="1253" t="s">
        <v>3030</v>
      </c>
      <c r="G244" s="824">
        <f t="shared" si="365"/>
        <v>0.81485119872917211</v>
      </c>
      <c r="H244" s="824"/>
      <c r="I244" s="824">
        <f t="shared" si="438"/>
        <v>10.694720565495913</v>
      </c>
      <c r="J244" s="1222">
        <v>8</v>
      </c>
      <c r="K244" s="1222">
        <v>5</v>
      </c>
      <c r="L244" s="1222">
        <v>1</v>
      </c>
      <c r="M244" s="1223">
        <f>J244*1125</f>
        <v>9000</v>
      </c>
      <c r="N244" s="1223">
        <f t="shared" ref="N244:O244" si="451">K244*1125</f>
        <v>5625</v>
      </c>
      <c r="O244" s="1223">
        <f t="shared" si="451"/>
        <v>1125</v>
      </c>
      <c r="P244" s="1222">
        <v>2</v>
      </c>
      <c r="Q244" s="1222">
        <v>2</v>
      </c>
      <c r="R244" s="1222">
        <v>3</v>
      </c>
      <c r="S244" s="1223">
        <f t="shared" ref="S244:U244" si="452">P244*1125</f>
        <v>2250</v>
      </c>
      <c r="T244" s="1223">
        <f t="shared" si="452"/>
        <v>2250</v>
      </c>
      <c r="U244" s="1223">
        <f t="shared" si="452"/>
        <v>3375</v>
      </c>
      <c r="V244" s="1222">
        <v>4</v>
      </c>
      <c r="W244" s="1222">
        <v>5</v>
      </c>
      <c r="X244" s="1222">
        <v>8</v>
      </c>
      <c r="Y244" s="1223">
        <f t="shared" ref="Y244:AA244" si="453">V244*1125</f>
        <v>4500</v>
      </c>
      <c r="Z244" s="1223">
        <f t="shared" si="453"/>
        <v>5625</v>
      </c>
      <c r="AA244" s="1223">
        <f t="shared" si="453"/>
        <v>9000</v>
      </c>
      <c r="AB244" s="1222">
        <v>3</v>
      </c>
      <c r="AC244" s="1222">
        <v>1</v>
      </c>
      <c r="AD244" s="1222">
        <v>1</v>
      </c>
      <c r="AE244" s="1223">
        <f t="shared" ref="AE244:AF244" si="454">AB244*1125</f>
        <v>3375</v>
      </c>
      <c r="AF244" s="1223">
        <f t="shared" si="454"/>
        <v>1125</v>
      </c>
      <c r="AG244" s="1223">
        <f>AD244*1125+40</f>
        <v>1165</v>
      </c>
      <c r="AH244" s="1223">
        <f t="shared" si="437"/>
        <v>48415</v>
      </c>
      <c r="AI244" s="1223">
        <v>910</v>
      </c>
      <c r="AJ244" s="1223"/>
      <c r="AK244" s="1223"/>
      <c r="AL244" s="1223">
        <v>47505</v>
      </c>
      <c r="AM244" s="1223"/>
      <c r="AN244" s="1223"/>
      <c r="AO244" s="1251" t="s">
        <v>2384</v>
      </c>
      <c r="AP244" s="1251" t="s">
        <v>2431</v>
      </c>
      <c r="AQ244" s="1270"/>
    </row>
    <row r="245" spans="1:43" ht="45">
      <c r="A245" s="1251" t="s">
        <v>3064</v>
      </c>
      <c r="B245" s="1253" t="s">
        <v>3065</v>
      </c>
      <c r="C245" s="1220">
        <f t="shared" si="436"/>
        <v>1</v>
      </c>
      <c r="D245" s="1264" t="s">
        <v>52</v>
      </c>
      <c r="E245" s="1253" t="s">
        <v>3066</v>
      </c>
      <c r="F245" s="1253" t="s">
        <v>3067</v>
      </c>
      <c r="G245" s="824">
        <f t="shared" si="365"/>
        <v>0.39888409397668861</v>
      </c>
      <c r="H245" s="824"/>
      <c r="I245" s="824">
        <f t="shared" si="438"/>
        <v>5.235255135851558</v>
      </c>
      <c r="J245" s="1222"/>
      <c r="K245" s="1222"/>
      <c r="L245" s="1222">
        <v>1</v>
      </c>
      <c r="M245" s="1223"/>
      <c r="N245" s="1223"/>
      <c r="O245" s="1223">
        <v>23700</v>
      </c>
      <c r="P245" s="1222"/>
      <c r="Q245" s="1222"/>
      <c r="R245" s="1222"/>
      <c r="S245" s="1223"/>
      <c r="T245" s="1223"/>
      <c r="U245" s="1223"/>
      <c r="V245" s="1222"/>
      <c r="W245" s="1222"/>
      <c r="X245" s="1222"/>
      <c r="Y245" s="1223"/>
      <c r="Z245" s="1223"/>
      <c r="AA245" s="1223"/>
      <c r="AB245" s="1222"/>
      <c r="AC245" s="1222"/>
      <c r="AD245" s="1222"/>
      <c r="AE245" s="1223"/>
      <c r="AF245" s="1223"/>
      <c r="AG245" s="1223"/>
      <c r="AH245" s="1223">
        <f t="shared" si="437"/>
        <v>23700</v>
      </c>
      <c r="AI245" s="1223">
        <v>22735</v>
      </c>
      <c r="AJ245" s="1223"/>
      <c r="AK245" s="1223"/>
      <c r="AL245" s="1223">
        <v>965</v>
      </c>
      <c r="AM245" s="1223"/>
      <c r="AN245" s="1223"/>
      <c r="AO245" s="1251" t="s">
        <v>2384</v>
      </c>
      <c r="AP245" s="1251" t="s">
        <v>2431</v>
      </c>
      <c r="AQ245" s="1270"/>
    </row>
    <row r="246" spans="1:43" ht="30">
      <c r="A246" s="1019" t="s">
        <v>3068</v>
      </c>
      <c r="B246" s="1219" t="s">
        <v>3069</v>
      </c>
      <c r="C246" s="684"/>
      <c r="D246" s="1219"/>
      <c r="E246" s="1219"/>
      <c r="F246" s="1219"/>
      <c r="G246" s="683">
        <f t="shared" si="365"/>
        <v>2.8213055136418701</v>
      </c>
      <c r="H246" s="683">
        <f>+G246</f>
        <v>2.8213055136418701</v>
      </c>
      <c r="I246" s="683"/>
      <c r="J246" s="684"/>
      <c r="K246" s="684"/>
      <c r="L246" s="684"/>
      <c r="M246" s="685">
        <f t="shared" ref="M246:O246" si="455">M247</f>
        <v>10430</v>
      </c>
      <c r="N246" s="685">
        <f t="shared" si="455"/>
        <v>13470</v>
      </c>
      <c r="O246" s="685">
        <f t="shared" si="455"/>
        <v>22620</v>
      </c>
      <c r="P246" s="684"/>
      <c r="Q246" s="684"/>
      <c r="R246" s="684"/>
      <c r="S246" s="685">
        <f t="shared" ref="S246:U246" si="456">S247</f>
        <v>17425</v>
      </c>
      <c r="T246" s="685">
        <f t="shared" si="456"/>
        <v>9700</v>
      </c>
      <c r="U246" s="685">
        <f t="shared" si="456"/>
        <v>21900</v>
      </c>
      <c r="V246" s="684"/>
      <c r="W246" s="684"/>
      <c r="X246" s="684"/>
      <c r="Y246" s="685">
        <f t="shared" ref="Y246:AA246" si="457">Y247</f>
        <v>13390</v>
      </c>
      <c r="Z246" s="685">
        <f t="shared" si="457"/>
        <v>10390</v>
      </c>
      <c r="AA246" s="685">
        <f t="shared" si="457"/>
        <v>16130</v>
      </c>
      <c r="AB246" s="684"/>
      <c r="AC246" s="684"/>
      <c r="AD246" s="684"/>
      <c r="AE246" s="685">
        <f t="shared" ref="AE246:AG246" si="458">AE247</f>
        <v>11450</v>
      </c>
      <c r="AF246" s="685">
        <f t="shared" si="458"/>
        <v>10350</v>
      </c>
      <c r="AG246" s="685">
        <f t="shared" si="458"/>
        <v>10375</v>
      </c>
      <c r="AH246" s="685">
        <f>AH247</f>
        <v>167630</v>
      </c>
      <c r="AI246" s="685">
        <f>AI247</f>
        <v>86995</v>
      </c>
      <c r="AJ246" s="685"/>
      <c r="AK246" s="685"/>
      <c r="AL246" s="685">
        <f>AL247</f>
        <v>80635</v>
      </c>
      <c r="AM246" s="685"/>
      <c r="AN246" s="685"/>
      <c r="AO246" s="1219" t="s">
        <v>2384</v>
      </c>
      <c r="AP246" s="1242" t="s">
        <v>2385</v>
      </c>
      <c r="AQ246" s="1243"/>
    </row>
    <row r="247" spans="1:43" ht="60">
      <c r="A247" s="428" t="s">
        <v>3070</v>
      </c>
      <c r="B247" s="1249" t="s">
        <v>3071</v>
      </c>
      <c r="C247" s="1259"/>
      <c r="D247" s="1271"/>
      <c r="E247" s="1249"/>
      <c r="F247" s="1272"/>
      <c r="G247" s="804">
        <f t="shared" si="365"/>
        <v>2.8213055136418701</v>
      </c>
      <c r="H247" s="804"/>
      <c r="I247" s="804"/>
      <c r="J247" s="805"/>
      <c r="K247" s="805"/>
      <c r="L247" s="805"/>
      <c r="M247" s="806">
        <f t="shared" ref="M247:O247" si="459">SUM(M248:M250)</f>
        <v>10430</v>
      </c>
      <c r="N247" s="806">
        <f t="shared" si="459"/>
        <v>13470</v>
      </c>
      <c r="O247" s="806">
        <f t="shared" si="459"/>
        <v>22620</v>
      </c>
      <c r="P247" s="805"/>
      <c r="Q247" s="805"/>
      <c r="R247" s="805"/>
      <c r="S247" s="806">
        <f t="shared" ref="S247:U247" si="460">SUM(S248:S250)</f>
        <v>17425</v>
      </c>
      <c r="T247" s="806">
        <f t="shared" si="460"/>
        <v>9700</v>
      </c>
      <c r="U247" s="806">
        <f t="shared" si="460"/>
        <v>21900</v>
      </c>
      <c r="V247" s="805"/>
      <c r="W247" s="805"/>
      <c r="X247" s="805"/>
      <c r="Y247" s="806">
        <f t="shared" ref="Y247:AA247" si="461">SUM(Y248:Y250)</f>
        <v>13390</v>
      </c>
      <c r="Z247" s="806">
        <f t="shared" si="461"/>
        <v>10390</v>
      </c>
      <c r="AA247" s="806">
        <f t="shared" si="461"/>
        <v>16130</v>
      </c>
      <c r="AB247" s="805"/>
      <c r="AC247" s="805"/>
      <c r="AD247" s="805"/>
      <c r="AE247" s="806">
        <f t="shared" ref="AE247:AG247" si="462">SUM(AE248:AE250)</f>
        <v>11450</v>
      </c>
      <c r="AF247" s="806">
        <f t="shared" si="462"/>
        <v>10350</v>
      </c>
      <c r="AG247" s="806">
        <f t="shared" si="462"/>
        <v>10375</v>
      </c>
      <c r="AH247" s="806">
        <f>SUM(AH248:AH250)</f>
        <v>167630</v>
      </c>
      <c r="AI247" s="806">
        <f>SUM(AI248:AI250)</f>
        <v>86995</v>
      </c>
      <c r="AJ247" s="806"/>
      <c r="AK247" s="806"/>
      <c r="AL247" s="806">
        <f>SUM(AL248:AL250)</f>
        <v>80635</v>
      </c>
      <c r="AM247" s="806"/>
      <c r="AN247" s="806"/>
      <c r="AO247" s="1249" t="s">
        <v>2384</v>
      </c>
      <c r="AP247" s="1233" t="s">
        <v>2385</v>
      </c>
      <c r="AQ247" s="1261"/>
    </row>
    <row r="248" spans="1:43" ht="60">
      <c r="A248" s="437" t="s">
        <v>3072</v>
      </c>
      <c r="B248" s="1252" t="s">
        <v>3073</v>
      </c>
      <c r="C248" s="1220">
        <f>+J248+K248+L248+P248+Q248+R248+V248+W248+X248+AB248+AC248+AD248</f>
        <v>516</v>
      </c>
      <c r="D248" s="1231" t="s">
        <v>2403</v>
      </c>
      <c r="E248" s="1252" t="s">
        <v>3074</v>
      </c>
      <c r="F248" s="1251" t="s">
        <v>3075</v>
      </c>
      <c r="G248" s="824">
        <f t="shared" si="365"/>
        <v>0.82797902967017711</v>
      </c>
      <c r="H248" s="824"/>
      <c r="I248" s="824">
        <f>+AH248/AH$247*100</f>
        <v>29.347372188749034</v>
      </c>
      <c r="J248" s="1222">
        <v>42</v>
      </c>
      <c r="K248" s="1222">
        <v>43</v>
      </c>
      <c r="L248" s="1222">
        <v>65</v>
      </c>
      <c r="M248" s="1223">
        <f>J248*95</f>
        <v>3990</v>
      </c>
      <c r="N248" s="1223">
        <f>K248*95</f>
        <v>4085</v>
      </c>
      <c r="O248" s="1223">
        <f>L248*95</f>
        <v>6175</v>
      </c>
      <c r="P248" s="1222">
        <v>56</v>
      </c>
      <c r="Q248" s="1222">
        <v>32</v>
      </c>
      <c r="R248" s="1222">
        <v>75</v>
      </c>
      <c r="S248" s="1223">
        <f t="shared" ref="S248:U248" si="463">P248*95</f>
        <v>5320</v>
      </c>
      <c r="T248" s="1223">
        <f t="shared" si="463"/>
        <v>3040</v>
      </c>
      <c r="U248" s="1223">
        <f t="shared" si="463"/>
        <v>7125</v>
      </c>
      <c r="V248" s="1222">
        <v>28</v>
      </c>
      <c r="W248" s="1222">
        <v>31</v>
      </c>
      <c r="X248" s="1222">
        <v>36</v>
      </c>
      <c r="Y248" s="1223">
        <f t="shared" ref="Y248:AA248" si="464">V248*95</f>
        <v>2660</v>
      </c>
      <c r="Z248" s="1223">
        <f t="shared" si="464"/>
        <v>2945</v>
      </c>
      <c r="AA248" s="1223">
        <f t="shared" si="464"/>
        <v>3420</v>
      </c>
      <c r="AB248" s="1222">
        <v>38</v>
      </c>
      <c r="AC248" s="1222">
        <v>35</v>
      </c>
      <c r="AD248" s="1222">
        <v>35</v>
      </c>
      <c r="AE248" s="1223">
        <f t="shared" ref="AE248" si="465">AB248*95</f>
        <v>3610</v>
      </c>
      <c r="AF248" s="1223">
        <f>AC248*95+75</f>
        <v>3400</v>
      </c>
      <c r="AG248" s="1223">
        <f>AD248*95+100</f>
        <v>3425</v>
      </c>
      <c r="AH248" s="1223">
        <f t="shared" ref="AH248:AH250" si="466">M248+N248+O248+S248+T248+U248+Y248+Z248+AA248+AE248+AF248+AG248</f>
        <v>49195</v>
      </c>
      <c r="AI248" s="1223">
        <v>25010</v>
      </c>
      <c r="AJ248" s="1223"/>
      <c r="AK248" s="1223"/>
      <c r="AL248" s="1223">
        <v>24185</v>
      </c>
      <c r="AM248" s="1223"/>
      <c r="AN248" s="1223"/>
      <c r="AO248" s="1253" t="s">
        <v>2384</v>
      </c>
      <c r="AP248" s="1253" t="s">
        <v>2409</v>
      </c>
      <c r="AQ248" s="1265"/>
    </row>
    <row r="249" spans="1:43" ht="75">
      <c r="A249" s="437" t="s">
        <v>3076</v>
      </c>
      <c r="B249" s="1252" t="s">
        <v>3077</v>
      </c>
      <c r="C249" s="1220">
        <f>+J249+K249+L249+P249+Q249+R249+V249+W249+X249+AB249+AC249+AD249</f>
        <v>235</v>
      </c>
      <c r="D249" s="1231" t="s">
        <v>2412</v>
      </c>
      <c r="E249" s="1252" t="s">
        <v>3078</v>
      </c>
      <c r="F249" s="1251" t="s">
        <v>3079</v>
      </c>
      <c r="G249" s="824">
        <f t="shared" si="365"/>
        <v>0.74239567026631792</v>
      </c>
      <c r="H249" s="824"/>
      <c r="I249" s="824">
        <f t="shared" ref="I249:I250" si="467">+AH249/AH$247*100</f>
        <v>26.313905625484697</v>
      </c>
      <c r="J249" s="1222">
        <v>12</v>
      </c>
      <c r="K249" s="1222">
        <v>21</v>
      </c>
      <c r="L249" s="1222">
        <v>39</v>
      </c>
      <c r="M249" s="1223">
        <f>J249*190</f>
        <v>2280</v>
      </c>
      <c r="N249" s="1223">
        <f>K249*190</f>
        <v>3990</v>
      </c>
      <c r="O249" s="1223">
        <f>L249*190</f>
        <v>7410</v>
      </c>
      <c r="P249" s="1222">
        <v>23</v>
      </c>
      <c r="Q249" s="1222">
        <v>7</v>
      </c>
      <c r="R249" s="1222">
        <v>35</v>
      </c>
      <c r="S249" s="1223">
        <f t="shared" ref="S249:U249" si="468">P249*190</f>
        <v>4370</v>
      </c>
      <c r="T249" s="1223">
        <f t="shared" si="468"/>
        <v>1330</v>
      </c>
      <c r="U249" s="1223">
        <f t="shared" si="468"/>
        <v>6650</v>
      </c>
      <c r="V249" s="1222">
        <v>17</v>
      </c>
      <c r="W249" s="1222">
        <v>12</v>
      </c>
      <c r="X249" s="1222">
        <v>23</v>
      </c>
      <c r="Y249" s="1223">
        <f>V249*190-40</f>
        <v>3190</v>
      </c>
      <c r="Z249" s="1223">
        <f>W249*190-100</f>
        <v>2180</v>
      </c>
      <c r="AA249" s="1223">
        <f>X249*190-100</f>
        <v>4270</v>
      </c>
      <c r="AB249" s="1222">
        <v>16</v>
      </c>
      <c r="AC249" s="1222">
        <v>15</v>
      </c>
      <c r="AD249" s="1222">
        <v>15</v>
      </c>
      <c r="AE249" s="1223">
        <f>AB249*190-100</f>
        <v>2940</v>
      </c>
      <c r="AF249" s="1223">
        <f>AC249*190-100</f>
        <v>2750</v>
      </c>
      <c r="AG249" s="1223">
        <f>AD249*190-100</f>
        <v>2750</v>
      </c>
      <c r="AH249" s="1223">
        <f t="shared" si="466"/>
        <v>44110</v>
      </c>
      <c r="AI249" s="1223">
        <v>17510</v>
      </c>
      <c r="AJ249" s="1223"/>
      <c r="AK249" s="1223"/>
      <c r="AL249" s="1223">
        <v>26600</v>
      </c>
      <c r="AM249" s="1223"/>
      <c r="AN249" s="1223"/>
      <c r="AO249" s="1253" t="s">
        <v>2384</v>
      </c>
      <c r="AP249" s="1253" t="s">
        <v>2409</v>
      </c>
      <c r="AQ249" s="1254" t="s">
        <v>3080</v>
      </c>
    </row>
    <row r="250" spans="1:43" ht="45">
      <c r="A250" s="437" t="s">
        <v>3081</v>
      </c>
      <c r="B250" s="1252" t="s">
        <v>3082</v>
      </c>
      <c r="C250" s="1220">
        <f>+J250+K250+L250+P250+Q250+R250+V250+W250+X250+AB250+AC250+AD250</f>
        <v>1128</v>
      </c>
      <c r="D250" s="1231" t="s">
        <v>2768</v>
      </c>
      <c r="E250" s="1252" t="s">
        <v>3083</v>
      </c>
      <c r="F250" s="1251" t="s">
        <v>3084</v>
      </c>
      <c r="G250" s="824">
        <f t="shared" si="365"/>
        <v>1.250930813705375</v>
      </c>
      <c r="H250" s="824"/>
      <c r="I250" s="824">
        <f t="shared" si="467"/>
        <v>44.338722185766272</v>
      </c>
      <c r="J250" s="1222">
        <v>64</v>
      </c>
      <c r="K250" s="1222">
        <v>83</v>
      </c>
      <c r="L250" s="1222">
        <v>139</v>
      </c>
      <c r="M250" s="1223">
        <f>J250*65</f>
        <v>4160</v>
      </c>
      <c r="N250" s="1223">
        <f>K250*65</f>
        <v>5395</v>
      </c>
      <c r="O250" s="1223">
        <f>L250*65</f>
        <v>9035</v>
      </c>
      <c r="P250" s="1222">
        <v>119</v>
      </c>
      <c r="Q250" s="1222">
        <v>82</v>
      </c>
      <c r="R250" s="1222">
        <v>125</v>
      </c>
      <c r="S250" s="1223">
        <f t="shared" ref="S250:U250" si="469">P250*65</f>
        <v>7735</v>
      </c>
      <c r="T250" s="1223">
        <f t="shared" si="469"/>
        <v>5330</v>
      </c>
      <c r="U250" s="1223">
        <f t="shared" si="469"/>
        <v>8125</v>
      </c>
      <c r="V250" s="1222">
        <v>116</v>
      </c>
      <c r="W250" s="1222">
        <v>81</v>
      </c>
      <c r="X250" s="1222">
        <v>129</v>
      </c>
      <c r="Y250" s="1223">
        <f t="shared" ref="Y250:Z250" si="470">V250*65</f>
        <v>7540</v>
      </c>
      <c r="Z250" s="1223">
        <f t="shared" si="470"/>
        <v>5265</v>
      </c>
      <c r="AA250" s="1223">
        <f>X250*65+55</f>
        <v>8440</v>
      </c>
      <c r="AB250" s="1222">
        <v>70</v>
      </c>
      <c r="AC250" s="1222">
        <v>60</v>
      </c>
      <c r="AD250" s="1222">
        <v>60</v>
      </c>
      <c r="AE250" s="1223">
        <f>AB250*70</f>
        <v>4900</v>
      </c>
      <c r="AF250" s="1223">
        <f>AC250*70</f>
        <v>4200</v>
      </c>
      <c r="AG250" s="1223">
        <f>AD250*70</f>
        <v>4200</v>
      </c>
      <c r="AH250" s="1223">
        <f t="shared" si="466"/>
        <v>74325</v>
      </c>
      <c r="AI250" s="1223">
        <v>44475</v>
      </c>
      <c r="AJ250" s="1223"/>
      <c r="AK250" s="1223"/>
      <c r="AL250" s="1223">
        <v>29850</v>
      </c>
      <c r="AM250" s="1223"/>
      <c r="AN250" s="1223"/>
      <c r="AO250" s="1253" t="s">
        <v>2384</v>
      </c>
      <c r="AP250" s="1253" t="s">
        <v>2409</v>
      </c>
      <c r="AQ250" s="1265"/>
    </row>
    <row r="251" spans="1:43" ht="30">
      <c r="A251" s="1019" t="s">
        <v>3085</v>
      </c>
      <c r="B251" s="1219" t="s">
        <v>3086</v>
      </c>
      <c r="C251" s="684"/>
      <c r="D251" s="1219"/>
      <c r="E251" s="1219"/>
      <c r="F251" s="1219"/>
      <c r="G251" s="683">
        <f t="shared" si="365"/>
        <v>2.0999480339861365</v>
      </c>
      <c r="H251" s="683">
        <f>+G251</f>
        <v>2.0999480339861365</v>
      </c>
      <c r="I251" s="683"/>
      <c r="J251" s="684"/>
      <c r="K251" s="684"/>
      <c r="L251" s="684"/>
      <c r="M251" s="685">
        <f t="shared" ref="M251:O251" si="471">M252</f>
        <v>6505</v>
      </c>
      <c r="N251" s="685">
        <f t="shared" si="471"/>
        <v>5025</v>
      </c>
      <c r="O251" s="685">
        <f t="shared" si="471"/>
        <v>10330</v>
      </c>
      <c r="P251" s="684"/>
      <c r="Q251" s="684"/>
      <c r="R251" s="684"/>
      <c r="S251" s="685">
        <f t="shared" ref="S251:U251" si="472">S252</f>
        <v>36135</v>
      </c>
      <c r="T251" s="685">
        <f t="shared" si="472"/>
        <v>6165</v>
      </c>
      <c r="U251" s="685">
        <f t="shared" si="472"/>
        <v>4885</v>
      </c>
      <c r="V251" s="684"/>
      <c r="W251" s="684"/>
      <c r="X251" s="684"/>
      <c r="Y251" s="685">
        <f t="shared" ref="Y251:AA251" si="473">Y252</f>
        <v>6985</v>
      </c>
      <c r="Z251" s="685">
        <f t="shared" si="473"/>
        <v>6015</v>
      </c>
      <c r="AA251" s="685">
        <f t="shared" si="473"/>
        <v>7015</v>
      </c>
      <c r="AB251" s="684"/>
      <c r="AC251" s="684"/>
      <c r="AD251" s="684"/>
      <c r="AE251" s="685">
        <f t="shared" ref="AE251:AG251" si="474">AE252</f>
        <v>4710</v>
      </c>
      <c r="AF251" s="685">
        <f t="shared" si="474"/>
        <v>16535</v>
      </c>
      <c r="AG251" s="685">
        <f t="shared" si="474"/>
        <v>14465</v>
      </c>
      <c r="AH251" s="685">
        <f>AH252</f>
        <v>124770</v>
      </c>
      <c r="AI251" s="685">
        <f>AI252</f>
        <v>32475</v>
      </c>
      <c r="AJ251" s="685"/>
      <c r="AK251" s="685"/>
      <c r="AL251" s="685">
        <f>AL252</f>
        <v>92295</v>
      </c>
      <c r="AM251" s="685"/>
      <c r="AN251" s="685"/>
      <c r="AO251" s="1219" t="s">
        <v>2384</v>
      </c>
      <c r="AP251" s="1242" t="s">
        <v>2385</v>
      </c>
      <c r="AQ251" s="1243"/>
    </row>
    <row r="252" spans="1:43" ht="45">
      <c r="A252" s="428" t="s">
        <v>3087</v>
      </c>
      <c r="B252" s="1233" t="s">
        <v>3088</v>
      </c>
      <c r="C252" s="1244"/>
      <c r="D252" s="1245"/>
      <c r="E252" s="1233"/>
      <c r="F252" s="1233"/>
      <c r="G252" s="804">
        <f t="shared" si="365"/>
        <v>2.0999480339861365</v>
      </c>
      <c r="H252" s="1246"/>
      <c r="I252" s="804"/>
      <c r="J252" s="1247"/>
      <c r="K252" s="1247"/>
      <c r="L252" s="1247"/>
      <c r="M252" s="806">
        <f t="shared" ref="M252:O252" si="475">SUM(M253:M257)</f>
        <v>6505</v>
      </c>
      <c r="N252" s="806">
        <f t="shared" si="475"/>
        <v>5025</v>
      </c>
      <c r="O252" s="806">
        <f t="shared" si="475"/>
        <v>10330</v>
      </c>
      <c r="P252" s="1247"/>
      <c r="Q252" s="1247"/>
      <c r="R252" s="1247"/>
      <c r="S252" s="806">
        <f t="shared" ref="S252:U252" si="476">SUM(S253:S257)</f>
        <v>36135</v>
      </c>
      <c r="T252" s="806">
        <f t="shared" si="476"/>
        <v>6165</v>
      </c>
      <c r="U252" s="806">
        <f t="shared" si="476"/>
        <v>4885</v>
      </c>
      <c r="V252" s="1247"/>
      <c r="W252" s="1247"/>
      <c r="X252" s="1247"/>
      <c r="Y252" s="806">
        <f t="shared" ref="Y252:AA252" si="477">SUM(Y253:Y257)</f>
        <v>6985</v>
      </c>
      <c r="Z252" s="806">
        <f t="shared" si="477"/>
        <v>6015</v>
      </c>
      <c r="AA252" s="806">
        <f t="shared" si="477"/>
        <v>7015</v>
      </c>
      <c r="AB252" s="1247"/>
      <c r="AC252" s="1247"/>
      <c r="AD252" s="1247"/>
      <c r="AE252" s="806">
        <f t="shared" ref="AE252:AG252" si="478">SUM(AE253:AE257)</f>
        <v>4710</v>
      </c>
      <c r="AF252" s="806">
        <f t="shared" si="478"/>
        <v>16535</v>
      </c>
      <c r="AG252" s="806">
        <f t="shared" si="478"/>
        <v>14465</v>
      </c>
      <c r="AH252" s="806">
        <f>SUM(AH253:AH257)</f>
        <v>124770</v>
      </c>
      <c r="AI252" s="806">
        <f>SUM(AI253:AI257)</f>
        <v>32475</v>
      </c>
      <c r="AJ252" s="1248"/>
      <c r="AK252" s="1248"/>
      <c r="AL252" s="806">
        <f>SUM(AL253:AL257)</f>
        <v>92295</v>
      </c>
      <c r="AM252" s="1248"/>
      <c r="AN252" s="1248"/>
      <c r="AO252" s="1233" t="s">
        <v>2384</v>
      </c>
      <c r="AP252" s="1233" t="s">
        <v>2385</v>
      </c>
      <c r="AQ252" s="1250"/>
    </row>
    <row r="253" spans="1:43" ht="45">
      <c r="A253" s="437" t="s">
        <v>3089</v>
      </c>
      <c r="B253" s="1251" t="s">
        <v>3090</v>
      </c>
      <c r="C253" s="1220">
        <f>+J253+K253+L253+P253+Q253+R253+V253+W253+X253+AB253+AC253+AD253</f>
        <v>8273</v>
      </c>
      <c r="D253" s="1231" t="s">
        <v>2306</v>
      </c>
      <c r="E253" s="1252" t="s">
        <v>3091</v>
      </c>
      <c r="F253" s="1251" t="s">
        <v>3092</v>
      </c>
      <c r="G253" s="824">
        <f t="shared" si="365"/>
        <v>1.0916296344020264</v>
      </c>
      <c r="H253" s="824"/>
      <c r="I253" s="824">
        <f>+AH253/AH$252*100</f>
        <v>51.983649915845156</v>
      </c>
      <c r="J253" s="1222">
        <v>830</v>
      </c>
      <c r="K253" s="1222">
        <v>641</v>
      </c>
      <c r="L253" s="1222">
        <v>930</v>
      </c>
      <c r="M253" s="1223">
        <v>6505</v>
      </c>
      <c r="N253" s="1223">
        <v>5025</v>
      </c>
      <c r="O253" s="1223">
        <v>7290</v>
      </c>
      <c r="P253" s="1222">
        <v>813</v>
      </c>
      <c r="Q253" s="1222">
        <v>786</v>
      </c>
      <c r="R253" s="1222">
        <v>623</v>
      </c>
      <c r="S253" s="1223">
        <v>6375</v>
      </c>
      <c r="T253" s="1223">
        <v>6165</v>
      </c>
      <c r="U253" s="1223">
        <v>4885</v>
      </c>
      <c r="V253" s="1222">
        <v>891</v>
      </c>
      <c r="W253" s="1222">
        <v>573</v>
      </c>
      <c r="X253" s="1222">
        <v>895</v>
      </c>
      <c r="Y253" s="1223">
        <v>6985</v>
      </c>
      <c r="Z253" s="1223">
        <v>4495</v>
      </c>
      <c r="AA253" s="1223">
        <v>7015</v>
      </c>
      <c r="AB253" s="1222">
        <v>601</v>
      </c>
      <c r="AC253" s="1222">
        <v>400</v>
      </c>
      <c r="AD253" s="1222">
        <v>290</v>
      </c>
      <c r="AE253" s="1223">
        <v>4710</v>
      </c>
      <c r="AF253" s="1223">
        <v>3135</v>
      </c>
      <c r="AG253" s="1223">
        <v>2275</v>
      </c>
      <c r="AH253" s="1223">
        <f t="shared" ref="AH253:AH257" si="479">M253+N253+O253+S253+T253+U253+Y253+Z253+AA253+AE253+AF253+AG253</f>
        <v>64860</v>
      </c>
      <c r="AI253" s="1223">
        <v>5265</v>
      </c>
      <c r="AJ253" s="1223"/>
      <c r="AK253" s="1223"/>
      <c r="AL253" s="1223">
        <v>59595</v>
      </c>
      <c r="AM253" s="1223"/>
      <c r="AN253" s="1223"/>
      <c r="AO253" s="1251" t="s">
        <v>2384</v>
      </c>
      <c r="AP253" s="1253" t="s">
        <v>2885</v>
      </c>
      <c r="AQ253" s="1254"/>
    </row>
    <row r="254" spans="1:43" ht="60">
      <c r="A254" s="437" t="s">
        <v>3093</v>
      </c>
      <c r="B254" s="1251" t="s">
        <v>3094</v>
      </c>
      <c r="C254" s="1220">
        <f>+J254+K254+L254+P254+Q254+R254+V254+W254+X254+AB254+AC254+AD254</f>
        <v>6</v>
      </c>
      <c r="D254" s="1231" t="s">
        <v>57</v>
      </c>
      <c r="E254" s="1251" t="s">
        <v>3095</v>
      </c>
      <c r="F254" s="1251" t="s">
        <v>3096</v>
      </c>
      <c r="G254" s="824">
        <f t="shared" si="365"/>
        <v>0.15332633316994235</v>
      </c>
      <c r="H254" s="824"/>
      <c r="I254" s="824">
        <f t="shared" ref="I254:I257" si="480">+AH254/AH$252*100</f>
        <v>7.3014346397371162</v>
      </c>
      <c r="J254" s="1222"/>
      <c r="K254" s="1222"/>
      <c r="L254" s="1222">
        <v>2</v>
      </c>
      <c r="M254" s="1223"/>
      <c r="N254" s="1223"/>
      <c r="O254" s="1223">
        <f>1520*L254</f>
        <v>3040</v>
      </c>
      <c r="P254" s="1222"/>
      <c r="Q254" s="1222"/>
      <c r="R254" s="1222"/>
      <c r="S254" s="1223"/>
      <c r="T254" s="1223"/>
      <c r="U254" s="1223"/>
      <c r="V254" s="1222"/>
      <c r="W254" s="1222">
        <v>1</v>
      </c>
      <c r="X254" s="1222"/>
      <c r="Y254" s="1223"/>
      <c r="Z254" s="1223">
        <f>1520*W254</f>
        <v>1520</v>
      </c>
      <c r="AA254" s="1223"/>
      <c r="AB254" s="1222"/>
      <c r="AC254" s="1222">
        <v>2</v>
      </c>
      <c r="AD254" s="1222">
        <v>1</v>
      </c>
      <c r="AE254" s="1223"/>
      <c r="AF254" s="1223">
        <f>1520*AC254</f>
        <v>3040</v>
      </c>
      <c r="AG254" s="1223">
        <f>1520*AD254-10</f>
        <v>1510</v>
      </c>
      <c r="AH254" s="1223">
        <f t="shared" si="479"/>
        <v>9110</v>
      </c>
      <c r="AI254" s="1223">
        <v>3510</v>
      </c>
      <c r="AJ254" s="1223"/>
      <c r="AK254" s="1223"/>
      <c r="AL254" s="1223">
        <v>5600</v>
      </c>
      <c r="AM254" s="1223"/>
      <c r="AN254" s="1223"/>
      <c r="AO254" s="1251" t="s">
        <v>2384</v>
      </c>
      <c r="AP254" s="1253" t="s">
        <v>2885</v>
      </c>
      <c r="AQ254" s="1254"/>
    </row>
    <row r="255" spans="1:43" ht="45">
      <c r="A255" s="1189" t="s">
        <v>3097</v>
      </c>
      <c r="B255" s="1266" t="s">
        <v>3098</v>
      </c>
      <c r="C255" s="1220">
        <f>+J255+K255+L255+P255+Q255+R255+V255+W255+X255+AB255+AC255+AD255</f>
        <v>58</v>
      </c>
      <c r="D255" s="1231" t="s">
        <v>419</v>
      </c>
      <c r="E255" s="1273" t="s">
        <v>3099</v>
      </c>
      <c r="F255" s="1273" t="s">
        <v>3100</v>
      </c>
      <c r="G255" s="824">
        <f t="shared" si="365"/>
        <v>0.31094445722444403</v>
      </c>
      <c r="H255" s="824"/>
      <c r="I255" s="824">
        <f t="shared" si="480"/>
        <v>14.807245331409794</v>
      </c>
      <c r="J255" s="1222"/>
      <c r="K255" s="1222"/>
      <c r="L255" s="1222"/>
      <c r="M255" s="1223"/>
      <c r="N255" s="1223"/>
      <c r="O255" s="1223"/>
      <c r="P255" s="1222">
        <v>38</v>
      </c>
      <c r="Q255" s="1222"/>
      <c r="R255" s="1222"/>
      <c r="S255" s="1223">
        <f>P255*320</f>
        <v>12160</v>
      </c>
      <c r="T255" s="1223"/>
      <c r="U255" s="1223"/>
      <c r="V255" s="1222"/>
      <c r="W255" s="1222"/>
      <c r="X255" s="1222"/>
      <c r="Y255" s="1223"/>
      <c r="Z255" s="1223"/>
      <c r="AA255" s="1223"/>
      <c r="AB255" s="1222"/>
      <c r="AC255" s="1222">
        <v>5</v>
      </c>
      <c r="AD255" s="1222">
        <v>15</v>
      </c>
      <c r="AE255" s="1223"/>
      <c r="AF255" s="1223">
        <f>AC255*320-40</f>
        <v>1560</v>
      </c>
      <c r="AG255" s="1223">
        <f>AD255*320-45</f>
        <v>4755</v>
      </c>
      <c r="AH255" s="1223">
        <f t="shared" si="479"/>
        <v>18475</v>
      </c>
      <c r="AI255" s="1223">
        <v>3510</v>
      </c>
      <c r="AJ255" s="1223"/>
      <c r="AK255" s="1223"/>
      <c r="AL255" s="1223">
        <v>14965</v>
      </c>
      <c r="AM255" s="1223"/>
      <c r="AN255" s="1223"/>
      <c r="AO255" s="1251" t="s">
        <v>2384</v>
      </c>
      <c r="AP255" s="1253" t="s">
        <v>2885</v>
      </c>
      <c r="AQ255" s="1254"/>
    </row>
    <row r="256" spans="1:43" ht="45">
      <c r="A256" s="1189" t="s">
        <v>3101</v>
      </c>
      <c r="B256" s="1266" t="s">
        <v>3098</v>
      </c>
      <c r="C256" s="1220">
        <f>+J256+K256+L256+P256+Q256+R256+V256+W256+X256+AB256+AC256+AD256</f>
        <v>16</v>
      </c>
      <c r="D256" s="1231" t="s">
        <v>424</v>
      </c>
      <c r="E256" s="1273" t="s">
        <v>3099</v>
      </c>
      <c r="F256" s="1273" t="s">
        <v>3100</v>
      </c>
      <c r="G256" s="824">
        <f t="shared" si="365"/>
        <v>0.19582347820332374</v>
      </c>
      <c r="H256" s="824"/>
      <c r="I256" s="824">
        <f t="shared" si="480"/>
        <v>9.3251582912559119</v>
      </c>
      <c r="J256" s="1222"/>
      <c r="K256" s="1222"/>
      <c r="L256" s="1222"/>
      <c r="M256" s="1223"/>
      <c r="N256" s="1223"/>
      <c r="O256" s="1223"/>
      <c r="P256" s="1222">
        <v>10</v>
      </c>
      <c r="Q256" s="1222"/>
      <c r="R256" s="1222"/>
      <c r="S256" s="1223">
        <f>P256*725</f>
        <v>7250</v>
      </c>
      <c r="T256" s="1223"/>
      <c r="U256" s="1223"/>
      <c r="V256" s="1222"/>
      <c r="W256" s="1222"/>
      <c r="X256" s="1222"/>
      <c r="Y256" s="1223"/>
      <c r="Z256" s="1223"/>
      <c r="AA256" s="1223"/>
      <c r="AB256" s="1222"/>
      <c r="AC256" s="1222">
        <v>5</v>
      </c>
      <c r="AD256" s="1222">
        <v>1</v>
      </c>
      <c r="AE256" s="1223"/>
      <c r="AF256" s="1223">
        <f>AC256*725</f>
        <v>3625</v>
      </c>
      <c r="AG256" s="1223">
        <f>AD256*725+35</f>
        <v>760</v>
      </c>
      <c r="AH256" s="1223">
        <f t="shared" si="479"/>
        <v>11635</v>
      </c>
      <c r="AI256" s="1223">
        <v>7900</v>
      </c>
      <c r="AJ256" s="1223"/>
      <c r="AK256" s="1223"/>
      <c r="AL256" s="1223">
        <v>3735</v>
      </c>
      <c r="AM256" s="1223"/>
      <c r="AN256" s="1223"/>
      <c r="AO256" s="1251" t="s">
        <v>2384</v>
      </c>
      <c r="AP256" s="1253" t="s">
        <v>2885</v>
      </c>
      <c r="AQ256" s="1254"/>
    </row>
    <row r="257" spans="1:43" ht="45">
      <c r="A257" s="1189" t="s">
        <v>3102</v>
      </c>
      <c r="B257" s="1266" t="s">
        <v>3098</v>
      </c>
      <c r="C257" s="1220">
        <f>+J257+K257+L257+P257+Q257+R257+V257+W257+X257+AB257+AC257+AD257</f>
        <v>4</v>
      </c>
      <c r="D257" s="1231" t="s">
        <v>944</v>
      </c>
      <c r="E257" s="1273" t="s">
        <v>3099</v>
      </c>
      <c r="F257" s="1273" t="s">
        <v>3100</v>
      </c>
      <c r="G257" s="824">
        <f t="shared" si="365"/>
        <v>0.34822413098640037</v>
      </c>
      <c r="H257" s="824"/>
      <c r="I257" s="824">
        <f t="shared" si="480"/>
        <v>16.582511821752025</v>
      </c>
      <c r="J257" s="1222"/>
      <c r="K257" s="1222"/>
      <c r="L257" s="1222"/>
      <c r="M257" s="1223"/>
      <c r="N257" s="1223"/>
      <c r="O257" s="1223"/>
      <c r="P257" s="1222">
        <v>2</v>
      </c>
      <c r="Q257" s="1222"/>
      <c r="R257" s="1222"/>
      <c r="S257" s="1223">
        <f>P257*5175</f>
        <v>10350</v>
      </c>
      <c r="T257" s="1223"/>
      <c r="U257" s="1223"/>
      <c r="V257" s="1222"/>
      <c r="W257" s="1222"/>
      <c r="X257" s="1222"/>
      <c r="Y257" s="1223"/>
      <c r="Z257" s="1223"/>
      <c r="AA257" s="1223"/>
      <c r="AB257" s="1222"/>
      <c r="AC257" s="1222">
        <v>1</v>
      </c>
      <c r="AD257" s="1222">
        <v>1</v>
      </c>
      <c r="AE257" s="1223"/>
      <c r="AF257" s="1223">
        <f>AC257*5175</f>
        <v>5175</v>
      </c>
      <c r="AG257" s="1223">
        <f>AD257*5175-10</f>
        <v>5165</v>
      </c>
      <c r="AH257" s="1223">
        <f t="shared" si="479"/>
        <v>20690</v>
      </c>
      <c r="AI257" s="1223">
        <v>12290</v>
      </c>
      <c r="AJ257" s="1223"/>
      <c r="AK257" s="1223"/>
      <c r="AL257" s="1223">
        <v>8400</v>
      </c>
      <c r="AM257" s="1223"/>
      <c r="AN257" s="1223"/>
      <c r="AO257" s="1251" t="s">
        <v>2384</v>
      </c>
      <c r="AP257" s="1253" t="s">
        <v>2885</v>
      </c>
      <c r="AQ257" s="1254"/>
    </row>
    <row r="258" spans="1:43" ht="45">
      <c r="A258" s="1019" t="s">
        <v>3103</v>
      </c>
      <c r="B258" s="1219" t="s">
        <v>3104</v>
      </c>
      <c r="C258" s="684"/>
      <c r="D258" s="1219"/>
      <c r="E258" s="1219"/>
      <c r="F258" s="1219"/>
      <c r="G258" s="683">
        <f t="shared" si="365"/>
        <v>1.9803669585555725</v>
      </c>
      <c r="H258" s="683">
        <f>+G258</f>
        <v>1.9803669585555725</v>
      </c>
      <c r="I258" s="683"/>
      <c r="J258" s="684"/>
      <c r="K258" s="684"/>
      <c r="L258" s="684"/>
      <c r="M258" s="685">
        <f t="shared" ref="M258" si="481">M259</f>
        <v>6340</v>
      </c>
      <c r="N258" s="685"/>
      <c r="O258" s="685"/>
      <c r="P258" s="684"/>
      <c r="Q258" s="684"/>
      <c r="R258" s="684"/>
      <c r="S258" s="685">
        <f t="shared" ref="S258:U258" si="482">S259</f>
        <v>8400</v>
      </c>
      <c r="T258" s="685">
        <f t="shared" si="482"/>
        <v>25360</v>
      </c>
      <c r="U258" s="685">
        <f t="shared" si="482"/>
        <v>14740</v>
      </c>
      <c r="V258" s="684"/>
      <c r="W258" s="684"/>
      <c r="X258" s="684"/>
      <c r="Y258" s="685">
        <f t="shared" ref="Y258:AA258" si="483">Y259</f>
        <v>4120</v>
      </c>
      <c r="Z258" s="685">
        <f t="shared" si="483"/>
        <v>16800</v>
      </c>
      <c r="AA258" s="685">
        <f t="shared" si="483"/>
        <v>25090</v>
      </c>
      <c r="AB258" s="684"/>
      <c r="AC258" s="684"/>
      <c r="AD258" s="684"/>
      <c r="AE258" s="685">
        <f t="shared" ref="AE258:AG258" si="484">AE259</f>
        <v>2060</v>
      </c>
      <c r="AF258" s="685">
        <f t="shared" si="484"/>
        <v>11585</v>
      </c>
      <c r="AG258" s="685">
        <f t="shared" si="484"/>
        <v>3170</v>
      </c>
      <c r="AH258" s="685">
        <f>AH259</f>
        <v>117665</v>
      </c>
      <c r="AI258" s="685">
        <f>AI259</f>
        <v>45755</v>
      </c>
      <c r="AJ258" s="685"/>
      <c r="AK258" s="685"/>
      <c r="AL258" s="685">
        <f>AL259</f>
        <v>71910</v>
      </c>
      <c r="AM258" s="685"/>
      <c r="AN258" s="685"/>
      <c r="AO258" s="1219" t="s">
        <v>3105</v>
      </c>
      <c r="AP258" s="1242" t="s">
        <v>2385</v>
      </c>
      <c r="AQ258" s="1243"/>
    </row>
    <row r="259" spans="1:43" ht="45">
      <c r="A259" s="428" t="s">
        <v>3106</v>
      </c>
      <c r="B259" s="1233" t="s">
        <v>3107</v>
      </c>
      <c r="C259" s="1244"/>
      <c r="D259" s="1232"/>
      <c r="E259" s="1274"/>
      <c r="F259" s="1233"/>
      <c r="G259" s="804">
        <f t="shared" si="365"/>
        <v>1.9803669585555725</v>
      </c>
      <c r="H259" s="1246"/>
      <c r="I259" s="804"/>
      <c r="J259" s="805"/>
      <c r="K259" s="805"/>
      <c r="L259" s="805"/>
      <c r="M259" s="806">
        <f t="shared" ref="M259" si="485">SUM(M260:M264)</f>
        <v>6340</v>
      </c>
      <c r="N259" s="806"/>
      <c r="O259" s="806"/>
      <c r="P259" s="805"/>
      <c r="Q259" s="805"/>
      <c r="R259" s="805"/>
      <c r="S259" s="806">
        <f t="shared" ref="S259:U259" si="486">SUM(S260:S264)</f>
        <v>8400</v>
      </c>
      <c r="T259" s="806">
        <f t="shared" si="486"/>
        <v>25360</v>
      </c>
      <c r="U259" s="806">
        <f t="shared" si="486"/>
        <v>14740</v>
      </c>
      <c r="V259" s="805"/>
      <c r="W259" s="805"/>
      <c r="X259" s="805"/>
      <c r="Y259" s="806">
        <f t="shared" ref="Y259:AA259" si="487">SUM(Y260:Y264)</f>
        <v>4120</v>
      </c>
      <c r="Z259" s="806">
        <f t="shared" si="487"/>
        <v>16800</v>
      </c>
      <c r="AA259" s="806">
        <f t="shared" si="487"/>
        <v>25090</v>
      </c>
      <c r="AB259" s="805"/>
      <c r="AC259" s="805"/>
      <c r="AD259" s="805"/>
      <c r="AE259" s="806">
        <f t="shared" ref="AE259:AG259" si="488">SUM(AE260:AE264)</f>
        <v>2060</v>
      </c>
      <c r="AF259" s="806">
        <f t="shared" si="488"/>
        <v>11585</v>
      </c>
      <c r="AG259" s="806">
        <f t="shared" si="488"/>
        <v>3170</v>
      </c>
      <c r="AH259" s="806">
        <f>SUM(AH260:AH264)</f>
        <v>117665</v>
      </c>
      <c r="AI259" s="806">
        <f>SUM(AI260:AI264)</f>
        <v>45755</v>
      </c>
      <c r="AJ259" s="806"/>
      <c r="AK259" s="806"/>
      <c r="AL259" s="806">
        <f>SUM(AL260:AL264)</f>
        <v>71910</v>
      </c>
      <c r="AM259" s="806"/>
      <c r="AN259" s="806"/>
      <c r="AO259" s="1233" t="s">
        <v>3105</v>
      </c>
      <c r="AP259" s="1233" t="s">
        <v>2385</v>
      </c>
      <c r="AQ259" s="1250"/>
    </row>
    <row r="260" spans="1:43" ht="45">
      <c r="A260" s="1251" t="s">
        <v>3108</v>
      </c>
      <c r="B260" s="1266" t="s">
        <v>3109</v>
      </c>
      <c r="C260" s="1220">
        <f>+J260+K260+L260+P260+Q260+R260+V260+W260+X260+AB260+AC260+AD260</f>
        <v>8</v>
      </c>
      <c r="D260" s="1231" t="s">
        <v>3110</v>
      </c>
      <c r="E260" s="1252" t="s">
        <v>3111</v>
      </c>
      <c r="F260" s="1251" t="s">
        <v>3112</v>
      </c>
      <c r="G260" s="824">
        <f t="shared" si="365"/>
        <v>0.42682281110754533</v>
      </c>
      <c r="H260" s="824"/>
      <c r="I260" s="824">
        <f>+AH260/AH$259*100</f>
        <v>21.552713211235286</v>
      </c>
      <c r="J260" s="1222">
        <v>2</v>
      </c>
      <c r="K260" s="1222"/>
      <c r="L260" s="1222"/>
      <c r="M260" s="1223">
        <v>6340</v>
      </c>
      <c r="N260" s="1223"/>
      <c r="O260" s="1223"/>
      <c r="P260" s="1222">
        <v>2</v>
      </c>
      <c r="Q260" s="1222"/>
      <c r="R260" s="1222"/>
      <c r="S260" s="1223">
        <v>6340</v>
      </c>
      <c r="T260" s="1223"/>
      <c r="U260" s="1223"/>
      <c r="V260" s="1222"/>
      <c r="W260" s="1222">
        <v>2</v>
      </c>
      <c r="X260" s="1222"/>
      <c r="Y260" s="1223"/>
      <c r="Z260" s="1223">
        <v>6340</v>
      </c>
      <c r="AA260" s="1223"/>
      <c r="AB260" s="1222"/>
      <c r="AC260" s="1222">
        <v>2</v>
      </c>
      <c r="AD260" s="1222"/>
      <c r="AE260" s="1223"/>
      <c r="AF260" s="1223">
        <v>6340</v>
      </c>
      <c r="AG260" s="1223"/>
      <c r="AH260" s="1223">
        <f t="shared" ref="AH260:AH264" si="489">M260+N260+O260+S260+T260+U260+Y260+Z260+AA260+AE260+AF260+AG260</f>
        <v>25360</v>
      </c>
      <c r="AI260" s="1223">
        <v>12290</v>
      </c>
      <c r="AJ260" s="1223"/>
      <c r="AK260" s="1223"/>
      <c r="AL260" s="1223">
        <v>13070</v>
      </c>
      <c r="AM260" s="1223"/>
      <c r="AN260" s="1223"/>
      <c r="AO260" s="1066" t="s">
        <v>2395</v>
      </c>
      <c r="AP260" s="1253" t="s">
        <v>2396</v>
      </c>
      <c r="AQ260" s="1254"/>
    </row>
    <row r="261" spans="1:43" ht="45">
      <c r="A261" s="1251" t="s">
        <v>3113</v>
      </c>
      <c r="B261" s="1266" t="s">
        <v>3109</v>
      </c>
      <c r="C261" s="1220">
        <f>+J261+K261+L261+P261+Q261+R261+V261+W261+X261+AB261+AC261+AD261</f>
        <v>8</v>
      </c>
      <c r="D261" s="1231" t="s">
        <v>3110</v>
      </c>
      <c r="E261" s="1252" t="s">
        <v>3114</v>
      </c>
      <c r="F261" s="1251" t="s">
        <v>3112</v>
      </c>
      <c r="G261" s="824">
        <f t="shared" si="365"/>
        <v>0.42682281110754533</v>
      </c>
      <c r="H261" s="824"/>
      <c r="I261" s="824">
        <f t="shared" ref="I261:I264" si="490">+AH261/AH$259*100</f>
        <v>21.552713211235286</v>
      </c>
      <c r="J261" s="1222"/>
      <c r="K261" s="1222"/>
      <c r="L261" s="1222"/>
      <c r="M261" s="1223"/>
      <c r="N261" s="1223"/>
      <c r="O261" s="1223"/>
      <c r="P261" s="1222"/>
      <c r="Q261" s="1222"/>
      <c r="R261" s="1222">
        <v>4</v>
      </c>
      <c r="S261" s="1223"/>
      <c r="T261" s="1223"/>
      <c r="U261" s="1223">
        <f>R261*3170</f>
        <v>12680</v>
      </c>
      <c r="V261" s="1222"/>
      <c r="W261" s="1222">
        <v>2</v>
      </c>
      <c r="X261" s="1222"/>
      <c r="Y261" s="1223"/>
      <c r="Z261" s="1223">
        <f>W261*3170</f>
        <v>6340</v>
      </c>
      <c r="AA261" s="1223"/>
      <c r="AB261" s="1222"/>
      <c r="AC261" s="1222">
        <v>1</v>
      </c>
      <c r="AD261" s="1222">
        <v>1</v>
      </c>
      <c r="AE261" s="1223"/>
      <c r="AF261" s="1223">
        <f>AC261*3170</f>
        <v>3170</v>
      </c>
      <c r="AG261" s="1223">
        <f>AD261*3170</f>
        <v>3170</v>
      </c>
      <c r="AH261" s="1223">
        <f t="shared" si="489"/>
        <v>25360</v>
      </c>
      <c r="AI261" s="1223">
        <v>12290</v>
      </c>
      <c r="AJ261" s="1223"/>
      <c r="AK261" s="1223"/>
      <c r="AL261" s="1223">
        <v>13070</v>
      </c>
      <c r="AM261" s="1223"/>
      <c r="AN261" s="1223"/>
      <c r="AO261" s="1066" t="s">
        <v>2395</v>
      </c>
      <c r="AP261" s="1253" t="s">
        <v>2396</v>
      </c>
      <c r="AQ261" s="1254"/>
    </row>
    <row r="262" spans="1:43" ht="45">
      <c r="A262" s="1251" t="s">
        <v>3115</v>
      </c>
      <c r="B262" s="1266" t="s">
        <v>3109</v>
      </c>
      <c r="C262" s="1220">
        <f>+J262+K262+L262+P262+Q262+R262+V262+W262+X262+AB262+AC262+AD262</f>
        <v>1</v>
      </c>
      <c r="D262" s="1231" t="s">
        <v>3110</v>
      </c>
      <c r="E262" s="1252" t="s">
        <v>3116</v>
      </c>
      <c r="F262" s="1251" t="s">
        <v>3112</v>
      </c>
      <c r="G262" s="824">
        <f t="shared" si="365"/>
        <v>0.42682281110754533</v>
      </c>
      <c r="H262" s="824"/>
      <c r="I262" s="824">
        <f t="shared" si="490"/>
        <v>21.552713211235286</v>
      </c>
      <c r="J262" s="1222"/>
      <c r="K262" s="1222"/>
      <c r="L262" s="1222"/>
      <c r="M262" s="1223"/>
      <c r="N262" s="1223"/>
      <c r="O262" s="1223"/>
      <c r="P262" s="1222"/>
      <c r="Q262" s="1222">
        <v>1</v>
      </c>
      <c r="R262" s="1222"/>
      <c r="S262" s="1223"/>
      <c r="T262" s="1223">
        <v>25360</v>
      </c>
      <c r="U262" s="1223"/>
      <c r="V262" s="1222"/>
      <c r="W262" s="1222"/>
      <c r="X262" s="1222"/>
      <c r="Y262" s="1223"/>
      <c r="Z262" s="1223"/>
      <c r="AA262" s="1223"/>
      <c r="AB262" s="1222"/>
      <c r="AC262" s="1222"/>
      <c r="AD262" s="1222"/>
      <c r="AE262" s="1223"/>
      <c r="AF262" s="1223"/>
      <c r="AG262" s="1223"/>
      <c r="AH262" s="1223">
        <f t="shared" si="489"/>
        <v>25360</v>
      </c>
      <c r="AI262" s="1223">
        <v>12290</v>
      </c>
      <c r="AJ262" s="1223"/>
      <c r="AK262" s="1223"/>
      <c r="AL262" s="1223">
        <v>13070</v>
      </c>
      <c r="AM262" s="1223"/>
      <c r="AN262" s="1223"/>
      <c r="AO262" s="1066" t="s">
        <v>2395</v>
      </c>
      <c r="AP262" s="1253" t="s">
        <v>2396</v>
      </c>
      <c r="AQ262" s="1254"/>
    </row>
    <row r="263" spans="1:43" ht="45">
      <c r="A263" s="1251" t="s">
        <v>3117</v>
      </c>
      <c r="B263" s="1266" t="s">
        <v>3109</v>
      </c>
      <c r="C263" s="1220">
        <f>+J263+K263+L263+P263+Q263+R263+V263+W263+X263+AB263+AC263+AD263</f>
        <v>1</v>
      </c>
      <c r="D263" s="1231" t="s">
        <v>3110</v>
      </c>
      <c r="E263" s="1251" t="s">
        <v>3118</v>
      </c>
      <c r="F263" s="1251" t="s">
        <v>3112</v>
      </c>
      <c r="G263" s="824">
        <f t="shared" si="365"/>
        <v>0.35293668568317133</v>
      </c>
      <c r="H263" s="824"/>
      <c r="I263" s="824">
        <f t="shared" si="490"/>
        <v>17.82178217821782</v>
      </c>
      <c r="J263" s="1222"/>
      <c r="K263" s="1222"/>
      <c r="L263" s="1222"/>
      <c r="M263" s="1223"/>
      <c r="N263" s="1223"/>
      <c r="O263" s="1223"/>
      <c r="P263" s="1222"/>
      <c r="Q263" s="1222"/>
      <c r="R263" s="1222"/>
      <c r="S263" s="1223"/>
      <c r="T263" s="1223"/>
      <c r="U263" s="1223"/>
      <c r="V263" s="1222"/>
      <c r="W263" s="1222"/>
      <c r="X263" s="1222">
        <v>1</v>
      </c>
      <c r="Y263" s="1223"/>
      <c r="Z263" s="1223"/>
      <c r="AA263" s="1223">
        <v>20970</v>
      </c>
      <c r="AB263" s="1222"/>
      <c r="AC263" s="1222"/>
      <c r="AD263" s="1222"/>
      <c r="AE263" s="1223"/>
      <c r="AF263" s="1223"/>
      <c r="AG263" s="1223"/>
      <c r="AH263" s="1223">
        <f t="shared" si="489"/>
        <v>20970</v>
      </c>
      <c r="AI263" s="1223">
        <v>7900</v>
      </c>
      <c r="AJ263" s="1223"/>
      <c r="AK263" s="1223"/>
      <c r="AL263" s="1223">
        <v>13070</v>
      </c>
      <c r="AM263" s="1223"/>
      <c r="AN263" s="1223"/>
      <c r="AO263" s="1066" t="s">
        <v>2395</v>
      </c>
      <c r="AP263" s="1253" t="s">
        <v>2396</v>
      </c>
      <c r="AQ263" s="1254"/>
    </row>
    <row r="264" spans="1:43" ht="45">
      <c r="A264" s="1251" t="s">
        <v>3119</v>
      </c>
      <c r="B264" s="1266" t="s">
        <v>3109</v>
      </c>
      <c r="C264" s="1220">
        <f>+J264+K264+L264+P264+Q264+R264+V264+W264+X264+AB264+AC264+AD264</f>
        <v>10</v>
      </c>
      <c r="D264" s="1231" t="s">
        <v>944</v>
      </c>
      <c r="E264" s="1251" t="s">
        <v>3120</v>
      </c>
      <c r="F264" s="1251" t="s">
        <v>3121</v>
      </c>
      <c r="G264" s="824">
        <f t="shared" si="365"/>
        <v>0.34696183954976523</v>
      </c>
      <c r="H264" s="824"/>
      <c r="I264" s="824">
        <f t="shared" si="490"/>
        <v>17.520078188076319</v>
      </c>
      <c r="J264" s="1222"/>
      <c r="K264" s="1222"/>
      <c r="L264" s="1222"/>
      <c r="M264" s="1223"/>
      <c r="N264" s="1223"/>
      <c r="O264" s="1223"/>
      <c r="P264" s="1222">
        <v>1</v>
      </c>
      <c r="Q264" s="1222"/>
      <c r="R264" s="1222">
        <v>1</v>
      </c>
      <c r="S264" s="1223">
        <f>P264*2060</f>
        <v>2060</v>
      </c>
      <c r="T264" s="1223"/>
      <c r="U264" s="1223">
        <f>R264*2060</f>
        <v>2060</v>
      </c>
      <c r="V264" s="1222">
        <v>2</v>
      </c>
      <c r="W264" s="1222">
        <v>2</v>
      </c>
      <c r="X264" s="1222">
        <v>2</v>
      </c>
      <c r="Y264" s="1223">
        <f t="shared" ref="Y264:AA264" si="491">V264*2060</f>
        <v>4120</v>
      </c>
      <c r="Z264" s="1223">
        <f t="shared" si="491"/>
        <v>4120</v>
      </c>
      <c r="AA264" s="1223">
        <f t="shared" si="491"/>
        <v>4120</v>
      </c>
      <c r="AB264" s="1222">
        <v>1</v>
      </c>
      <c r="AC264" s="1222">
        <v>1</v>
      </c>
      <c r="AD264" s="1222"/>
      <c r="AE264" s="1223">
        <f t="shared" ref="AE264" si="492">AB264*2060</f>
        <v>2060</v>
      </c>
      <c r="AF264" s="1223">
        <f>AC264*2060+15</f>
        <v>2075</v>
      </c>
      <c r="AG264" s="1223"/>
      <c r="AH264" s="1223">
        <f t="shared" si="489"/>
        <v>20615</v>
      </c>
      <c r="AI264" s="1223">
        <v>985</v>
      </c>
      <c r="AJ264" s="1223"/>
      <c r="AK264" s="1223"/>
      <c r="AL264" s="1223">
        <v>19630</v>
      </c>
      <c r="AM264" s="1223"/>
      <c r="AN264" s="1223"/>
      <c r="AO264" s="1066" t="s">
        <v>2395</v>
      </c>
      <c r="AP264" s="1253" t="s">
        <v>2396</v>
      </c>
      <c r="AQ264" s="1254"/>
    </row>
    <row r="265" spans="1:43" ht="30">
      <c r="A265" s="1019" t="s">
        <v>3122</v>
      </c>
      <c r="B265" s="1219" t="s">
        <v>3123</v>
      </c>
      <c r="C265" s="684"/>
      <c r="D265" s="1219"/>
      <c r="E265" s="1219"/>
      <c r="F265" s="1219"/>
      <c r="G265" s="683">
        <f t="shared" si="365"/>
        <v>1.6745558198401111</v>
      </c>
      <c r="H265" s="683">
        <f>+G265</f>
        <v>1.6745558198401111</v>
      </c>
      <c r="I265" s="683"/>
      <c r="J265" s="684"/>
      <c r="K265" s="684"/>
      <c r="L265" s="684"/>
      <c r="M265" s="685">
        <f t="shared" ref="M265:O265" si="493">M266</f>
        <v>37140</v>
      </c>
      <c r="N265" s="685">
        <f t="shared" si="493"/>
        <v>1260</v>
      </c>
      <c r="O265" s="685">
        <f t="shared" si="493"/>
        <v>7330</v>
      </c>
      <c r="P265" s="684"/>
      <c r="Q265" s="684"/>
      <c r="R265" s="684"/>
      <c r="S265" s="685">
        <f t="shared" ref="S265:U265" si="494">S266</f>
        <v>975</v>
      </c>
      <c r="T265" s="685">
        <f t="shared" si="494"/>
        <v>540</v>
      </c>
      <c r="U265" s="685">
        <f t="shared" si="494"/>
        <v>5710</v>
      </c>
      <c r="V265" s="684"/>
      <c r="W265" s="684"/>
      <c r="X265" s="684"/>
      <c r="Y265" s="685">
        <f t="shared" ref="Y265:AA265" si="495">Y266</f>
        <v>990</v>
      </c>
      <c r="Z265" s="685">
        <f t="shared" si="495"/>
        <v>1910</v>
      </c>
      <c r="AA265" s="685">
        <f t="shared" si="495"/>
        <v>6430</v>
      </c>
      <c r="AB265" s="684"/>
      <c r="AC265" s="684"/>
      <c r="AD265" s="684"/>
      <c r="AE265" s="685">
        <f t="shared" ref="AE265:AG265" si="496">AE266</f>
        <v>1480</v>
      </c>
      <c r="AF265" s="685">
        <f t="shared" si="496"/>
        <v>430</v>
      </c>
      <c r="AG265" s="685">
        <f t="shared" si="496"/>
        <v>35300</v>
      </c>
      <c r="AH265" s="685">
        <f>AH266</f>
        <v>99495</v>
      </c>
      <c r="AI265" s="685">
        <f>AI266</f>
        <v>49885</v>
      </c>
      <c r="AJ265" s="685"/>
      <c r="AK265" s="685"/>
      <c r="AL265" s="685">
        <f>AL266</f>
        <v>49610</v>
      </c>
      <c r="AM265" s="685"/>
      <c r="AN265" s="685"/>
      <c r="AO265" s="1219" t="s">
        <v>2384</v>
      </c>
      <c r="AP265" s="1242" t="s">
        <v>2385</v>
      </c>
      <c r="AQ265" s="1243"/>
    </row>
    <row r="266" spans="1:43" ht="30">
      <c r="A266" s="428" t="s">
        <v>3124</v>
      </c>
      <c r="B266" s="1233" t="s">
        <v>3125</v>
      </c>
      <c r="C266" s="1244"/>
      <c r="D266" s="1245"/>
      <c r="E266" s="1233"/>
      <c r="F266" s="1233"/>
      <c r="G266" s="804">
        <f t="shared" ref="G266:G275" si="497">+AH266/AH$289*100</f>
        <v>1.6745558198401111</v>
      </c>
      <c r="H266" s="1246"/>
      <c r="I266" s="804"/>
      <c r="J266" s="1247"/>
      <c r="K266" s="1247"/>
      <c r="L266" s="1247"/>
      <c r="M266" s="806">
        <f>SUM(M267:M274)</f>
        <v>37140</v>
      </c>
      <c r="N266" s="806">
        <f t="shared" ref="N266:O266" si="498">SUM(N267:N274)</f>
        <v>1260</v>
      </c>
      <c r="O266" s="806">
        <f t="shared" si="498"/>
        <v>7330</v>
      </c>
      <c r="P266" s="1247"/>
      <c r="Q266" s="1247"/>
      <c r="R266" s="1247"/>
      <c r="S266" s="806">
        <f t="shared" ref="S266:U266" si="499">SUM(S267:S274)</f>
        <v>975</v>
      </c>
      <c r="T266" s="806">
        <f t="shared" si="499"/>
        <v>540</v>
      </c>
      <c r="U266" s="806">
        <f t="shared" si="499"/>
        <v>5710</v>
      </c>
      <c r="V266" s="1247"/>
      <c r="W266" s="1247"/>
      <c r="X266" s="1247"/>
      <c r="Y266" s="806">
        <f t="shared" ref="Y266:AA266" si="500">SUM(Y267:Y274)</f>
        <v>990</v>
      </c>
      <c r="Z266" s="806">
        <f t="shared" si="500"/>
        <v>1910</v>
      </c>
      <c r="AA266" s="806">
        <f t="shared" si="500"/>
        <v>6430</v>
      </c>
      <c r="AB266" s="1247"/>
      <c r="AC266" s="1247"/>
      <c r="AD266" s="1247"/>
      <c r="AE266" s="806">
        <f t="shared" ref="AE266:AG266" si="501">SUM(AE267:AE274)</f>
        <v>1480</v>
      </c>
      <c r="AF266" s="806">
        <f t="shared" si="501"/>
        <v>430</v>
      </c>
      <c r="AG266" s="806">
        <f t="shared" si="501"/>
        <v>35300</v>
      </c>
      <c r="AH266" s="806">
        <f>SUM(AH267:AH274)</f>
        <v>99495</v>
      </c>
      <c r="AI266" s="806">
        <f>SUM(AI267:AI274)</f>
        <v>49885</v>
      </c>
      <c r="AJ266" s="1248"/>
      <c r="AK266" s="1248"/>
      <c r="AL266" s="806">
        <f>SUM(AL267:AL274)</f>
        <v>49610</v>
      </c>
      <c r="AM266" s="1248"/>
      <c r="AN266" s="1248"/>
      <c r="AO266" s="1249" t="s">
        <v>2384</v>
      </c>
      <c r="AP266" s="1233" t="s">
        <v>2385</v>
      </c>
      <c r="AQ266" s="1250"/>
    </row>
    <row r="267" spans="1:43" ht="60">
      <c r="A267" s="437" t="s">
        <v>3126</v>
      </c>
      <c r="B267" s="1251" t="s">
        <v>3127</v>
      </c>
      <c r="C267" s="1220">
        <f t="shared" ref="C267:C274" si="502">+J267+K267+L267+P267+Q267+R267+V267+W267+X267+AB267+AC267+AD267</f>
        <v>3402</v>
      </c>
      <c r="D267" s="1231" t="s">
        <v>57</v>
      </c>
      <c r="E267" s="1252" t="s">
        <v>3128</v>
      </c>
      <c r="F267" s="1251" t="s">
        <v>3129</v>
      </c>
      <c r="G267" s="824">
        <f t="shared" si="497"/>
        <v>0.23966706743578253</v>
      </c>
      <c r="H267" s="824"/>
      <c r="I267" s="824">
        <f>+AH267/AH$266*100</f>
        <v>14.312276998844162</v>
      </c>
      <c r="J267" s="1222"/>
      <c r="K267" s="1222">
        <v>302</v>
      </c>
      <c r="L267" s="1222">
        <v>497</v>
      </c>
      <c r="M267" s="1223"/>
      <c r="N267" s="1223">
        <v>1260</v>
      </c>
      <c r="O267" s="1223">
        <v>2080</v>
      </c>
      <c r="P267" s="1222">
        <v>233</v>
      </c>
      <c r="Q267" s="1222">
        <v>129</v>
      </c>
      <c r="R267" s="1222">
        <v>512</v>
      </c>
      <c r="S267" s="1223">
        <v>975</v>
      </c>
      <c r="T267" s="1223">
        <v>540</v>
      </c>
      <c r="U267" s="1223">
        <v>2140</v>
      </c>
      <c r="V267" s="1222">
        <v>236</v>
      </c>
      <c r="W267" s="1222">
        <v>457</v>
      </c>
      <c r="X267" s="1222">
        <v>282</v>
      </c>
      <c r="Y267" s="1223">
        <v>990</v>
      </c>
      <c r="Z267" s="1223">
        <v>1910</v>
      </c>
      <c r="AA267" s="1223">
        <v>1180</v>
      </c>
      <c r="AB267" s="1222">
        <v>354</v>
      </c>
      <c r="AC267" s="1222">
        <v>100</v>
      </c>
      <c r="AD267" s="1222">
        <v>300</v>
      </c>
      <c r="AE267" s="1223">
        <v>1480</v>
      </c>
      <c r="AF267" s="1223">
        <f>420+10</f>
        <v>430</v>
      </c>
      <c r="AG267" s="1223">
        <v>1255</v>
      </c>
      <c r="AH267" s="1223">
        <f t="shared" ref="AH267:AH274" si="503">M267+N267+O267+S267+T267+U267+Y267+Z267+AA267+AE267+AF267+AG267</f>
        <v>14240</v>
      </c>
      <c r="AI267" s="1223">
        <v>1965</v>
      </c>
      <c r="AJ267" s="1223"/>
      <c r="AK267" s="1223"/>
      <c r="AL267" s="1223">
        <v>12275</v>
      </c>
      <c r="AM267" s="1223"/>
      <c r="AN267" s="1223"/>
      <c r="AO267" s="1251" t="s">
        <v>2384</v>
      </c>
      <c r="AP267" s="1253" t="s">
        <v>2923</v>
      </c>
      <c r="AQ267" s="1265" t="s">
        <v>3130</v>
      </c>
    </row>
    <row r="268" spans="1:43" ht="60">
      <c r="A268" s="1251" t="s">
        <v>3131</v>
      </c>
      <c r="B268" s="1266" t="s">
        <v>3132</v>
      </c>
      <c r="C268" s="1220">
        <f t="shared" si="502"/>
        <v>25</v>
      </c>
      <c r="D268" s="1231" t="s">
        <v>419</v>
      </c>
      <c r="E268" s="1273" t="s">
        <v>3133</v>
      </c>
      <c r="F268" s="1266" t="s">
        <v>3038</v>
      </c>
      <c r="G268" s="824">
        <f t="shared" si="497"/>
        <v>6.8247890340737222E-2</v>
      </c>
      <c r="H268" s="824"/>
      <c r="I268" s="824">
        <f t="shared" ref="I268:I274" si="504">+AH268/AH$266*100</f>
        <v>4.0755816875219866</v>
      </c>
      <c r="J268" s="1222"/>
      <c r="K268" s="1222"/>
      <c r="L268" s="1222">
        <v>6</v>
      </c>
      <c r="M268" s="1223"/>
      <c r="N268" s="1223"/>
      <c r="O268" s="1223">
        <v>1015</v>
      </c>
      <c r="P268" s="1222"/>
      <c r="Q268" s="1222"/>
      <c r="R268" s="1222">
        <v>7</v>
      </c>
      <c r="S268" s="1223"/>
      <c r="T268" s="1223"/>
      <c r="U268" s="1223">
        <v>1015</v>
      </c>
      <c r="V268" s="1222"/>
      <c r="W268" s="1222"/>
      <c r="X268" s="1222">
        <v>6</v>
      </c>
      <c r="Y268" s="1223"/>
      <c r="Z268" s="1223"/>
      <c r="AA268" s="1223">
        <v>1015</v>
      </c>
      <c r="AB268" s="1222"/>
      <c r="AC268" s="1222"/>
      <c r="AD268" s="1222">
        <v>6</v>
      </c>
      <c r="AE268" s="1223"/>
      <c r="AF268" s="1223"/>
      <c r="AG268" s="1223">
        <v>1010</v>
      </c>
      <c r="AH268" s="1223">
        <f t="shared" si="503"/>
        <v>4055</v>
      </c>
      <c r="AI268" s="1223">
        <v>1965</v>
      </c>
      <c r="AJ268" s="1223"/>
      <c r="AK268" s="1223"/>
      <c r="AL268" s="1223">
        <v>2090</v>
      </c>
      <c r="AM268" s="1223"/>
      <c r="AN268" s="1223"/>
      <c r="AO268" s="1251" t="s">
        <v>2384</v>
      </c>
      <c r="AP268" s="1253" t="s">
        <v>2496</v>
      </c>
      <c r="AQ268" s="1254"/>
    </row>
    <row r="269" spans="1:43" ht="60">
      <c r="A269" s="1251" t="s">
        <v>3134</v>
      </c>
      <c r="B269" s="1266" t="s">
        <v>3132</v>
      </c>
      <c r="C269" s="1220">
        <f t="shared" si="502"/>
        <v>3</v>
      </c>
      <c r="D269" s="1231" t="s">
        <v>424</v>
      </c>
      <c r="E269" s="1273" t="s">
        <v>3133</v>
      </c>
      <c r="F269" s="1266" t="s">
        <v>3038</v>
      </c>
      <c r="G269" s="824">
        <f t="shared" si="497"/>
        <v>8.4825984541878091E-2</v>
      </c>
      <c r="H269" s="824"/>
      <c r="I269" s="824">
        <f t="shared" si="504"/>
        <v>5.0655811849841701</v>
      </c>
      <c r="J269" s="1222"/>
      <c r="K269" s="1222"/>
      <c r="L269" s="1222">
        <v>1</v>
      </c>
      <c r="M269" s="1223"/>
      <c r="N269" s="1223"/>
      <c r="O269" s="1223">
        <f>L269*1680</f>
        <v>1680</v>
      </c>
      <c r="P269" s="1222"/>
      <c r="Q269" s="1222"/>
      <c r="R269" s="1222"/>
      <c r="S269" s="1223"/>
      <c r="T269" s="1223"/>
      <c r="U269" s="1223"/>
      <c r="V269" s="1222"/>
      <c r="W269" s="1222"/>
      <c r="X269" s="1222">
        <v>1</v>
      </c>
      <c r="Y269" s="1223"/>
      <c r="Z269" s="1223"/>
      <c r="AA269" s="1223">
        <f>X269*1680</f>
        <v>1680</v>
      </c>
      <c r="AB269" s="1222"/>
      <c r="AC269" s="1222"/>
      <c r="AD269" s="1222">
        <v>1</v>
      </c>
      <c r="AE269" s="1223"/>
      <c r="AF269" s="1223"/>
      <c r="AG269" s="1223">
        <f>AD269*1680</f>
        <v>1680</v>
      </c>
      <c r="AH269" s="1223">
        <f t="shared" si="503"/>
        <v>5040</v>
      </c>
      <c r="AI269" s="1223">
        <v>2950</v>
      </c>
      <c r="AJ269" s="1223"/>
      <c r="AK269" s="1223"/>
      <c r="AL269" s="1223">
        <v>2090</v>
      </c>
      <c r="AM269" s="1223"/>
      <c r="AN269" s="1223"/>
      <c r="AO269" s="1251" t="s">
        <v>2384</v>
      </c>
      <c r="AP269" s="1253" t="s">
        <v>2496</v>
      </c>
      <c r="AQ269" s="1254"/>
    </row>
    <row r="270" spans="1:43" ht="60">
      <c r="A270" s="1251" t="s">
        <v>3135</v>
      </c>
      <c r="B270" s="1266" t="s">
        <v>3132</v>
      </c>
      <c r="C270" s="1220">
        <f t="shared" si="502"/>
        <v>4</v>
      </c>
      <c r="D270" s="1231" t="s">
        <v>944</v>
      </c>
      <c r="E270" s="1273" t="s">
        <v>3133</v>
      </c>
      <c r="F270" s="1266" t="s">
        <v>3038</v>
      </c>
      <c r="G270" s="824">
        <f t="shared" si="497"/>
        <v>0.17183994090725702</v>
      </c>
      <c r="H270" s="824"/>
      <c r="I270" s="824">
        <f t="shared" si="504"/>
        <v>10.26182220212071</v>
      </c>
      <c r="J270" s="1222"/>
      <c r="K270" s="1222"/>
      <c r="L270" s="1222">
        <v>1</v>
      </c>
      <c r="M270" s="1223"/>
      <c r="N270" s="1223"/>
      <c r="O270" s="1223">
        <f>L270*2555</f>
        <v>2555</v>
      </c>
      <c r="P270" s="1222"/>
      <c r="Q270" s="1222"/>
      <c r="R270" s="1222">
        <v>1</v>
      </c>
      <c r="S270" s="1223"/>
      <c r="T270" s="1223"/>
      <c r="U270" s="1223">
        <f>R270*2555</f>
        <v>2555</v>
      </c>
      <c r="V270" s="1222"/>
      <c r="W270" s="1222"/>
      <c r="X270" s="1222">
        <v>1</v>
      </c>
      <c r="Y270" s="1223"/>
      <c r="Z270" s="1223"/>
      <c r="AA270" s="1223">
        <f>X270*2555</f>
        <v>2555</v>
      </c>
      <c r="AB270" s="1222"/>
      <c r="AC270" s="1222"/>
      <c r="AD270" s="1222">
        <v>1</v>
      </c>
      <c r="AE270" s="1223"/>
      <c r="AF270" s="1223"/>
      <c r="AG270" s="1223">
        <f>AD270*2555-10</f>
        <v>2545</v>
      </c>
      <c r="AH270" s="1223">
        <f t="shared" si="503"/>
        <v>10210</v>
      </c>
      <c r="AI270" s="1223">
        <v>7075</v>
      </c>
      <c r="AJ270" s="1223"/>
      <c r="AK270" s="1223"/>
      <c r="AL270" s="1223">
        <v>3135</v>
      </c>
      <c r="AM270" s="1223"/>
      <c r="AN270" s="1223"/>
      <c r="AO270" s="1251" t="s">
        <v>2384</v>
      </c>
      <c r="AP270" s="1253" t="s">
        <v>2496</v>
      </c>
      <c r="AQ270" s="1254"/>
    </row>
    <row r="271" spans="1:43" ht="75">
      <c r="A271" s="1251" t="s">
        <v>3136</v>
      </c>
      <c r="B271" s="1275" t="s">
        <v>3137</v>
      </c>
      <c r="C271" s="1220">
        <f t="shared" si="502"/>
        <v>525</v>
      </c>
      <c r="D271" s="1231" t="s">
        <v>3013</v>
      </c>
      <c r="E271" s="1252" t="s">
        <v>3138</v>
      </c>
      <c r="F271" s="1251" t="s">
        <v>3139</v>
      </c>
      <c r="G271" s="824">
        <f t="shared" si="497"/>
        <v>0.24572606633163097</v>
      </c>
      <c r="H271" s="824"/>
      <c r="I271" s="824">
        <f t="shared" si="504"/>
        <v>14.674104226343033</v>
      </c>
      <c r="J271" s="1222">
        <v>285</v>
      </c>
      <c r="K271" s="1222"/>
      <c r="L271" s="1222"/>
      <c r="M271" s="1223">
        <v>7300</v>
      </c>
      <c r="N271" s="1223"/>
      <c r="O271" s="1223"/>
      <c r="P271" s="1222"/>
      <c r="Q271" s="1222"/>
      <c r="R271" s="1222"/>
      <c r="S271" s="1223"/>
      <c r="T271" s="1223"/>
      <c r="U271" s="1223"/>
      <c r="V271" s="1222"/>
      <c r="W271" s="1222"/>
      <c r="X271" s="1222"/>
      <c r="Y271" s="1223"/>
      <c r="Z271" s="1223"/>
      <c r="AA271" s="1223"/>
      <c r="AB271" s="1222"/>
      <c r="AC271" s="1222"/>
      <c r="AD271" s="1222">
        <v>240</v>
      </c>
      <c r="AE271" s="1223"/>
      <c r="AF271" s="1223"/>
      <c r="AG271" s="1223">
        <v>7300</v>
      </c>
      <c r="AH271" s="1223">
        <f t="shared" si="503"/>
        <v>14600</v>
      </c>
      <c r="AI271" s="1223">
        <v>7075</v>
      </c>
      <c r="AJ271" s="1223"/>
      <c r="AK271" s="1223"/>
      <c r="AL271" s="1223">
        <v>7525</v>
      </c>
      <c r="AM271" s="1223"/>
      <c r="AN271" s="1223"/>
      <c r="AO271" s="1251" t="s">
        <v>2384</v>
      </c>
      <c r="AP271" s="1253" t="s">
        <v>2528</v>
      </c>
      <c r="AQ271" s="1254"/>
    </row>
    <row r="272" spans="1:43" ht="75">
      <c r="A272" s="1251" t="s">
        <v>3140</v>
      </c>
      <c r="B272" s="1275" t="s">
        <v>3137</v>
      </c>
      <c r="C272" s="1220">
        <f t="shared" si="502"/>
        <v>133</v>
      </c>
      <c r="D272" s="1231" t="s">
        <v>3013</v>
      </c>
      <c r="E272" s="1252" t="s">
        <v>3141</v>
      </c>
      <c r="F272" s="1251" t="s">
        <v>3139</v>
      </c>
      <c r="G272" s="824">
        <f t="shared" si="497"/>
        <v>0.24572606633163097</v>
      </c>
      <c r="H272" s="824"/>
      <c r="I272" s="824">
        <f t="shared" si="504"/>
        <v>14.674104226343033</v>
      </c>
      <c r="J272" s="1222">
        <v>103</v>
      </c>
      <c r="K272" s="1222"/>
      <c r="L272" s="1222"/>
      <c r="M272" s="1223">
        <v>7300</v>
      </c>
      <c r="N272" s="1223"/>
      <c r="O272" s="1223"/>
      <c r="P272" s="1222"/>
      <c r="Q272" s="1222"/>
      <c r="R272" s="1222"/>
      <c r="S272" s="1223"/>
      <c r="T272" s="1223"/>
      <c r="U272" s="1223"/>
      <c r="V272" s="1222"/>
      <c r="W272" s="1222"/>
      <c r="X272" s="1222"/>
      <c r="Y272" s="1223"/>
      <c r="Z272" s="1223"/>
      <c r="AA272" s="1223"/>
      <c r="AB272" s="1222"/>
      <c r="AC272" s="1222"/>
      <c r="AD272" s="1222">
        <v>30</v>
      </c>
      <c r="AE272" s="1223"/>
      <c r="AF272" s="1223"/>
      <c r="AG272" s="1223">
        <v>7300</v>
      </c>
      <c r="AH272" s="1223">
        <f t="shared" si="503"/>
        <v>14600</v>
      </c>
      <c r="AI272" s="1223">
        <v>7075</v>
      </c>
      <c r="AJ272" s="1223"/>
      <c r="AK272" s="1223"/>
      <c r="AL272" s="1223">
        <v>7525</v>
      </c>
      <c r="AM272" s="1223"/>
      <c r="AN272" s="1223"/>
      <c r="AO272" s="1251" t="s">
        <v>2384</v>
      </c>
      <c r="AP272" s="1253" t="s">
        <v>2528</v>
      </c>
      <c r="AQ272" s="1254"/>
    </row>
    <row r="273" spans="1:43" ht="75">
      <c r="A273" s="1251" t="s">
        <v>3142</v>
      </c>
      <c r="B273" s="1275" t="s">
        <v>3137</v>
      </c>
      <c r="C273" s="1220">
        <f t="shared" si="502"/>
        <v>27</v>
      </c>
      <c r="D273" s="1231" t="s">
        <v>3013</v>
      </c>
      <c r="E273" s="1252" t="s">
        <v>3143</v>
      </c>
      <c r="F273" s="1251" t="s">
        <v>3139</v>
      </c>
      <c r="G273" s="824">
        <f t="shared" si="497"/>
        <v>0.24446377489499588</v>
      </c>
      <c r="H273" s="824"/>
      <c r="I273" s="824">
        <f t="shared" si="504"/>
        <v>14.598723553947435</v>
      </c>
      <c r="J273" s="1222">
        <v>21</v>
      </c>
      <c r="K273" s="1222"/>
      <c r="L273" s="1222"/>
      <c r="M273" s="1223">
        <f>J273*540</f>
        <v>11340</v>
      </c>
      <c r="N273" s="1223"/>
      <c r="O273" s="1223"/>
      <c r="P273" s="1222"/>
      <c r="Q273" s="1222"/>
      <c r="R273" s="1222"/>
      <c r="S273" s="1223"/>
      <c r="T273" s="1223"/>
      <c r="U273" s="1223"/>
      <c r="V273" s="1222"/>
      <c r="W273" s="1222"/>
      <c r="X273" s="1222"/>
      <c r="Y273" s="1223"/>
      <c r="Z273" s="1223"/>
      <c r="AA273" s="1223"/>
      <c r="AB273" s="1222"/>
      <c r="AC273" s="1222"/>
      <c r="AD273" s="1222">
        <v>6</v>
      </c>
      <c r="AE273" s="1223"/>
      <c r="AF273" s="1223"/>
      <c r="AG273" s="1223">
        <f>AD273*540-55</f>
        <v>3185</v>
      </c>
      <c r="AH273" s="1223">
        <f t="shared" si="503"/>
        <v>14525</v>
      </c>
      <c r="AI273" s="1223">
        <v>7000</v>
      </c>
      <c r="AJ273" s="1223"/>
      <c r="AK273" s="1223"/>
      <c r="AL273" s="1223">
        <v>7525</v>
      </c>
      <c r="AM273" s="1223"/>
      <c r="AN273" s="1223"/>
      <c r="AO273" s="1251" t="s">
        <v>2384</v>
      </c>
      <c r="AP273" s="1253" t="s">
        <v>2528</v>
      </c>
      <c r="AQ273" s="1254"/>
    </row>
    <row r="274" spans="1:43" ht="75">
      <c r="A274" s="1251" t="s">
        <v>3144</v>
      </c>
      <c r="B274" s="1275" t="s">
        <v>3137</v>
      </c>
      <c r="C274" s="1220">
        <f t="shared" si="502"/>
        <v>70</v>
      </c>
      <c r="D274" s="1231" t="s">
        <v>3013</v>
      </c>
      <c r="E274" s="1252" t="s">
        <v>3145</v>
      </c>
      <c r="F274" s="1251" t="s">
        <v>3139</v>
      </c>
      <c r="G274" s="824">
        <f t="shared" si="497"/>
        <v>0.37405902905619853</v>
      </c>
      <c r="H274" s="824"/>
      <c r="I274" s="824">
        <f t="shared" si="504"/>
        <v>22.337805919895473</v>
      </c>
      <c r="J274" s="1222">
        <v>35</v>
      </c>
      <c r="K274" s="1222"/>
      <c r="L274" s="1222"/>
      <c r="M274" s="1223">
        <f>J274*320</f>
        <v>11200</v>
      </c>
      <c r="N274" s="1223"/>
      <c r="O274" s="1223"/>
      <c r="P274" s="1222"/>
      <c r="Q274" s="1222"/>
      <c r="R274" s="1222"/>
      <c r="S274" s="1223"/>
      <c r="T274" s="1223"/>
      <c r="U274" s="1223"/>
      <c r="V274" s="1222"/>
      <c r="W274" s="1222"/>
      <c r="X274" s="1222"/>
      <c r="Y274" s="1223"/>
      <c r="Z274" s="1223"/>
      <c r="AA274" s="1223"/>
      <c r="AB274" s="1222"/>
      <c r="AC274" s="1222"/>
      <c r="AD274" s="1222">
        <v>35</v>
      </c>
      <c r="AE274" s="1223"/>
      <c r="AF274" s="1223"/>
      <c r="AG274" s="1223">
        <f>AD274*320-175</f>
        <v>11025</v>
      </c>
      <c r="AH274" s="1223">
        <f t="shared" si="503"/>
        <v>22225</v>
      </c>
      <c r="AI274" s="1223">
        <v>14780</v>
      </c>
      <c r="AJ274" s="1223"/>
      <c r="AK274" s="1223"/>
      <c r="AL274" s="1223">
        <v>7445</v>
      </c>
      <c r="AM274" s="1223"/>
      <c r="AN274" s="1223"/>
      <c r="AO274" s="1251" t="s">
        <v>2384</v>
      </c>
      <c r="AP274" s="1253" t="s">
        <v>2528</v>
      </c>
      <c r="AQ274" s="1254"/>
    </row>
    <row r="275" spans="1:43" ht="30">
      <c r="A275" s="1019" t="s">
        <v>3146</v>
      </c>
      <c r="B275" s="1219" t="s">
        <v>3147</v>
      </c>
      <c r="C275" s="684"/>
      <c r="D275" s="1219"/>
      <c r="E275" s="1219"/>
      <c r="F275" s="1219"/>
      <c r="G275" s="683">
        <f t="shared" si="497"/>
        <v>11.941108685043073</v>
      </c>
      <c r="H275" s="683">
        <f>+G275</f>
        <v>11.941108685043073</v>
      </c>
      <c r="I275" s="683"/>
      <c r="J275" s="684"/>
      <c r="K275" s="684"/>
      <c r="L275" s="684"/>
      <c r="M275" s="685">
        <f>M276</f>
        <v>7565</v>
      </c>
      <c r="N275" s="685">
        <f t="shared" ref="N275:O275" si="505">N276</f>
        <v>25910</v>
      </c>
      <c r="O275" s="685">
        <f t="shared" si="505"/>
        <v>166600</v>
      </c>
      <c r="P275" s="684"/>
      <c r="Q275" s="684"/>
      <c r="R275" s="684"/>
      <c r="S275" s="685">
        <f t="shared" ref="S275:U275" si="506">S276</f>
        <v>52480</v>
      </c>
      <c r="T275" s="685">
        <f t="shared" si="506"/>
        <v>17685</v>
      </c>
      <c r="U275" s="685">
        <f t="shared" si="506"/>
        <v>26055</v>
      </c>
      <c r="V275" s="684"/>
      <c r="W275" s="684"/>
      <c r="X275" s="684"/>
      <c r="Y275" s="685">
        <f t="shared" ref="Y275:AA275" si="507">Y276</f>
        <v>89905</v>
      </c>
      <c r="Z275" s="685">
        <f t="shared" si="507"/>
        <v>41290</v>
      </c>
      <c r="AA275" s="685">
        <f t="shared" si="507"/>
        <v>112505</v>
      </c>
      <c r="AB275" s="684"/>
      <c r="AC275" s="684"/>
      <c r="AD275" s="684"/>
      <c r="AE275" s="685">
        <f t="shared" ref="AE275:AG275" si="508">AE276</f>
        <v>98310</v>
      </c>
      <c r="AF275" s="685">
        <f t="shared" si="508"/>
        <v>34080</v>
      </c>
      <c r="AG275" s="685">
        <f t="shared" si="508"/>
        <v>37105</v>
      </c>
      <c r="AH275" s="685">
        <f>AH276</f>
        <v>709490</v>
      </c>
      <c r="AI275" s="685">
        <f>AI276</f>
        <v>309955</v>
      </c>
      <c r="AJ275" s="685"/>
      <c r="AK275" s="685"/>
      <c r="AL275" s="685">
        <f>AL276</f>
        <v>399535</v>
      </c>
      <c r="AM275" s="685"/>
      <c r="AN275" s="685"/>
      <c r="AO275" s="1219" t="s">
        <v>2384</v>
      </c>
      <c r="AP275" s="1242" t="s">
        <v>2385</v>
      </c>
      <c r="AQ275" s="1243"/>
    </row>
    <row r="276" spans="1:43" ht="30">
      <c r="A276" s="428" t="s">
        <v>3148</v>
      </c>
      <c r="B276" s="1233" t="s">
        <v>3149</v>
      </c>
      <c r="C276" s="1244"/>
      <c r="D276" s="1245"/>
      <c r="E276" s="1233"/>
      <c r="F276" s="1233"/>
      <c r="G276" s="1246">
        <f>+AH276/AH289*100</f>
        <v>11.941108685043073</v>
      </c>
      <c r="H276" s="1246"/>
      <c r="I276" s="804"/>
      <c r="J276" s="1247"/>
      <c r="K276" s="1247"/>
      <c r="L276" s="1247"/>
      <c r="M276" s="806">
        <f>SUM(M277:M288)</f>
        <v>7565</v>
      </c>
      <c r="N276" s="806">
        <f>SUM(N277:N288)</f>
        <v>25910</v>
      </c>
      <c r="O276" s="806">
        <f>SUM(O277:O288)</f>
        <v>166600</v>
      </c>
      <c r="P276" s="1247"/>
      <c r="Q276" s="1247"/>
      <c r="R276" s="1247"/>
      <c r="S276" s="806">
        <f>SUM(S277:S288)</f>
        <v>52480</v>
      </c>
      <c r="T276" s="806">
        <f>SUM(T277:T288)</f>
        <v>17685</v>
      </c>
      <c r="U276" s="806">
        <f>SUM(U277:U288)</f>
        <v>26055</v>
      </c>
      <c r="V276" s="1247"/>
      <c r="W276" s="1247"/>
      <c r="X276" s="1247"/>
      <c r="Y276" s="806">
        <f>SUM(Y277:Y288)</f>
        <v>89905</v>
      </c>
      <c r="Z276" s="806">
        <f>SUM(Z277:Z288)</f>
        <v>41290</v>
      </c>
      <c r="AA276" s="806">
        <f>SUM(AA277:AA288)</f>
        <v>112505</v>
      </c>
      <c r="AB276" s="1247"/>
      <c r="AC276" s="1247"/>
      <c r="AD276" s="1247"/>
      <c r="AE276" s="806">
        <f>SUM(AE277:AE288)</f>
        <v>98310</v>
      </c>
      <c r="AF276" s="806">
        <f>SUM(AF277:AF288)</f>
        <v>34080</v>
      </c>
      <c r="AG276" s="806">
        <f>SUM(AG277:AG288)</f>
        <v>37105</v>
      </c>
      <c r="AH276" s="806">
        <f>SUM(AH277:AH288)</f>
        <v>709490</v>
      </c>
      <c r="AI276" s="806">
        <f>SUM(AI277:AI288)</f>
        <v>309955</v>
      </c>
      <c r="AJ276" s="1248"/>
      <c r="AK276" s="1248"/>
      <c r="AL276" s="806">
        <f>SUM(AL277:AL288)</f>
        <v>399535</v>
      </c>
      <c r="AM276" s="1248"/>
      <c r="AN276" s="1248"/>
      <c r="AO276" s="1249" t="s">
        <v>2384</v>
      </c>
      <c r="AP276" s="1233" t="s">
        <v>2385</v>
      </c>
      <c r="AQ276" s="1250"/>
    </row>
    <row r="277" spans="1:43" ht="45">
      <c r="A277" s="1251" t="s">
        <v>3150</v>
      </c>
      <c r="B277" s="1273" t="s">
        <v>3151</v>
      </c>
      <c r="C277" s="1220">
        <f t="shared" ref="C277:C288" si="509">+J277+K277+L277+P277+Q277+R277+V277+W277+X277+AB277+AC277+AD277</f>
        <v>1</v>
      </c>
      <c r="D277" s="1231" t="s">
        <v>3152</v>
      </c>
      <c r="E277" s="1252" t="s">
        <v>3153</v>
      </c>
      <c r="F277" s="1251" t="s">
        <v>3154</v>
      </c>
      <c r="G277" s="824">
        <f>+AH277/AH$289*100</f>
        <v>0.40999225861907745</v>
      </c>
      <c r="H277" s="824"/>
      <c r="I277" s="824">
        <f>+AH277/AH$276*100</f>
        <v>3.4334521980577599</v>
      </c>
      <c r="J277" s="1222"/>
      <c r="K277" s="1222"/>
      <c r="L277" s="1222"/>
      <c r="M277" s="1223"/>
      <c r="N277" s="1223"/>
      <c r="O277" s="1223"/>
      <c r="P277" s="1222"/>
      <c r="Q277" s="1222"/>
      <c r="R277" s="1222"/>
      <c r="S277" s="1223"/>
      <c r="T277" s="1223"/>
      <c r="U277" s="1223"/>
      <c r="V277" s="1222"/>
      <c r="W277" s="1222"/>
      <c r="X277" s="1222"/>
      <c r="Y277" s="1223"/>
      <c r="Z277" s="1223"/>
      <c r="AA277" s="1223"/>
      <c r="AB277" s="1222">
        <v>1</v>
      </c>
      <c r="AC277" s="1222"/>
      <c r="AD277" s="1222"/>
      <c r="AE277" s="1223">
        <v>24360</v>
      </c>
      <c r="AF277" s="1223"/>
      <c r="AG277" s="1223"/>
      <c r="AH277" s="1223">
        <f t="shared" ref="AH277:AH288" si="510">M277+N277+O277+S277+T277+U277+Y277+Z277+AA277+AE277+AF277+AG277</f>
        <v>24360</v>
      </c>
      <c r="AI277" s="1223">
        <v>8640</v>
      </c>
      <c r="AJ277" s="1223"/>
      <c r="AK277" s="1223"/>
      <c r="AL277" s="1223">
        <v>15720</v>
      </c>
      <c r="AM277" s="1223"/>
      <c r="AN277" s="1223"/>
      <c r="AO277" s="1251" t="s">
        <v>3155</v>
      </c>
      <c r="AP277" s="1253" t="s">
        <v>3156</v>
      </c>
      <c r="AQ277" s="1270"/>
    </row>
    <row r="278" spans="1:43" ht="75">
      <c r="A278" s="1251" t="s">
        <v>3157</v>
      </c>
      <c r="B278" s="1273" t="s">
        <v>3151</v>
      </c>
      <c r="C278" s="1220">
        <f t="shared" si="509"/>
        <v>19</v>
      </c>
      <c r="D278" s="1231" t="s">
        <v>231</v>
      </c>
      <c r="E278" s="1252" t="s">
        <v>3158</v>
      </c>
      <c r="F278" s="1251" t="s">
        <v>3159</v>
      </c>
      <c r="G278" s="824">
        <f>+AH278/AH$289*100</f>
        <v>1.0922187037391227</v>
      </c>
      <c r="H278" s="824"/>
      <c r="I278" s="824">
        <f t="shared" ref="I278:I288" si="511">+AH278/AH$276*100</f>
        <v>9.1467110177733311</v>
      </c>
      <c r="J278" s="1222">
        <v>1</v>
      </c>
      <c r="K278" s="1222">
        <v>1</v>
      </c>
      <c r="L278" s="1222">
        <v>1</v>
      </c>
      <c r="M278" s="1223">
        <f>J278*3415</f>
        <v>3415</v>
      </c>
      <c r="N278" s="1223">
        <f>K278*3415</f>
        <v>3415</v>
      </c>
      <c r="O278" s="1223">
        <f>L278*3415</f>
        <v>3415</v>
      </c>
      <c r="P278" s="1222">
        <v>1</v>
      </c>
      <c r="Q278" s="1222">
        <v>2</v>
      </c>
      <c r="R278" s="1222">
        <v>1</v>
      </c>
      <c r="S278" s="1223">
        <f t="shared" ref="S278:U278" si="512">P278*3415</f>
        <v>3415</v>
      </c>
      <c r="T278" s="1223">
        <f t="shared" si="512"/>
        <v>6830</v>
      </c>
      <c r="U278" s="1223">
        <f t="shared" si="512"/>
        <v>3415</v>
      </c>
      <c r="V278" s="1222">
        <v>4</v>
      </c>
      <c r="W278" s="1222">
        <v>1</v>
      </c>
      <c r="X278" s="1222">
        <v>4</v>
      </c>
      <c r="Y278" s="1223">
        <f t="shared" ref="Y278:AA278" si="513">V278*3415</f>
        <v>13660</v>
      </c>
      <c r="Z278" s="1223">
        <f t="shared" si="513"/>
        <v>3415</v>
      </c>
      <c r="AA278" s="1223">
        <f t="shared" si="513"/>
        <v>13660</v>
      </c>
      <c r="AB278" s="1222">
        <v>2</v>
      </c>
      <c r="AC278" s="1222">
        <v>1</v>
      </c>
      <c r="AD278" s="1222"/>
      <c r="AE278" s="1223">
        <f t="shared" ref="AE278" si="514">AB278*3415</f>
        <v>6830</v>
      </c>
      <c r="AF278" s="1223">
        <f>AC278*3415+10</f>
        <v>3425</v>
      </c>
      <c r="AG278" s="1223"/>
      <c r="AH278" s="1223">
        <f t="shared" si="510"/>
        <v>64895</v>
      </c>
      <c r="AI278" s="1223">
        <v>44475</v>
      </c>
      <c r="AJ278" s="1223"/>
      <c r="AK278" s="1223"/>
      <c r="AL278" s="1223">
        <v>20420</v>
      </c>
      <c r="AM278" s="1223"/>
      <c r="AN278" s="1223"/>
      <c r="AO278" s="1251" t="s">
        <v>2384</v>
      </c>
      <c r="AP278" s="1253" t="s">
        <v>3156</v>
      </c>
      <c r="AQ278" s="1270"/>
    </row>
    <row r="279" spans="1:43" ht="60">
      <c r="A279" s="1251" t="s">
        <v>3160</v>
      </c>
      <c r="B279" s="1273" t="s">
        <v>3151</v>
      </c>
      <c r="C279" s="1220">
        <f t="shared" si="509"/>
        <v>7</v>
      </c>
      <c r="D279" s="1231" t="s">
        <v>1950</v>
      </c>
      <c r="E279" s="1252" t="s">
        <v>3161</v>
      </c>
      <c r="F279" s="1251" t="s">
        <v>3162</v>
      </c>
      <c r="G279" s="824">
        <f>+AH279/AH$289*100</f>
        <v>1.5640632427533194</v>
      </c>
      <c r="H279" s="824"/>
      <c r="I279" s="824">
        <f t="shared" si="511"/>
        <v>13.098140918124287</v>
      </c>
      <c r="J279" s="1222"/>
      <c r="K279" s="1222"/>
      <c r="L279" s="1222">
        <v>1</v>
      </c>
      <c r="M279" s="1223"/>
      <c r="N279" s="1223"/>
      <c r="O279" s="1223">
        <f>L279*13275</f>
        <v>13275</v>
      </c>
      <c r="P279" s="1222"/>
      <c r="Q279" s="1222"/>
      <c r="R279" s="1222"/>
      <c r="S279" s="1223"/>
      <c r="T279" s="1223"/>
      <c r="U279" s="1223"/>
      <c r="V279" s="1222">
        <v>1</v>
      </c>
      <c r="W279" s="1222">
        <v>1</v>
      </c>
      <c r="X279" s="1222">
        <v>1</v>
      </c>
      <c r="Y279" s="1223">
        <f t="shared" ref="Y279:AA279" si="515">V279*13275</f>
        <v>13275</v>
      </c>
      <c r="Z279" s="1223">
        <f t="shared" si="515"/>
        <v>13275</v>
      </c>
      <c r="AA279" s="1223">
        <f t="shared" si="515"/>
        <v>13275</v>
      </c>
      <c r="AB279" s="1222">
        <v>1</v>
      </c>
      <c r="AC279" s="1222">
        <v>1</v>
      </c>
      <c r="AD279" s="1222">
        <v>1</v>
      </c>
      <c r="AE279" s="1223">
        <f t="shared" ref="AE279:AF279" si="516">AB279*13275</f>
        <v>13275</v>
      </c>
      <c r="AF279" s="1223">
        <f t="shared" si="516"/>
        <v>13275</v>
      </c>
      <c r="AG279" s="1223">
        <f>AD279*13275+5</f>
        <v>13280</v>
      </c>
      <c r="AH279" s="1223">
        <f t="shared" si="510"/>
        <v>92930</v>
      </c>
      <c r="AI279" s="1223">
        <v>44565</v>
      </c>
      <c r="AJ279" s="1223"/>
      <c r="AK279" s="1223"/>
      <c r="AL279" s="1223">
        <v>48365</v>
      </c>
      <c r="AM279" s="1223"/>
      <c r="AN279" s="1223"/>
      <c r="AO279" s="1251" t="s">
        <v>2384</v>
      </c>
      <c r="AP279" s="1253" t="s">
        <v>3156</v>
      </c>
      <c r="AQ279" s="1270"/>
    </row>
    <row r="280" spans="1:43" ht="45">
      <c r="A280" s="1251" t="s">
        <v>3163</v>
      </c>
      <c r="B280" s="1273" t="s">
        <v>3151</v>
      </c>
      <c r="C280" s="1220">
        <f t="shared" si="509"/>
        <v>45</v>
      </c>
      <c r="D280" s="1231" t="s">
        <v>1950</v>
      </c>
      <c r="E280" s="1252" t="s">
        <v>3164</v>
      </c>
      <c r="F280" s="1251" t="s">
        <v>3162</v>
      </c>
      <c r="G280" s="824">
        <f>+AH280/AH$289*100</f>
        <v>1.0505630863301647</v>
      </c>
      <c r="H280" s="824"/>
      <c r="I280" s="824">
        <f t="shared" si="511"/>
        <v>8.797868891739137</v>
      </c>
      <c r="J280" s="1222"/>
      <c r="K280" s="1222">
        <v>3</v>
      </c>
      <c r="L280" s="1222">
        <v>3</v>
      </c>
      <c r="M280" s="1223"/>
      <c r="N280" s="1223">
        <f>K280*1385</f>
        <v>4155</v>
      </c>
      <c r="O280" s="1223">
        <f>L280*1385</f>
        <v>4155</v>
      </c>
      <c r="P280" s="1222"/>
      <c r="Q280" s="1222">
        <v>4</v>
      </c>
      <c r="R280" s="1222">
        <v>5</v>
      </c>
      <c r="S280" s="1223"/>
      <c r="T280" s="1223">
        <f t="shared" ref="T280:U280" si="517">Q280*1385</f>
        <v>5540</v>
      </c>
      <c r="U280" s="1223">
        <f t="shared" si="517"/>
        <v>6925</v>
      </c>
      <c r="V280" s="1222">
        <v>4</v>
      </c>
      <c r="W280" s="1222">
        <v>5</v>
      </c>
      <c r="X280" s="1222">
        <v>7</v>
      </c>
      <c r="Y280" s="1223">
        <f t="shared" ref="Y280:AA280" si="518">V280*1385</f>
        <v>5540</v>
      </c>
      <c r="Z280" s="1223">
        <f t="shared" si="518"/>
        <v>6925</v>
      </c>
      <c r="AA280" s="1223">
        <f t="shared" si="518"/>
        <v>9695</v>
      </c>
      <c r="AB280" s="1222">
        <v>8</v>
      </c>
      <c r="AC280" s="1222">
        <v>4</v>
      </c>
      <c r="AD280" s="1222">
        <v>2</v>
      </c>
      <c r="AE280" s="1223">
        <f t="shared" ref="AE280:AF280" si="519">AB280*1385</f>
        <v>11080</v>
      </c>
      <c r="AF280" s="1223">
        <f t="shared" si="519"/>
        <v>5540</v>
      </c>
      <c r="AG280" s="1223">
        <f>AD280*1385+95</f>
        <v>2865</v>
      </c>
      <c r="AH280" s="1223">
        <f t="shared" si="510"/>
        <v>62420</v>
      </c>
      <c r="AI280" s="1223">
        <v>14055</v>
      </c>
      <c r="AJ280" s="1223"/>
      <c r="AK280" s="1223"/>
      <c r="AL280" s="1223">
        <v>48365</v>
      </c>
      <c r="AM280" s="1223"/>
      <c r="AN280" s="1223"/>
      <c r="AO280" s="1251" t="s">
        <v>2384</v>
      </c>
      <c r="AP280" s="1253" t="s">
        <v>3156</v>
      </c>
      <c r="AQ280" s="1270"/>
    </row>
    <row r="281" spans="1:43" ht="90">
      <c r="A281" s="1251" t="s">
        <v>3165</v>
      </c>
      <c r="B281" s="1252" t="s">
        <v>3166</v>
      </c>
      <c r="C281" s="1220">
        <f t="shared" si="509"/>
        <v>4</v>
      </c>
      <c r="D281" s="1231" t="s">
        <v>1962</v>
      </c>
      <c r="E281" s="1252" t="s">
        <v>3167</v>
      </c>
      <c r="F281" s="1251" t="s">
        <v>3168</v>
      </c>
      <c r="G281" s="824">
        <f t="shared" ref="G281:G288" si="520">+AH281/AH$289*100</f>
        <v>0.91995799901965403</v>
      </c>
      <c r="H281" s="824"/>
      <c r="I281" s="824">
        <f t="shared" si="511"/>
        <v>7.7041254985975849</v>
      </c>
      <c r="J281" s="1222"/>
      <c r="K281" s="1222"/>
      <c r="L281" s="1222"/>
      <c r="M281" s="1223"/>
      <c r="N281" s="1223"/>
      <c r="O281" s="1223"/>
      <c r="P281" s="1222">
        <v>1</v>
      </c>
      <c r="Q281" s="1222"/>
      <c r="R281" s="1222"/>
      <c r="S281" s="1223">
        <f>P281*13665</f>
        <v>13665</v>
      </c>
      <c r="T281" s="1223"/>
      <c r="U281" s="1223"/>
      <c r="V281" s="1222">
        <v>2</v>
      </c>
      <c r="W281" s="1222"/>
      <c r="X281" s="1222"/>
      <c r="Y281" s="1223">
        <f>V281*13665</f>
        <v>27330</v>
      </c>
      <c r="Z281" s="1223"/>
      <c r="AA281" s="1223"/>
      <c r="AB281" s="1222"/>
      <c r="AC281" s="1222"/>
      <c r="AD281" s="1222">
        <v>1</v>
      </c>
      <c r="AE281" s="1223"/>
      <c r="AF281" s="1223"/>
      <c r="AG281" s="1223">
        <f>AD281*13665</f>
        <v>13665</v>
      </c>
      <c r="AH281" s="1223">
        <f t="shared" si="510"/>
        <v>54660</v>
      </c>
      <c r="AI281" s="1223">
        <v>28420</v>
      </c>
      <c r="AJ281" s="1223"/>
      <c r="AK281" s="1223"/>
      <c r="AL281" s="1223">
        <v>26240</v>
      </c>
      <c r="AM281" s="1223"/>
      <c r="AN281" s="1223"/>
      <c r="AO281" s="1251" t="s">
        <v>3155</v>
      </c>
      <c r="AP281" s="1253" t="s">
        <v>3156</v>
      </c>
      <c r="AQ281" s="1254" t="s">
        <v>3169</v>
      </c>
    </row>
    <row r="282" spans="1:43" ht="45">
      <c r="A282" s="1251" t="s">
        <v>3170</v>
      </c>
      <c r="B282" s="1273" t="s">
        <v>3171</v>
      </c>
      <c r="C282" s="1220">
        <f t="shared" si="509"/>
        <v>231</v>
      </c>
      <c r="D282" s="1231" t="s">
        <v>3172</v>
      </c>
      <c r="E282" s="1273" t="s">
        <v>3173</v>
      </c>
      <c r="F282" s="1266" t="s">
        <v>3174</v>
      </c>
      <c r="G282" s="824">
        <f t="shared" si="520"/>
        <v>1.1536502203220305</v>
      </c>
      <c r="H282" s="824"/>
      <c r="I282" s="824">
        <f t="shared" si="511"/>
        <v>9.6611650622277967</v>
      </c>
      <c r="J282" s="1222">
        <v>10</v>
      </c>
      <c r="K282" s="1222">
        <v>11</v>
      </c>
      <c r="L282" s="1222">
        <v>25</v>
      </c>
      <c r="M282" s="1223">
        <f>J282*295</f>
        <v>2950</v>
      </c>
      <c r="N282" s="1223">
        <f t="shared" ref="N282:O282" si="521">K282*295</f>
        <v>3245</v>
      </c>
      <c r="O282" s="1223">
        <f t="shared" si="521"/>
        <v>7375</v>
      </c>
      <c r="P282" s="1222">
        <v>72</v>
      </c>
      <c r="Q282" s="1222">
        <v>4</v>
      </c>
      <c r="R282" s="1222">
        <v>10</v>
      </c>
      <c r="S282" s="1223">
        <f t="shared" ref="S282:U282" si="522">P282*295</f>
        <v>21240</v>
      </c>
      <c r="T282" s="1223">
        <f t="shared" si="522"/>
        <v>1180</v>
      </c>
      <c r="U282" s="1223">
        <f t="shared" si="522"/>
        <v>2950</v>
      </c>
      <c r="V282" s="1222">
        <v>7</v>
      </c>
      <c r="W282" s="1222">
        <v>7</v>
      </c>
      <c r="X282" s="1222">
        <v>11</v>
      </c>
      <c r="Y282" s="1223">
        <f t="shared" ref="Y282:Z282" si="523">V282*295</f>
        <v>2065</v>
      </c>
      <c r="Z282" s="1223">
        <f t="shared" si="523"/>
        <v>2065</v>
      </c>
      <c r="AA282" s="1223">
        <f>X282*295+100</f>
        <v>3345</v>
      </c>
      <c r="AB282" s="1222">
        <v>56</v>
      </c>
      <c r="AC282" s="1222">
        <v>10</v>
      </c>
      <c r="AD282" s="1222">
        <v>8</v>
      </c>
      <c r="AE282" s="1223">
        <f>AB282*295+100</f>
        <v>16620</v>
      </c>
      <c r="AF282" s="1223">
        <f>AC282*295+100</f>
        <v>3050</v>
      </c>
      <c r="AG282" s="1223">
        <f>AD282*295+100</f>
        <v>2460</v>
      </c>
      <c r="AH282" s="1223">
        <f t="shared" si="510"/>
        <v>68545</v>
      </c>
      <c r="AI282" s="1223">
        <v>5685</v>
      </c>
      <c r="AJ282" s="1223"/>
      <c r="AK282" s="1223"/>
      <c r="AL282" s="1223">
        <v>62860</v>
      </c>
      <c r="AM282" s="1223"/>
      <c r="AN282" s="1223"/>
      <c r="AO282" s="1251" t="s">
        <v>2384</v>
      </c>
      <c r="AP282" s="1253" t="s">
        <v>3156</v>
      </c>
      <c r="AQ282" s="1270"/>
    </row>
    <row r="283" spans="1:43" ht="45">
      <c r="A283" s="1251" t="s">
        <v>3175</v>
      </c>
      <c r="B283" s="1273" t="s">
        <v>3171</v>
      </c>
      <c r="C283" s="1220">
        <f t="shared" si="509"/>
        <v>437</v>
      </c>
      <c r="D283" s="1231" t="s">
        <v>2426</v>
      </c>
      <c r="E283" s="1273" t="s">
        <v>3173</v>
      </c>
      <c r="F283" s="1266" t="s">
        <v>3174</v>
      </c>
      <c r="G283" s="824">
        <f t="shared" si="520"/>
        <v>0.8652587034321334</v>
      </c>
      <c r="H283" s="824"/>
      <c r="I283" s="824">
        <f t="shared" si="511"/>
        <v>7.246049979562784</v>
      </c>
      <c r="J283" s="1222">
        <v>10</v>
      </c>
      <c r="K283" s="1222">
        <v>11</v>
      </c>
      <c r="L283" s="1222">
        <v>20</v>
      </c>
      <c r="M283" s="1223">
        <f>J283*120</f>
        <v>1200</v>
      </c>
      <c r="N283" s="1223">
        <f t="shared" ref="N283:O283" si="524">K283*120</f>
        <v>1320</v>
      </c>
      <c r="O283" s="1223">
        <f t="shared" si="524"/>
        <v>2400</v>
      </c>
      <c r="P283" s="1222">
        <v>118</v>
      </c>
      <c r="Q283" s="1222">
        <v>34</v>
      </c>
      <c r="R283" s="1222">
        <v>27</v>
      </c>
      <c r="S283" s="1223">
        <f>P283*120</f>
        <v>14160</v>
      </c>
      <c r="T283" s="1223">
        <f>Q283*120+55</f>
        <v>4135</v>
      </c>
      <c r="U283" s="1223">
        <f t="shared" ref="U283" si="525">R283*120</f>
        <v>3240</v>
      </c>
      <c r="V283" s="1222">
        <v>12</v>
      </c>
      <c r="W283" s="1222">
        <v>42</v>
      </c>
      <c r="X283" s="1222">
        <v>24</v>
      </c>
      <c r="Y283" s="1223">
        <f t="shared" ref="Y283:AA283" si="526">V283*115</f>
        <v>1380</v>
      </c>
      <c r="Z283" s="1223">
        <f t="shared" si="526"/>
        <v>4830</v>
      </c>
      <c r="AA283" s="1223">
        <f t="shared" si="526"/>
        <v>2760</v>
      </c>
      <c r="AB283" s="1222">
        <v>121</v>
      </c>
      <c r="AC283" s="1222">
        <v>10</v>
      </c>
      <c r="AD283" s="1222">
        <v>8</v>
      </c>
      <c r="AE283" s="1223">
        <f>AB283*115</f>
        <v>13915</v>
      </c>
      <c r="AF283" s="1223">
        <f>AC283*115</f>
        <v>1150</v>
      </c>
      <c r="AG283" s="1223">
        <f>AD283*115</f>
        <v>920</v>
      </c>
      <c r="AH283" s="1223">
        <f t="shared" si="510"/>
        <v>51410</v>
      </c>
      <c r="AI283" s="1223">
        <v>6685</v>
      </c>
      <c r="AJ283" s="1223"/>
      <c r="AK283" s="1223"/>
      <c r="AL283" s="1223">
        <v>44725</v>
      </c>
      <c r="AM283" s="1223"/>
      <c r="AN283" s="1223"/>
      <c r="AO283" s="1251" t="s">
        <v>2384</v>
      </c>
      <c r="AP283" s="1253" t="s">
        <v>3156</v>
      </c>
      <c r="AQ283" s="1270"/>
    </row>
    <row r="284" spans="1:43" ht="60">
      <c r="A284" s="1251" t="s">
        <v>3176</v>
      </c>
      <c r="B284" s="1273" t="s">
        <v>3177</v>
      </c>
      <c r="C284" s="1220">
        <f t="shared" si="509"/>
        <v>292</v>
      </c>
      <c r="D284" s="1231" t="s">
        <v>419</v>
      </c>
      <c r="E284" s="1273" t="s">
        <v>3178</v>
      </c>
      <c r="F284" s="1266" t="s">
        <v>3179</v>
      </c>
      <c r="G284" s="824">
        <f t="shared" si="520"/>
        <v>0.32903730114954693</v>
      </c>
      <c r="H284" s="824"/>
      <c r="I284" s="824">
        <f t="shared" si="511"/>
        <v>2.7555004298862564</v>
      </c>
      <c r="J284" s="1222"/>
      <c r="K284" s="1222">
        <v>33</v>
      </c>
      <c r="L284" s="1222">
        <v>16</v>
      </c>
      <c r="M284" s="1223"/>
      <c r="N284" s="1223">
        <f>K284*65</f>
        <v>2145</v>
      </c>
      <c r="O284" s="1223">
        <f>L284*65</f>
        <v>1040</v>
      </c>
      <c r="P284" s="1222"/>
      <c r="Q284" s="1222"/>
      <c r="R284" s="1222">
        <v>33</v>
      </c>
      <c r="S284" s="1223"/>
      <c r="T284" s="1223"/>
      <c r="U284" s="1223">
        <f>R284*65</f>
        <v>2145</v>
      </c>
      <c r="V284" s="1222">
        <v>59</v>
      </c>
      <c r="W284" s="1222">
        <v>36</v>
      </c>
      <c r="X284" s="1222">
        <v>71</v>
      </c>
      <c r="Y284" s="1223">
        <f>V284*65+70</f>
        <v>3905</v>
      </c>
      <c r="Z284" s="1223">
        <f>W284*65+100</f>
        <v>2440</v>
      </c>
      <c r="AA284" s="1223">
        <f>X284*65+100</f>
        <v>4715</v>
      </c>
      <c r="AB284" s="1222">
        <v>29</v>
      </c>
      <c r="AC284" s="1222">
        <v>10</v>
      </c>
      <c r="AD284" s="1222">
        <v>5</v>
      </c>
      <c r="AE284" s="1223">
        <f>AB284*65+100</f>
        <v>1985</v>
      </c>
      <c r="AF284" s="1223">
        <f>AC284*65+100</f>
        <v>750</v>
      </c>
      <c r="AG284" s="1223">
        <f>AD284*65+100</f>
        <v>425</v>
      </c>
      <c r="AH284" s="1223">
        <f t="shared" si="510"/>
        <v>19550</v>
      </c>
      <c r="AI284" s="1223">
        <v>2275</v>
      </c>
      <c r="AJ284" s="1223"/>
      <c r="AK284" s="1223"/>
      <c r="AL284" s="1223">
        <v>17275</v>
      </c>
      <c r="AM284" s="1223"/>
      <c r="AN284" s="1223"/>
      <c r="AO284" s="1251" t="s">
        <v>2384</v>
      </c>
      <c r="AP284" s="1253" t="s">
        <v>3156</v>
      </c>
      <c r="AQ284" s="1270"/>
    </row>
    <row r="285" spans="1:43" ht="60">
      <c r="A285" s="1251" t="s">
        <v>3180</v>
      </c>
      <c r="B285" s="1273" t="s">
        <v>3177</v>
      </c>
      <c r="C285" s="1220">
        <f t="shared" si="509"/>
        <v>201</v>
      </c>
      <c r="D285" s="1231" t="s">
        <v>2820</v>
      </c>
      <c r="E285" s="1273" t="s">
        <v>3178</v>
      </c>
      <c r="F285" s="1266" t="s">
        <v>3179</v>
      </c>
      <c r="G285" s="824">
        <f t="shared" si="520"/>
        <v>1.0392866161628913</v>
      </c>
      <c r="H285" s="824"/>
      <c r="I285" s="824">
        <f t="shared" si="511"/>
        <v>8.7034348616611918</v>
      </c>
      <c r="J285" s="1222"/>
      <c r="K285" s="1222">
        <v>32</v>
      </c>
      <c r="L285" s="1222">
        <v>9</v>
      </c>
      <c r="M285" s="1223"/>
      <c r="N285" s="1223">
        <f>K285*305</f>
        <v>9760</v>
      </c>
      <c r="O285" s="1223">
        <f>L285*305</f>
        <v>2745</v>
      </c>
      <c r="P285" s="1222"/>
      <c r="Q285" s="1222"/>
      <c r="R285" s="1222">
        <v>15</v>
      </c>
      <c r="S285" s="1223"/>
      <c r="T285" s="1223"/>
      <c r="U285" s="1223">
        <f>R285*305</f>
        <v>4575</v>
      </c>
      <c r="V285" s="1222">
        <v>47</v>
      </c>
      <c r="W285" s="1222">
        <v>18</v>
      </c>
      <c r="X285" s="1222">
        <v>44</v>
      </c>
      <c r="Y285" s="1223">
        <f t="shared" ref="Y285" si="527">V285*305</f>
        <v>14335</v>
      </c>
      <c r="Z285" s="1223">
        <f>W285*305+45</f>
        <v>5535</v>
      </c>
      <c r="AA285" s="1223">
        <f>X285*305+100</f>
        <v>13520</v>
      </c>
      <c r="AB285" s="1222">
        <v>21</v>
      </c>
      <c r="AC285" s="1222">
        <v>10</v>
      </c>
      <c r="AD285" s="1222">
        <v>5</v>
      </c>
      <c r="AE285" s="1223">
        <f>AB285*305+100</f>
        <v>6505</v>
      </c>
      <c r="AF285" s="1223">
        <f>AC285*305+100</f>
        <v>3150</v>
      </c>
      <c r="AG285" s="1223">
        <f>AD285*305+100</f>
        <v>1625</v>
      </c>
      <c r="AH285" s="1223">
        <f t="shared" si="510"/>
        <v>61750</v>
      </c>
      <c r="AI285" s="1223">
        <v>44475</v>
      </c>
      <c r="AJ285" s="1223"/>
      <c r="AK285" s="1223"/>
      <c r="AL285" s="1223">
        <v>17275</v>
      </c>
      <c r="AM285" s="1223"/>
      <c r="AN285" s="1223"/>
      <c r="AO285" s="1251" t="s">
        <v>2384</v>
      </c>
      <c r="AP285" s="1253" t="s">
        <v>3156</v>
      </c>
      <c r="AQ285" s="1270"/>
    </row>
    <row r="286" spans="1:43" ht="60">
      <c r="A286" s="1251" t="s">
        <v>3181</v>
      </c>
      <c r="B286" s="1273" t="s">
        <v>3177</v>
      </c>
      <c r="C286" s="1220">
        <f t="shared" si="509"/>
        <v>38</v>
      </c>
      <c r="D286" s="1231" t="s">
        <v>944</v>
      </c>
      <c r="E286" s="1273" t="s">
        <v>3178</v>
      </c>
      <c r="F286" s="1266" t="s">
        <v>3179</v>
      </c>
      <c r="G286" s="824">
        <f t="shared" si="520"/>
        <v>0.59790537715282122</v>
      </c>
      <c r="H286" s="824"/>
      <c r="I286" s="824">
        <f t="shared" si="511"/>
        <v>5.0071177888342335</v>
      </c>
      <c r="J286" s="1222"/>
      <c r="K286" s="1222">
        <v>2</v>
      </c>
      <c r="L286" s="1222">
        <v>3</v>
      </c>
      <c r="M286" s="1223"/>
      <c r="N286" s="1223">
        <f>K286*935</f>
        <v>1870</v>
      </c>
      <c r="O286" s="1223">
        <f>L286*935</f>
        <v>2805</v>
      </c>
      <c r="P286" s="1222"/>
      <c r="Q286" s="1222"/>
      <c r="R286" s="1222">
        <v>3</v>
      </c>
      <c r="S286" s="1223"/>
      <c r="T286" s="1223"/>
      <c r="U286" s="1223">
        <f>R286*935</f>
        <v>2805</v>
      </c>
      <c r="V286" s="1222">
        <v>9</v>
      </c>
      <c r="W286" s="1222">
        <v>3</v>
      </c>
      <c r="X286" s="1222">
        <v>8</v>
      </c>
      <c r="Y286" s="1223">
        <f t="shared" ref="Y286:AA286" si="528">V286*935</f>
        <v>8415</v>
      </c>
      <c r="Z286" s="1223">
        <f t="shared" si="528"/>
        <v>2805</v>
      </c>
      <c r="AA286" s="1223">
        <f t="shared" si="528"/>
        <v>7480</v>
      </c>
      <c r="AB286" s="1222">
        <v>4</v>
      </c>
      <c r="AC286" s="1222">
        <v>4</v>
      </c>
      <c r="AD286" s="1222">
        <v>2</v>
      </c>
      <c r="AE286" s="1223">
        <f t="shared" ref="AE286:AF286" si="529">AB286*935</f>
        <v>3740</v>
      </c>
      <c r="AF286" s="1223">
        <f t="shared" si="529"/>
        <v>3740</v>
      </c>
      <c r="AG286" s="1223">
        <f>AD286*935-5</f>
        <v>1865</v>
      </c>
      <c r="AH286" s="1223">
        <f t="shared" si="510"/>
        <v>35525</v>
      </c>
      <c r="AI286" s="1223">
        <v>33105</v>
      </c>
      <c r="AJ286" s="1223"/>
      <c r="AK286" s="1223"/>
      <c r="AL286" s="1223">
        <v>2420</v>
      </c>
      <c r="AM286" s="1223"/>
      <c r="AN286" s="1223"/>
      <c r="AO286" s="1251" t="s">
        <v>2384</v>
      </c>
      <c r="AP286" s="1253" t="s">
        <v>3156</v>
      </c>
      <c r="AQ286" s="1270"/>
    </row>
    <row r="287" spans="1:43" ht="45">
      <c r="A287" s="1251" t="s">
        <v>3182</v>
      </c>
      <c r="B287" s="1273" t="s">
        <v>3183</v>
      </c>
      <c r="C287" s="1220">
        <f t="shared" si="509"/>
        <v>4</v>
      </c>
      <c r="D287" s="1231" t="s">
        <v>71</v>
      </c>
      <c r="E287" s="1273" t="s">
        <v>3184</v>
      </c>
      <c r="F287" s="1251" t="s">
        <v>3185</v>
      </c>
      <c r="G287" s="824">
        <f t="shared" si="520"/>
        <v>1.5625484930293574</v>
      </c>
      <c r="H287" s="824"/>
      <c r="I287" s="824">
        <f t="shared" si="511"/>
        <v>13.085455749904861</v>
      </c>
      <c r="J287" s="1222"/>
      <c r="K287" s="1222"/>
      <c r="L287" s="1222">
        <v>3</v>
      </c>
      <c r="M287" s="1223"/>
      <c r="N287" s="1223"/>
      <c r="O287" s="1223">
        <f>L287*23210</f>
        <v>69630</v>
      </c>
      <c r="P287" s="1222"/>
      <c r="Q287" s="1222"/>
      <c r="R287" s="1222"/>
      <c r="S287" s="1223"/>
      <c r="T287" s="1223"/>
      <c r="U287" s="1223"/>
      <c r="V287" s="1222"/>
      <c r="W287" s="1222"/>
      <c r="X287" s="1222">
        <v>1</v>
      </c>
      <c r="Y287" s="1223"/>
      <c r="Z287" s="1223"/>
      <c r="AA287" s="1223">
        <f>X287*23210</f>
        <v>23210</v>
      </c>
      <c r="AB287" s="1222"/>
      <c r="AC287" s="1222"/>
      <c r="AD287" s="1222"/>
      <c r="AE287" s="1223"/>
      <c r="AF287" s="1223"/>
      <c r="AG287" s="1223"/>
      <c r="AH287" s="1223">
        <f t="shared" si="510"/>
        <v>92840</v>
      </c>
      <c r="AI287" s="1223">
        <v>44475</v>
      </c>
      <c r="AJ287" s="1223"/>
      <c r="AK287" s="1223"/>
      <c r="AL287" s="1223">
        <v>48365</v>
      </c>
      <c r="AM287" s="1223"/>
      <c r="AN287" s="1223"/>
      <c r="AO287" s="1251" t="s">
        <v>2384</v>
      </c>
      <c r="AP287" s="1253" t="s">
        <v>3156</v>
      </c>
      <c r="AQ287" s="1270"/>
    </row>
    <row r="288" spans="1:43" ht="45">
      <c r="A288" s="1251" t="s">
        <v>3186</v>
      </c>
      <c r="B288" s="1273" t="s">
        <v>3183</v>
      </c>
      <c r="C288" s="1220">
        <f t="shared" si="509"/>
        <v>97</v>
      </c>
      <c r="D288" s="1231" t="s">
        <v>2426</v>
      </c>
      <c r="E288" s="1273" t="s">
        <v>3184</v>
      </c>
      <c r="F288" s="1251" t="s">
        <v>3187</v>
      </c>
      <c r="G288" s="824">
        <f t="shared" si="520"/>
        <v>1.356626683332953</v>
      </c>
      <c r="H288" s="824"/>
      <c r="I288" s="824">
        <f t="shared" si="511"/>
        <v>11.360977603630777</v>
      </c>
      <c r="J288" s="1222"/>
      <c r="K288" s="1222"/>
      <c r="L288" s="1222">
        <v>72</v>
      </c>
      <c r="M288" s="1223"/>
      <c r="N288" s="1223"/>
      <c r="O288" s="1223">
        <f>L288*830</f>
        <v>59760</v>
      </c>
      <c r="P288" s="1222"/>
      <c r="Q288" s="1222"/>
      <c r="R288" s="1222"/>
      <c r="S288" s="1223"/>
      <c r="T288" s="1223"/>
      <c r="U288" s="1223"/>
      <c r="V288" s="1222"/>
      <c r="W288" s="1222"/>
      <c r="X288" s="1222">
        <v>25</v>
      </c>
      <c r="Y288" s="1223"/>
      <c r="Z288" s="1223"/>
      <c r="AA288" s="1223">
        <f>X288*830+95</f>
        <v>20845</v>
      </c>
      <c r="AB288" s="1222"/>
      <c r="AC288" s="1222"/>
      <c r="AD288" s="1222"/>
      <c r="AE288" s="1223"/>
      <c r="AF288" s="1223"/>
      <c r="AG288" s="1223"/>
      <c r="AH288" s="1223">
        <f t="shared" si="510"/>
        <v>80605</v>
      </c>
      <c r="AI288" s="1223">
        <v>33100</v>
      </c>
      <c r="AJ288" s="1223"/>
      <c r="AK288" s="1223"/>
      <c r="AL288" s="1223">
        <v>47505</v>
      </c>
      <c r="AM288" s="1223"/>
      <c r="AN288" s="1223"/>
      <c r="AO288" s="1251" t="s">
        <v>2384</v>
      </c>
      <c r="AP288" s="1253" t="s">
        <v>3156</v>
      </c>
      <c r="AQ288" s="1270"/>
    </row>
    <row r="289" spans="1:43" ht="15">
      <c r="A289" s="1276"/>
      <c r="B289" s="1276" t="s">
        <v>1728</v>
      </c>
      <c r="C289" s="1277"/>
      <c r="D289" s="1278"/>
      <c r="E289" s="1278"/>
      <c r="F289" s="1278"/>
      <c r="G289" s="683"/>
      <c r="H289" s="683">
        <f>+H12+H52+H58+H67+H79+H89+H96+H99+H116+H121+H124+H131+H137+H140+H145+H152++H180+H186+H198+H205+H213+H227+H231+H246+H251+H258+H265+H275</f>
        <v>100.00000000000001</v>
      </c>
      <c r="I289" s="683"/>
      <c r="J289" s="684"/>
      <c r="K289" s="684"/>
      <c r="L289" s="684"/>
      <c r="M289" s="685">
        <f t="shared" ref="M289:O289" si="530">M10+M143+M178+M184+M203</f>
        <v>309684</v>
      </c>
      <c r="N289" s="685">
        <f t="shared" si="530"/>
        <v>376124</v>
      </c>
      <c r="O289" s="685">
        <f t="shared" si="530"/>
        <v>763089</v>
      </c>
      <c r="P289" s="684"/>
      <c r="Q289" s="684"/>
      <c r="R289" s="684"/>
      <c r="S289" s="685">
        <f t="shared" ref="S289:U289" si="531">S10+S143+S178+S184+S203</f>
        <v>498014</v>
      </c>
      <c r="T289" s="685">
        <f t="shared" si="531"/>
        <v>381505</v>
      </c>
      <c r="U289" s="685">
        <f t="shared" si="531"/>
        <v>666150</v>
      </c>
      <c r="V289" s="684"/>
      <c r="W289" s="684"/>
      <c r="X289" s="684"/>
      <c r="Y289" s="685">
        <f t="shared" ref="Y289:AA289" si="532">Y10+Y143+Y178+Y184+Y203</f>
        <v>539004</v>
      </c>
      <c r="Z289" s="685">
        <f t="shared" si="532"/>
        <v>372494</v>
      </c>
      <c r="AA289" s="685">
        <f t="shared" si="532"/>
        <v>520059</v>
      </c>
      <c r="AB289" s="684"/>
      <c r="AC289" s="684"/>
      <c r="AD289" s="684"/>
      <c r="AE289" s="685">
        <f t="shared" ref="AE289:AG289" si="533">AE10+AE143+AE178+AE184+AE203</f>
        <v>551184</v>
      </c>
      <c r="AF289" s="685">
        <f t="shared" si="533"/>
        <v>466589.6</v>
      </c>
      <c r="AG289" s="685">
        <f t="shared" si="533"/>
        <v>497679</v>
      </c>
      <c r="AH289" s="685">
        <f>AH10+AH143+AH178+AH184+AH203</f>
        <v>5941575.5999999996</v>
      </c>
      <c r="AI289" s="685">
        <f>AI10+AI143+AI178+AI184+AI203</f>
        <v>2273720</v>
      </c>
      <c r="AJ289" s="685"/>
      <c r="AK289" s="685">
        <f>AK10+AK143+AK178+AK184+AK203</f>
        <v>584515.6</v>
      </c>
      <c r="AL289" s="685">
        <f>AL10+AL143+AL178+AL184+AL203</f>
        <v>3083340</v>
      </c>
      <c r="AM289" s="685"/>
      <c r="AN289" s="685"/>
      <c r="AO289" s="1219"/>
      <c r="AP289" s="1219"/>
      <c r="AQ289" s="1243"/>
    </row>
  </sheetData>
  <sheetProtection algorithmName="SHA-512" hashValue="qhqLfosWN8S0D2FcLMJqCFUFMdKIlY+j9bpyeZLCOrhAUA2FaK6pVo6hz6XFA89E/yBGXYxv7Tb8Ss0Y2gHlGA==" saltValue="E52hVKgGxiVM09Btp/e5Bw==" spinCount="100000" sheet="1" objects="1" scenarios="1"/>
  <mergeCells count="35">
    <mergeCell ref="Y8:AA8"/>
    <mergeCell ref="AB8:AD8"/>
    <mergeCell ref="AE8:AG8"/>
    <mergeCell ref="AH7:AH9"/>
    <mergeCell ref="AI7:AI9"/>
    <mergeCell ref="J8:L8"/>
    <mergeCell ref="M8:O8"/>
    <mergeCell ref="P8:R8"/>
    <mergeCell ref="S8:U8"/>
    <mergeCell ref="V8:X8"/>
    <mergeCell ref="AI6:AN6"/>
    <mergeCell ref="AO6:AO9"/>
    <mergeCell ref="AP6:AP9"/>
    <mergeCell ref="AQ6:AQ9"/>
    <mergeCell ref="AN7:AN9"/>
    <mergeCell ref="AJ7:AJ9"/>
    <mergeCell ref="AK7:AK9"/>
    <mergeCell ref="AL7:AL9"/>
    <mergeCell ref="AM7:AM9"/>
    <mergeCell ref="A1:AQ1"/>
    <mergeCell ref="A2:AQ2"/>
    <mergeCell ref="B6:B9"/>
    <mergeCell ref="C6:C9"/>
    <mergeCell ref="D6:D9"/>
    <mergeCell ref="E6:E9"/>
    <mergeCell ref="F6:F9"/>
    <mergeCell ref="G6:G9"/>
    <mergeCell ref="H6:H9"/>
    <mergeCell ref="I6:I9"/>
    <mergeCell ref="A7:A9"/>
    <mergeCell ref="J7:O7"/>
    <mergeCell ref="P7:U7"/>
    <mergeCell ref="V7:AA7"/>
    <mergeCell ref="AB7:AG7"/>
    <mergeCell ref="J6:AH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3"/>
  <sheetViews>
    <sheetView workbookViewId="0">
      <selection activeCell="M17" sqref="M17"/>
    </sheetView>
  </sheetViews>
  <sheetFormatPr baseColWidth="10" defaultRowHeight="14.4"/>
  <cols>
    <col min="1" max="1" width="17.44140625" bestFit="1" customWidth="1"/>
    <col min="2" max="2" width="29.88671875" customWidth="1"/>
    <col min="3" max="3" width="8.33203125" bestFit="1" customWidth="1"/>
    <col min="4" max="4" width="14" customWidth="1"/>
    <col min="5" max="5" width="29.88671875" customWidth="1"/>
    <col min="6" max="6" width="18" customWidth="1"/>
    <col min="7" max="7" width="7.109375" customWidth="1"/>
    <col min="8" max="8" width="8.33203125" customWidth="1"/>
    <col min="9" max="9" width="8.6640625" customWidth="1"/>
    <col min="10" max="10" width="7" bestFit="1" customWidth="1"/>
    <col min="11" max="11" width="5.6640625" bestFit="1" customWidth="1"/>
    <col min="12" max="12" width="8.33203125" bestFit="1" customWidth="1"/>
    <col min="13" max="15" width="12.6640625" bestFit="1" customWidth="1"/>
    <col min="16" max="17" width="8.33203125" bestFit="1" customWidth="1"/>
    <col min="18" max="18" width="7" bestFit="1" customWidth="1"/>
    <col min="19" max="21" width="12.6640625" bestFit="1" customWidth="1"/>
    <col min="22" max="24" width="5.6640625" bestFit="1" customWidth="1"/>
    <col min="25" max="27" width="12.6640625" bestFit="1" customWidth="1"/>
    <col min="28" max="30" width="5.6640625" bestFit="1" customWidth="1"/>
    <col min="31" max="32" width="12.6640625" bestFit="1" customWidth="1"/>
    <col min="33" max="33" width="14.5546875" bestFit="1" customWidth="1"/>
    <col min="34" max="34" width="14.5546875" customWidth="1"/>
    <col min="35" max="35" width="14.6640625" bestFit="1" customWidth="1"/>
    <col min="36" max="36" width="7" customWidth="1"/>
    <col min="37" max="37" width="3.6640625" customWidth="1"/>
    <col min="38" max="38" width="14.5546875" customWidth="1"/>
    <col min="39" max="39" width="10.109375" customWidth="1"/>
    <col min="40" max="40" width="6.88671875" customWidth="1"/>
    <col min="41" max="41" width="6.33203125" customWidth="1"/>
    <col min="42" max="42" width="21.6640625" customWidth="1"/>
    <col min="43" max="43" width="18.5546875" customWidth="1"/>
  </cols>
  <sheetData>
    <row r="1" spans="1:43" ht="17.399999999999999">
      <c r="A1" s="1937" t="s">
        <v>0</v>
      </c>
      <c r="B1" s="1937"/>
      <c r="C1" s="1937"/>
      <c r="D1" s="1937"/>
      <c r="E1" s="1937"/>
      <c r="F1" s="1937"/>
      <c r="G1" s="1937"/>
      <c r="H1" s="1937"/>
      <c r="I1" s="1937"/>
      <c r="J1" s="1937"/>
      <c r="K1" s="1937"/>
      <c r="L1" s="1937"/>
      <c r="M1" s="1937"/>
      <c r="N1" s="1937"/>
      <c r="O1" s="1937"/>
      <c r="P1" s="1937"/>
      <c r="Q1" s="1937"/>
      <c r="R1" s="1937"/>
      <c r="S1" s="1937"/>
      <c r="T1" s="1937"/>
      <c r="U1" s="1937"/>
      <c r="V1" s="1937"/>
      <c r="W1" s="1937"/>
      <c r="X1" s="1937"/>
      <c r="Y1" s="1937"/>
      <c r="Z1" s="1937"/>
      <c r="AA1" s="1937"/>
      <c r="AB1" s="1937"/>
      <c r="AC1" s="1937"/>
      <c r="AD1" s="1937"/>
      <c r="AE1" s="1937"/>
      <c r="AF1" s="1937"/>
      <c r="AG1" s="1937"/>
      <c r="AH1" s="1937"/>
      <c r="AI1" s="1937"/>
      <c r="AJ1" s="1937"/>
      <c r="AK1" s="1937"/>
      <c r="AL1" s="1937"/>
      <c r="AM1" s="1937"/>
      <c r="AN1" s="1937"/>
      <c r="AO1" s="1937"/>
      <c r="AP1" s="1937"/>
      <c r="AQ1" s="1937"/>
    </row>
    <row r="2" spans="1:43" ht="17.399999999999999">
      <c r="A2" s="1937" t="s">
        <v>1</v>
      </c>
      <c r="B2" s="1937"/>
      <c r="C2" s="1937"/>
      <c r="D2" s="1937"/>
      <c r="E2" s="1937"/>
      <c r="F2" s="1937"/>
      <c r="G2" s="1937"/>
      <c r="H2" s="1937"/>
      <c r="I2" s="1937"/>
      <c r="J2" s="1937"/>
      <c r="K2" s="1937"/>
      <c r="L2" s="1937"/>
      <c r="M2" s="1937"/>
      <c r="N2" s="1937"/>
      <c r="O2" s="1937"/>
      <c r="P2" s="1937"/>
      <c r="Q2" s="1937"/>
      <c r="R2" s="1937"/>
      <c r="S2" s="1937"/>
      <c r="T2" s="1937"/>
      <c r="U2" s="1937"/>
      <c r="V2" s="1937"/>
      <c r="W2" s="1937"/>
      <c r="X2" s="1937"/>
      <c r="Y2" s="1937"/>
      <c r="Z2" s="1937"/>
      <c r="AA2" s="1937"/>
      <c r="AB2" s="1937"/>
      <c r="AC2" s="1937"/>
      <c r="AD2" s="1937"/>
      <c r="AE2" s="1937"/>
      <c r="AF2" s="1937"/>
      <c r="AG2" s="1937"/>
      <c r="AH2" s="1937"/>
      <c r="AI2" s="1937"/>
      <c r="AJ2" s="1937"/>
      <c r="AK2" s="1937"/>
      <c r="AL2" s="1937"/>
      <c r="AM2" s="1937"/>
      <c r="AN2" s="1937"/>
      <c r="AO2" s="1937"/>
      <c r="AP2" s="1937"/>
      <c r="AQ2" s="1937"/>
    </row>
    <row r="3" spans="1:43" ht="17.399999999999999">
      <c r="A3" s="1938"/>
      <c r="B3" s="1938"/>
      <c r="C3" s="1938"/>
      <c r="D3" s="1938"/>
      <c r="E3" s="1938"/>
      <c r="F3" s="1938"/>
      <c r="G3" s="1938"/>
      <c r="H3" s="1938"/>
      <c r="I3" s="1938"/>
      <c r="J3" s="1938"/>
      <c r="K3" s="1938"/>
      <c r="L3" s="1938"/>
      <c r="M3" s="1938"/>
      <c r="N3" s="1938"/>
      <c r="O3" s="1938"/>
      <c r="P3" s="1938"/>
      <c r="Q3" s="1938"/>
      <c r="R3" s="1938"/>
      <c r="S3" s="1938"/>
      <c r="T3" s="1938"/>
      <c r="U3" s="1938"/>
      <c r="V3" s="1938"/>
      <c r="W3" s="1938"/>
      <c r="X3" s="1938"/>
      <c r="Y3" s="1938"/>
      <c r="Z3" s="1938"/>
      <c r="AA3" s="1938"/>
      <c r="AB3" s="1938"/>
      <c r="AC3" s="1938"/>
      <c r="AD3" s="1938"/>
      <c r="AE3" s="1938"/>
      <c r="AF3" s="1938"/>
      <c r="AG3" s="1938"/>
      <c r="AH3" s="1938"/>
      <c r="AI3" s="1938"/>
      <c r="AJ3" s="1938"/>
      <c r="AK3" s="1938"/>
      <c r="AL3" s="1938"/>
      <c r="AM3" s="1938"/>
      <c r="AN3" s="1938"/>
      <c r="AO3" s="1938"/>
      <c r="AP3" s="1938"/>
      <c r="AQ3" s="1938"/>
    </row>
    <row r="4" spans="1:43" ht="17.399999999999999">
      <c r="A4" s="1"/>
      <c r="B4" s="1279" t="s">
        <v>2</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row>
    <row r="5" spans="1:43" ht="17.399999999999999">
      <c r="A5" s="1"/>
      <c r="B5" s="1280" t="s">
        <v>3188</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row>
    <row r="6" spans="1:43" ht="17.399999999999999">
      <c r="A6" s="1"/>
      <c r="B6" s="3" t="s">
        <v>4</v>
      </c>
      <c r="C6" s="3"/>
      <c r="D6" s="3"/>
      <c r="E6" s="1"/>
      <c r="F6" s="1"/>
      <c r="G6" s="1"/>
      <c r="H6" s="1"/>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row>
    <row r="7" spans="1:43" ht="15.6">
      <c r="A7" s="80" t="s">
        <v>5</v>
      </c>
      <c r="B7" s="2040" t="s">
        <v>1393</v>
      </c>
      <c r="C7" s="2042" t="s">
        <v>7</v>
      </c>
      <c r="D7" s="2134" t="s">
        <v>8</v>
      </c>
      <c r="E7" s="2134" t="s">
        <v>9</v>
      </c>
      <c r="F7" s="2134" t="s">
        <v>10</v>
      </c>
      <c r="G7" s="2044" t="s">
        <v>11</v>
      </c>
      <c r="H7" s="2044" t="s">
        <v>12</v>
      </c>
      <c r="I7" s="2044" t="s">
        <v>401</v>
      </c>
      <c r="J7" s="2042" t="s">
        <v>14</v>
      </c>
      <c r="K7" s="2042"/>
      <c r="L7" s="2042"/>
      <c r="M7" s="2042"/>
      <c r="N7" s="2042"/>
      <c r="O7" s="2042"/>
      <c r="P7" s="2042"/>
      <c r="Q7" s="2042"/>
      <c r="R7" s="2042"/>
      <c r="S7" s="2042"/>
      <c r="T7" s="2042"/>
      <c r="U7" s="2042"/>
      <c r="V7" s="2042"/>
      <c r="W7" s="2042"/>
      <c r="X7" s="2042"/>
      <c r="Y7" s="2042"/>
      <c r="Z7" s="2042"/>
      <c r="AA7" s="2042"/>
      <c r="AB7" s="2042"/>
      <c r="AC7" s="2042"/>
      <c r="AD7" s="2042"/>
      <c r="AE7" s="2042"/>
      <c r="AF7" s="2042"/>
      <c r="AG7" s="2042"/>
      <c r="AH7" s="2042"/>
      <c r="AI7" s="1957" t="s">
        <v>15</v>
      </c>
      <c r="AJ7" s="1957"/>
      <c r="AK7" s="1957"/>
      <c r="AL7" s="1957"/>
      <c r="AM7" s="1957"/>
      <c r="AN7" s="1957"/>
      <c r="AO7" s="1954" t="s">
        <v>16</v>
      </c>
      <c r="AP7" s="1957" t="s">
        <v>17</v>
      </c>
      <c r="AQ7" s="1957" t="s">
        <v>18</v>
      </c>
    </row>
    <row r="8" spans="1:43" ht="15.6">
      <c r="A8" s="1958" t="s">
        <v>1395</v>
      </c>
      <c r="B8" s="2040"/>
      <c r="C8" s="2042"/>
      <c r="D8" s="2134"/>
      <c r="E8" s="2134"/>
      <c r="F8" s="2134"/>
      <c r="G8" s="2044"/>
      <c r="H8" s="2044"/>
      <c r="I8" s="2044"/>
      <c r="J8" s="2048" t="s">
        <v>19</v>
      </c>
      <c r="K8" s="2048"/>
      <c r="L8" s="2048"/>
      <c r="M8" s="2048"/>
      <c r="N8" s="2048"/>
      <c r="O8" s="2048"/>
      <c r="P8" s="2048" t="s">
        <v>20</v>
      </c>
      <c r="Q8" s="2048"/>
      <c r="R8" s="2048"/>
      <c r="S8" s="2048"/>
      <c r="T8" s="2048"/>
      <c r="U8" s="2048"/>
      <c r="V8" s="2049" t="s">
        <v>21</v>
      </c>
      <c r="W8" s="2049"/>
      <c r="X8" s="2049"/>
      <c r="Y8" s="2049"/>
      <c r="Z8" s="2049"/>
      <c r="AA8" s="2049"/>
      <c r="AB8" s="2048" t="s">
        <v>22</v>
      </c>
      <c r="AC8" s="2048"/>
      <c r="AD8" s="2048"/>
      <c r="AE8" s="2048"/>
      <c r="AF8" s="2048"/>
      <c r="AG8" s="2048"/>
      <c r="AH8" s="2042" t="s">
        <v>403</v>
      </c>
      <c r="AI8" s="1957" t="s">
        <v>24</v>
      </c>
      <c r="AJ8" s="1954" t="s">
        <v>2383</v>
      </c>
      <c r="AK8" s="2131" t="s">
        <v>916</v>
      </c>
      <c r="AL8" s="1957" t="s">
        <v>3189</v>
      </c>
      <c r="AM8" s="1954" t="s">
        <v>28</v>
      </c>
      <c r="AN8" s="1954" t="s">
        <v>29</v>
      </c>
      <c r="AO8" s="1955"/>
      <c r="AP8" s="1957"/>
      <c r="AQ8" s="1957"/>
    </row>
    <row r="9" spans="1:43" ht="15.6">
      <c r="A9" s="1959"/>
      <c r="B9" s="2040"/>
      <c r="C9" s="2042"/>
      <c r="D9" s="2134"/>
      <c r="E9" s="2134"/>
      <c r="F9" s="2134"/>
      <c r="G9" s="2044"/>
      <c r="H9" s="2044"/>
      <c r="I9" s="2044"/>
      <c r="J9" s="2048" t="s">
        <v>30</v>
      </c>
      <c r="K9" s="2048"/>
      <c r="L9" s="2048"/>
      <c r="M9" s="2048" t="s">
        <v>31</v>
      </c>
      <c r="N9" s="2048"/>
      <c r="O9" s="2048"/>
      <c r="P9" s="2048" t="s">
        <v>30</v>
      </c>
      <c r="Q9" s="2048"/>
      <c r="R9" s="2048"/>
      <c r="S9" s="2048" t="s">
        <v>31</v>
      </c>
      <c r="T9" s="2048"/>
      <c r="U9" s="2048"/>
      <c r="V9" s="2048" t="s">
        <v>30</v>
      </c>
      <c r="W9" s="2048"/>
      <c r="X9" s="2048"/>
      <c r="Y9" s="2048" t="s">
        <v>31</v>
      </c>
      <c r="Z9" s="2048"/>
      <c r="AA9" s="2048"/>
      <c r="AB9" s="2048" t="s">
        <v>30</v>
      </c>
      <c r="AC9" s="2048"/>
      <c r="AD9" s="2048"/>
      <c r="AE9" s="2048" t="s">
        <v>31</v>
      </c>
      <c r="AF9" s="2048"/>
      <c r="AG9" s="2048"/>
      <c r="AH9" s="2042"/>
      <c r="AI9" s="1957"/>
      <c r="AJ9" s="1955"/>
      <c r="AK9" s="2132"/>
      <c r="AL9" s="1957"/>
      <c r="AM9" s="1955"/>
      <c r="AN9" s="1955"/>
      <c r="AO9" s="1955"/>
      <c r="AP9" s="1957"/>
      <c r="AQ9" s="1957"/>
    </row>
    <row r="10" spans="1:43" ht="15.6">
      <c r="A10" s="2045"/>
      <c r="B10" s="2040"/>
      <c r="C10" s="2042"/>
      <c r="D10" s="2134"/>
      <c r="E10" s="2134"/>
      <c r="F10" s="2134"/>
      <c r="G10" s="2044"/>
      <c r="H10" s="2044"/>
      <c r="I10" s="2044"/>
      <c r="J10" s="1210" t="s">
        <v>32</v>
      </c>
      <c r="K10" s="1210" t="s">
        <v>33</v>
      </c>
      <c r="L10" s="1210" t="s">
        <v>34</v>
      </c>
      <c r="M10" s="1210" t="s">
        <v>32</v>
      </c>
      <c r="N10" s="1210" t="s">
        <v>33</v>
      </c>
      <c r="O10" s="1210" t="s">
        <v>34</v>
      </c>
      <c r="P10" s="1210" t="s">
        <v>35</v>
      </c>
      <c r="Q10" s="1210" t="s">
        <v>34</v>
      </c>
      <c r="R10" s="1210" t="s">
        <v>36</v>
      </c>
      <c r="S10" s="1210" t="s">
        <v>35</v>
      </c>
      <c r="T10" s="1210" t="s">
        <v>34</v>
      </c>
      <c r="U10" s="1210" t="s">
        <v>36</v>
      </c>
      <c r="V10" s="1210" t="s">
        <v>36</v>
      </c>
      <c r="W10" s="1210" t="s">
        <v>35</v>
      </c>
      <c r="X10" s="1210" t="s">
        <v>37</v>
      </c>
      <c r="Y10" s="1210" t="s">
        <v>36</v>
      </c>
      <c r="Z10" s="1210" t="s">
        <v>35</v>
      </c>
      <c r="AA10" s="1210" t="s">
        <v>37</v>
      </c>
      <c r="AB10" s="1210" t="s">
        <v>38</v>
      </c>
      <c r="AC10" s="1210" t="s">
        <v>39</v>
      </c>
      <c r="AD10" s="1210" t="s">
        <v>40</v>
      </c>
      <c r="AE10" s="1210" t="s">
        <v>38</v>
      </c>
      <c r="AF10" s="1210" t="s">
        <v>39</v>
      </c>
      <c r="AG10" s="1210" t="s">
        <v>40</v>
      </c>
      <c r="AH10" s="2042"/>
      <c r="AI10" s="1957"/>
      <c r="AJ10" s="1956"/>
      <c r="AK10" s="2133"/>
      <c r="AL10" s="1957"/>
      <c r="AM10" s="1956"/>
      <c r="AN10" s="1956"/>
      <c r="AO10" s="1956"/>
      <c r="AP10" s="1957"/>
      <c r="AQ10" s="1957"/>
    </row>
    <row r="11" spans="1:43" ht="60">
      <c r="A11" s="47" t="s">
        <v>41</v>
      </c>
      <c r="B11" s="47" t="s">
        <v>42</v>
      </c>
      <c r="C11" s="349"/>
      <c r="D11" s="47"/>
      <c r="E11" s="47"/>
      <c r="F11" s="47"/>
      <c r="G11" s="8">
        <f>AH11/AH$73*100</f>
        <v>37.66860856193302</v>
      </c>
      <c r="H11" s="8"/>
      <c r="I11" s="8"/>
      <c r="J11" s="7"/>
      <c r="K11" s="7"/>
      <c r="L11" s="7"/>
      <c r="M11" s="9">
        <f t="shared" ref="M11:N11" si="0">SUM(M12,M39,M43)</f>
        <v>143162.64362704923</v>
      </c>
      <c r="N11" s="9">
        <f t="shared" si="0"/>
        <v>215810.86094311794</v>
      </c>
      <c r="O11" s="9">
        <f>SUM(O12,O39,O43)</f>
        <v>179977.88140558501</v>
      </c>
      <c r="P11" s="7"/>
      <c r="Q11" s="7"/>
      <c r="R11" s="7"/>
      <c r="S11" s="9">
        <f t="shared" ref="S11:U11" si="1">SUM(S12,S39,S43)</f>
        <v>205175.40678526269</v>
      </c>
      <c r="T11" s="9">
        <f t="shared" si="1"/>
        <v>243205.1518361147</v>
      </c>
      <c r="U11" s="9">
        <f t="shared" si="1"/>
        <v>208849.88338449292</v>
      </c>
      <c r="V11" s="7"/>
      <c r="W11" s="7"/>
      <c r="X11" s="7"/>
      <c r="Y11" s="9">
        <f t="shared" ref="Y11:AA11" si="2">SUM(Y12,Y39,Y43)</f>
        <v>209971.01587101456</v>
      </c>
      <c r="Z11" s="9">
        <f t="shared" si="2"/>
        <v>166094.36546295637</v>
      </c>
      <c r="AA11" s="9">
        <f t="shared" si="2"/>
        <v>166826.22046120086</v>
      </c>
      <c r="AB11" s="7"/>
      <c r="AC11" s="7"/>
      <c r="AD11" s="7"/>
      <c r="AE11" s="9">
        <f t="shared" ref="AE11:AI11" si="3">SUM(AE12,AE39,AE43)</f>
        <v>163960.37413648283</v>
      </c>
      <c r="AF11" s="9">
        <f t="shared" si="3"/>
        <v>121704.95792668923</v>
      </c>
      <c r="AG11" s="9">
        <f t="shared" si="3"/>
        <v>82186.738160033608</v>
      </c>
      <c r="AH11" s="9">
        <f t="shared" si="3"/>
        <v>2106925.5</v>
      </c>
      <c r="AI11" s="9">
        <f t="shared" si="3"/>
        <v>747958.55249999999</v>
      </c>
      <c r="AJ11" s="9"/>
      <c r="AK11" s="9"/>
      <c r="AL11" s="9">
        <f>SUM(AL12,AL39,AL43)</f>
        <v>1358966.9475</v>
      </c>
      <c r="AM11" s="9"/>
      <c r="AN11" s="9"/>
      <c r="AO11" s="9"/>
      <c r="AP11" s="47" t="s">
        <v>3190</v>
      </c>
      <c r="AQ11" s="47"/>
    </row>
    <row r="12" spans="1:43" ht="60">
      <c r="A12" s="355" t="s">
        <v>44</v>
      </c>
      <c r="B12" s="355" t="s">
        <v>45</v>
      </c>
      <c r="C12" s="356"/>
      <c r="D12" s="355"/>
      <c r="E12" s="355"/>
      <c r="F12" s="355"/>
      <c r="G12" s="12">
        <f t="shared" ref="G12:G72" si="4">AH12/AH$73*100</f>
        <v>31.752032186913503</v>
      </c>
      <c r="H12" s="12"/>
      <c r="I12" s="12"/>
      <c r="J12" s="11"/>
      <c r="K12" s="11"/>
      <c r="L12" s="11"/>
      <c r="M12" s="13">
        <f t="shared" ref="M12:N12" si="5">SUM(M13,M25)</f>
        <v>120310.38380968073</v>
      </c>
      <c r="N12" s="13">
        <f t="shared" si="5"/>
        <v>188225.23752903796</v>
      </c>
      <c r="O12" s="13">
        <f>SUM(O13,O25)</f>
        <v>149882.6606349544</v>
      </c>
      <c r="P12" s="11"/>
      <c r="Q12" s="11"/>
      <c r="R12" s="11"/>
      <c r="S12" s="13">
        <f t="shared" ref="S12:U12" si="6">SUM(S13,S25)</f>
        <v>176654.08109377086</v>
      </c>
      <c r="T12" s="13">
        <f t="shared" si="6"/>
        <v>213620.40695457024</v>
      </c>
      <c r="U12" s="13">
        <f t="shared" si="6"/>
        <v>176843.87184916885</v>
      </c>
      <c r="V12" s="11"/>
      <c r="W12" s="11"/>
      <c r="X12" s="11"/>
      <c r="Y12" s="13">
        <f t="shared" ref="Y12:AA12" si="7">SUM(Y13,Y25)</f>
        <v>175747.76957687884</v>
      </c>
      <c r="Z12" s="13">
        <f t="shared" si="7"/>
        <v>136828.57406473768</v>
      </c>
      <c r="AA12" s="13">
        <f t="shared" si="7"/>
        <v>133081.02534165338</v>
      </c>
      <c r="AB12" s="11"/>
      <c r="AC12" s="11"/>
      <c r="AD12" s="11"/>
      <c r="AE12" s="13">
        <f t="shared" ref="AE12:AI12" si="8">SUM(AE13,AE25)</f>
        <v>137296.11339883532</v>
      </c>
      <c r="AF12" s="13">
        <f t="shared" si="8"/>
        <v>98037.243252353801</v>
      </c>
      <c r="AG12" s="13">
        <f t="shared" si="8"/>
        <v>69465.132494357909</v>
      </c>
      <c r="AH12" s="13">
        <f t="shared" si="8"/>
        <v>1775992.5</v>
      </c>
      <c r="AI12" s="13">
        <f t="shared" si="8"/>
        <v>630477.33749999991</v>
      </c>
      <c r="AJ12" s="13"/>
      <c r="AK12" s="13"/>
      <c r="AL12" s="13">
        <f>SUM(AL13,AL25)</f>
        <v>1145515.1625000001</v>
      </c>
      <c r="AM12" s="13"/>
      <c r="AN12" s="13"/>
      <c r="AO12" s="13"/>
      <c r="AP12" s="355" t="s">
        <v>3190</v>
      </c>
      <c r="AQ12" s="355"/>
    </row>
    <row r="13" spans="1:43" ht="30">
      <c r="A13" s="363" t="s">
        <v>3191</v>
      </c>
      <c r="B13" s="363" t="s">
        <v>414</v>
      </c>
      <c r="C13" s="364"/>
      <c r="D13" s="363"/>
      <c r="E13" s="363"/>
      <c r="F13" s="363"/>
      <c r="G13" s="16">
        <f t="shared" si="4"/>
        <v>10.58926699973974</v>
      </c>
      <c r="H13" s="16">
        <f>G13</f>
        <v>10.58926699973974</v>
      </c>
      <c r="I13" s="16"/>
      <c r="J13" s="15"/>
      <c r="K13" s="15"/>
      <c r="L13" s="15"/>
      <c r="M13" s="17">
        <f t="shared" ref="M13:N13" si="9">SUM(M14,M17,M21)</f>
        <v>39284.322474381421</v>
      </c>
      <c r="N13" s="17">
        <f t="shared" si="9"/>
        <v>39428.368853995489</v>
      </c>
      <c r="O13" s="17">
        <f>SUM(O14,O17,O21)</f>
        <v>47155.91473337177</v>
      </c>
      <c r="P13" s="15"/>
      <c r="Q13" s="15"/>
      <c r="R13" s="15"/>
      <c r="S13" s="17">
        <f t="shared" ref="S13:U13" si="10">SUM(S14,S17,S21)</f>
        <v>88540.344130324389</v>
      </c>
      <c r="T13" s="17">
        <f t="shared" si="10"/>
        <v>116097.70496584827</v>
      </c>
      <c r="U13" s="17">
        <f t="shared" si="10"/>
        <v>64773.386506654628</v>
      </c>
      <c r="V13" s="15"/>
      <c r="W13" s="15"/>
      <c r="X13" s="15"/>
      <c r="Y13" s="17">
        <f>SUM(Y14,Y17,Y21)</f>
        <v>55751.176516844724</v>
      </c>
      <c r="Z13" s="17">
        <f>SUM(Z14,Z17,Z21)</f>
        <v>25193.194974054073</v>
      </c>
      <c r="AA13" s="17">
        <f>SUM(AA14,AA17,AA21)</f>
        <v>39906.299958367788</v>
      </c>
      <c r="AB13" s="15"/>
      <c r="AC13" s="15"/>
      <c r="AD13" s="15"/>
      <c r="AE13" s="17">
        <f t="shared" ref="AE13:AL13" si="11">SUM(AE14,AE17,AE21)</f>
        <v>27867.42017340078</v>
      </c>
      <c r="AF13" s="17">
        <f t="shared" si="11"/>
        <v>28311.515615171236</v>
      </c>
      <c r="AG13" s="17">
        <f t="shared" si="11"/>
        <v>19981.851097585415</v>
      </c>
      <c r="AH13" s="17">
        <f t="shared" si="11"/>
        <v>592291.5</v>
      </c>
      <c r="AI13" s="17">
        <f t="shared" si="11"/>
        <v>210263.48249999998</v>
      </c>
      <c r="AJ13" s="17"/>
      <c r="AK13" s="17"/>
      <c r="AL13" s="17">
        <f t="shared" si="11"/>
        <v>382028.01750000002</v>
      </c>
      <c r="AM13" s="17"/>
      <c r="AN13" s="17"/>
      <c r="AO13" s="17"/>
      <c r="AP13" s="363" t="s">
        <v>3190</v>
      </c>
      <c r="AQ13" s="363"/>
    </row>
    <row r="14" spans="1:43" ht="90">
      <c r="A14" s="371" t="s">
        <v>3192</v>
      </c>
      <c r="B14" s="371" t="s">
        <v>426</v>
      </c>
      <c r="C14" s="372"/>
      <c r="D14" s="371" t="s">
        <v>445</v>
      </c>
      <c r="E14" s="371" t="s">
        <v>3193</v>
      </c>
      <c r="F14" s="371" t="s">
        <v>421</v>
      </c>
      <c r="G14" s="20">
        <f t="shared" si="4"/>
        <v>0.88178411760790709</v>
      </c>
      <c r="H14" s="20"/>
      <c r="I14" s="20"/>
      <c r="J14" s="19"/>
      <c r="K14" s="19"/>
      <c r="L14" s="19"/>
      <c r="M14" s="21"/>
      <c r="N14" s="21"/>
      <c r="O14" s="21">
        <f>SUM(O15,O16)</f>
        <v>7817.712315462315</v>
      </c>
      <c r="P14" s="19"/>
      <c r="Q14" s="19"/>
      <c r="R14" s="19"/>
      <c r="S14" s="21">
        <f t="shared" ref="S14:U14" si="12">SUM(S15,S16)</f>
        <v>11703.576923076922</v>
      </c>
      <c r="T14" s="21">
        <f t="shared" si="12"/>
        <v>10562.622377622376</v>
      </c>
      <c r="U14" s="21">
        <f t="shared" si="12"/>
        <v>9788.5514763014762</v>
      </c>
      <c r="V14" s="19"/>
      <c r="W14" s="19"/>
      <c r="X14" s="19"/>
      <c r="Y14" s="21">
        <f>SUM(Y15,Y16)</f>
        <v>7648.742812742812</v>
      </c>
      <c r="Z14" s="21"/>
      <c r="AA14" s="21">
        <f>SUM(AA15,AA16)</f>
        <v>1799.7940947940947</v>
      </c>
      <c r="AB14" s="19"/>
      <c r="AC14" s="19"/>
      <c r="AD14" s="19"/>
      <c r="AE14" s="21"/>
      <c r="AF14" s="21"/>
      <c r="AG14" s="21"/>
      <c r="AH14" s="21">
        <f t="shared" ref="AH14:AI14" si="13">SUM(AH15,AH16)</f>
        <v>49321</v>
      </c>
      <c r="AI14" s="21">
        <f t="shared" si="13"/>
        <v>17508.955000000002</v>
      </c>
      <c r="AJ14" s="21"/>
      <c r="AK14" s="21"/>
      <c r="AL14" s="21">
        <f>SUM(AL15,AL16)</f>
        <v>31812.045000000002</v>
      </c>
      <c r="AM14" s="21"/>
      <c r="AN14" s="21"/>
      <c r="AO14" s="21"/>
      <c r="AP14" s="371" t="s">
        <v>3190</v>
      </c>
      <c r="AQ14" s="371"/>
    </row>
    <row r="15" spans="1:43" ht="15">
      <c r="A15" s="2135" t="s">
        <v>3194</v>
      </c>
      <c r="B15" s="2135" t="s">
        <v>3195</v>
      </c>
      <c r="C15" s="1281">
        <f>SUM(J15,K15,L15,P15,Q15,R15,V15,W15,X15,AB15,AC15,AD15)</f>
        <v>117</v>
      </c>
      <c r="D15" s="379" t="s">
        <v>419</v>
      </c>
      <c r="E15" s="2135" t="s">
        <v>3196</v>
      </c>
      <c r="F15" s="2135" t="s">
        <v>600</v>
      </c>
      <c r="G15" s="24">
        <f t="shared" si="4"/>
        <v>0.582605767127367</v>
      </c>
      <c r="H15" s="24"/>
      <c r="I15" s="24">
        <f>AH15/AH$14*100</f>
        <v>66.071247541615136</v>
      </c>
      <c r="J15" s="23"/>
      <c r="K15" s="23"/>
      <c r="L15" s="23">
        <v>11</v>
      </c>
      <c r="M15" s="26"/>
      <c r="N15" s="26"/>
      <c r="O15" s="26">
        <f>($AH$15/$C$15)*L15</f>
        <v>3063.7350427350425</v>
      </c>
      <c r="P15" s="23">
        <v>27</v>
      </c>
      <c r="Q15" s="23">
        <v>27</v>
      </c>
      <c r="R15" s="23">
        <v>29</v>
      </c>
      <c r="S15" s="26">
        <f>($AH$15/$C$15)*P15</f>
        <v>7520.076923076922</v>
      </c>
      <c r="T15" s="26">
        <f t="shared" ref="T15:U15" si="14">($AH$15/$C$15)*Q15</f>
        <v>7520.076923076922</v>
      </c>
      <c r="U15" s="26">
        <f t="shared" si="14"/>
        <v>8077.1196581196573</v>
      </c>
      <c r="V15" s="23">
        <v>22</v>
      </c>
      <c r="W15" s="23"/>
      <c r="X15" s="23">
        <v>1</v>
      </c>
      <c r="Y15" s="26">
        <f>($AH$15/$C$15)*V15</f>
        <v>6127.470085470085</v>
      </c>
      <c r="Z15" s="26"/>
      <c r="AA15" s="26">
        <f>($AH$15/$C$15)*X15</f>
        <v>278.52136752136749</v>
      </c>
      <c r="AB15" s="23"/>
      <c r="AC15" s="23"/>
      <c r="AD15" s="23"/>
      <c r="AE15" s="26"/>
      <c r="AF15" s="26"/>
      <c r="AG15" s="26"/>
      <c r="AH15" s="26">
        <v>32587</v>
      </c>
      <c r="AI15" s="26">
        <v>11568.385</v>
      </c>
      <c r="AJ15" s="26"/>
      <c r="AK15" s="26"/>
      <c r="AL15" s="26">
        <v>21018.615000000002</v>
      </c>
      <c r="AM15" s="26"/>
      <c r="AN15" s="26"/>
      <c r="AO15" s="26"/>
      <c r="AP15" s="2135" t="s">
        <v>3197</v>
      </c>
      <c r="AQ15" s="2135" t="s">
        <v>3198</v>
      </c>
    </row>
    <row r="16" spans="1:43" ht="15">
      <c r="A16" s="2060"/>
      <c r="B16" s="2060"/>
      <c r="C16" s="1281">
        <f>SUM(J16,K16,L16,P16,Q16,R16,V16,W16,X16,AB16,AC16,AD16)</f>
        <v>88</v>
      </c>
      <c r="D16" s="379" t="s">
        <v>424</v>
      </c>
      <c r="E16" s="2060"/>
      <c r="F16" s="2060"/>
      <c r="G16" s="24">
        <f t="shared" si="4"/>
        <v>0.29917835048054009</v>
      </c>
      <c r="H16" s="24"/>
      <c r="I16" s="24">
        <f>AH16/AH$14*100</f>
        <v>33.928752458384864</v>
      </c>
      <c r="J16" s="23"/>
      <c r="K16" s="23"/>
      <c r="L16" s="23">
        <v>25</v>
      </c>
      <c r="M16" s="26"/>
      <c r="N16" s="26"/>
      <c r="O16" s="26">
        <f t="shared" ref="O16" si="15">($AH$16/$C$16)*L16</f>
        <v>4753.977272727273</v>
      </c>
      <c r="P16" s="23">
        <v>22</v>
      </c>
      <c r="Q16" s="23">
        <v>16</v>
      </c>
      <c r="R16" s="23">
        <v>9</v>
      </c>
      <c r="S16" s="26">
        <f t="shared" ref="S16:U16" si="16">($AH$16/$C$16)*P16</f>
        <v>4183.5</v>
      </c>
      <c r="T16" s="26">
        <f t="shared" si="16"/>
        <v>3042.5454545454545</v>
      </c>
      <c r="U16" s="26">
        <f t="shared" si="16"/>
        <v>1711.4318181818182</v>
      </c>
      <c r="V16" s="23">
        <v>8</v>
      </c>
      <c r="W16" s="23"/>
      <c r="X16" s="23">
        <v>8</v>
      </c>
      <c r="Y16" s="26">
        <f t="shared" ref="Y16" si="17">($AH$16/$C$16)*V16</f>
        <v>1521.2727272727273</v>
      </c>
      <c r="Z16" s="26"/>
      <c r="AA16" s="26">
        <f t="shared" ref="AA16" si="18">($AH$16/$C$16)*X16</f>
        <v>1521.2727272727273</v>
      </c>
      <c r="AB16" s="23"/>
      <c r="AC16" s="23"/>
      <c r="AD16" s="23"/>
      <c r="AE16" s="26"/>
      <c r="AF16" s="26"/>
      <c r="AG16" s="26"/>
      <c r="AH16" s="26">
        <v>16734</v>
      </c>
      <c r="AI16" s="26">
        <v>5940.57</v>
      </c>
      <c r="AJ16" s="26"/>
      <c r="AK16" s="26"/>
      <c r="AL16" s="26">
        <v>10793.43</v>
      </c>
      <c r="AM16" s="26"/>
      <c r="AN16" s="26"/>
      <c r="AO16" s="26"/>
      <c r="AP16" s="2060"/>
      <c r="AQ16" s="2060"/>
    </row>
    <row r="17" spans="1:43" ht="75">
      <c r="A17" s="371" t="s">
        <v>3199</v>
      </c>
      <c r="B17" s="371" t="s">
        <v>450</v>
      </c>
      <c r="C17" s="372"/>
      <c r="D17" s="610" t="s">
        <v>445</v>
      </c>
      <c r="E17" s="610" t="s">
        <v>453</v>
      </c>
      <c r="F17" s="610" t="s">
        <v>454</v>
      </c>
      <c r="G17" s="20">
        <f t="shared" si="4"/>
        <v>7.0621305293081109</v>
      </c>
      <c r="H17" s="20"/>
      <c r="I17" s="20"/>
      <c r="J17" s="19"/>
      <c r="K17" s="19"/>
      <c r="L17" s="19"/>
      <c r="M17" s="21">
        <f>SUM(M18,M19,M20)</f>
        <v>28746.898142037207</v>
      </c>
      <c r="N17" s="21">
        <f t="shared" ref="N17:O17" si="19">SUM(N18,N19,N20)</f>
        <v>32696.125530553352</v>
      </c>
      <c r="O17" s="21">
        <f t="shared" si="19"/>
        <v>34069.490251737356</v>
      </c>
      <c r="P17" s="19"/>
      <c r="Q17" s="19"/>
      <c r="R17" s="19"/>
      <c r="S17" s="21">
        <f t="shared" ref="S17:U17" si="20">SUM(S18,S19,S20)</f>
        <v>68348.286495081295</v>
      </c>
      <c r="T17" s="21">
        <f t="shared" si="20"/>
        <v>63608.968961200109</v>
      </c>
      <c r="U17" s="21">
        <f t="shared" si="20"/>
        <v>39178.698531836824</v>
      </c>
      <c r="V17" s="19"/>
      <c r="W17" s="19"/>
      <c r="X17" s="19"/>
      <c r="Y17" s="21">
        <f t="shared" ref="Y17:AA17" si="21">SUM(Y18,Y19,Y20)</f>
        <v>38819.908298943272</v>
      </c>
      <c r="Z17" s="21">
        <f t="shared" si="21"/>
        <v>15826.595567525881</v>
      </c>
      <c r="AA17" s="21">
        <f t="shared" si="21"/>
        <v>26983.669068321466</v>
      </c>
      <c r="AB17" s="19"/>
      <c r="AC17" s="19"/>
      <c r="AD17" s="19"/>
      <c r="AE17" s="21">
        <f t="shared" ref="AE17:AI17" si="22">SUM(AE18,AE19,AE20)</f>
        <v>18208.114535418583</v>
      </c>
      <c r="AF17" s="21">
        <f t="shared" si="22"/>
        <v>14552.096480596612</v>
      </c>
      <c r="AG17" s="21">
        <f t="shared" si="22"/>
        <v>13968.648136748032</v>
      </c>
      <c r="AH17" s="21">
        <f t="shared" si="22"/>
        <v>395007.5</v>
      </c>
      <c r="AI17" s="21">
        <f t="shared" si="22"/>
        <v>140227.66250000001</v>
      </c>
      <c r="AJ17" s="21"/>
      <c r="AK17" s="21"/>
      <c r="AL17" s="21">
        <f t="shared" ref="AL17" si="23">SUM(AL18,AL19,AL20)</f>
        <v>254779.83749999999</v>
      </c>
      <c r="AM17" s="21"/>
      <c r="AN17" s="21"/>
      <c r="AO17" s="21"/>
      <c r="AP17" s="371" t="s">
        <v>3190</v>
      </c>
      <c r="AQ17" s="371"/>
    </row>
    <row r="18" spans="1:43" ht="45">
      <c r="A18" s="379" t="s">
        <v>3200</v>
      </c>
      <c r="B18" s="379" t="s">
        <v>3201</v>
      </c>
      <c r="C18" s="1282">
        <f>SUM(J18,K18,L18,P18,Q18,R18,V18,W18,X18,AB18,AC18,AD18)</f>
        <v>1087</v>
      </c>
      <c r="D18" s="615" t="s">
        <v>1950</v>
      </c>
      <c r="E18" s="615" t="s">
        <v>3202</v>
      </c>
      <c r="F18" s="615" t="s">
        <v>3203</v>
      </c>
      <c r="G18" s="24">
        <f t="shared" si="4"/>
        <v>3.9758950569164377</v>
      </c>
      <c r="H18" s="24"/>
      <c r="I18" s="24">
        <f>AH18/AH$17*100</f>
        <v>56.29880445308001</v>
      </c>
      <c r="J18" s="23">
        <v>101</v>
      </c>
      <c r="K18" s="23">
        <v>111</v>
      </c>
      <c r="L18" s="23">
        <v>97</v>
      </c>
      <c r="M18" s="26">
        <f>($AH$18/$C$18)*J18</f>
        <v>20663.141214351428</v>
      </c>
      <c r="N18" s="26">
        <f t="shared" ref="N18:O18" si="24">($AH$18/$C$18)*K18</f>
        <v>22708.996780128797</v>
      </c>
      <c r="O18" s="26">
        <f t="shared" si="24"/>
        <v>19844.798988040478</v>
      </c>
      <c r="P18" s="23">
        <v>162</v>
      </c>
      <c r="Q18" s="23">
        <v>162</v>
      </c>
      <c r="R18" s="23">
        <v>59</v>
      </c>
      <c r="S18" s="26">
        <f t="shared" ref="S18:U18" si="25">($AH$18/$C$18)*P18</f>
        <v>33142.860165593374</v>
      </c>
      <c r="T18" s="26">
        <f t="shared" si="25"/>
        <v>33142.860165593374</v>
      </c>
      <c r="U18" s="26">
        <f t="shared" si="25"/>
        <v>12070.547838086477</v>
      </c>
      <c r="V18" s="23">
        <v>78</v>
      </c>
      <c r="W18" s="23">
        <v>40</v>
      </c>
      <c r="X18" s="23">
        <v>60</v>
      </c>
      <c r="Y18" s="26">
        <f t="shared" ref="Y18:AA18" si="26">($AH$18/$C$18)*V18</f>
        <v>15957.673413063478</v>
      </c>
      <c r="Z18" s="26">
        <f t="shared" si="26"/>
        <v>8183.4222631094763</v>
      </c>
      <c r="AA18" s="26">
        <f t="shared" si="26"/>
        <v>12275.133394664213</v>
      </c>
      <c r="AB18" s="23">
        <v>89</v>
      </c>
      <c r="AC18" s="23">
        <v>64</v>
      </c>
      <c r="AD18" s="23">
        <v>64</v>
      </c>
      <c r="AE18" s="26">
        <f t="shared" ref="AE18:AG18" si="27">($AH$18/$C$18)*AB18</f>
        <v>18208.114535418583</v>
      </c>
      <c r="AF18" s="26">
        <f t="shared" si="27"/>
        <v>13093.475620975161</v>
      </c>
      <c r="AG18" s="26">
        <f t="shared" si="27"/>
        <v>13093.475620975161</v>
      </c>
      <c r="AH18" s="26">
        <v>222384.5</v>
      </c>
      <c r="AI18" s="26">
        <v>78946.497499999998</v>
      </c>
      <c r="AJ18" s="26"/>
      <c r="AK18" s="26"/>
      <c r="AL18" s="26">
        <v>143438.0025</v>
      </c>
      <c r="AM18" s="26"/>
      <c r="AN18" s="26"/>
      <c r="AO18" s="26"/>
      <c r="AP18" s="379" t="s">
        <v>3204</v>
      </c>
      <c r="AQ18" s="379"/>
    </row>
    <row r="19" spans="1:43" ht="45">
      <c r="A19" s="379" t="s">
        <v>3205</v>
      </c>
      <c r="B19" s="379" t="s">
        <v>3206</v>
      </c>
      <c r="C19" s="1282">
        <f t="shared" ref="C19:C24" si="28">SUM(J19,K19,L19,P19,Q19,R19,V19,W19,X19,AB19,AC19,AD19)</f>
        <v>5072</v>
      </c>
      <c r="D19" s="615" t="s">
        <v>899</v>
      </c>
      <c r="E19" s="615" t="s">
        <v>3207</v>
      </c>
      <c r="F19" s="615" t="s">
        <v>3208</v>
      </c>
      <c r="G19" s="24">
        <f t="shared" si="4"/>
        <v>2.6453434135877205</v>
      </c>
      <c r="H19" s="24"/>
      <c r="I19" s="24">
        <f t="shared" ref="I19:I20" si="29">AH19/AH$17*100</f>
        <v>37.458149528806416</v>
      </c>
      <c r="J19" s="23">
        <v>249</v>
      </c>
      <c r="K19" s="23">
        <v>342</v>
      </c>
      <c r="L19" s="23">
        <v>395</v>
      </c>
      <c r="M19" s="26">
        <f>($AH$19/$C$19)*J19</f>
        <v>7263.9318809148272</v>
      </c>
      <c r="N19" s="26">
        <f t="shared" ref="N19:O19" si="30">($AH$19/$C$19)*K19</f>
        <v>9976.9666798107264</v>
      </c>
      <c r="O19" s="26">
        <f t="shared" si="30"/>
        <v>11523.104791009464</v>
      </c>
      <c r="P19" s="23">
        <v>894</v>
      </c>
      <c r="Q19" s="23">
        <v>666</v>
      </c>
      <c r="R19" s="23">
        <v>903</v>
      </c>
      <c r="S19" s="26">
        <f t="shared" ref="S19:U19" si="31">($AH$19/$C$19)*P19</f>
        <v>26080.140970031545</v>
      </c>
      <c r="T19" s="26">
        <f t="shared" si="31"/>
        <v>19428.82985015773</v>
      </c>
      <c r="U19" s="26">
        <f t="shared" si="31"/>
        <v>26342.692724763408</v>
      </c>
      <c r="V19" s="23">
        <v>777</v>
      </c>
      <c r="W19" s="23">
        <v>262</v>
      </c>
      <c r="X19" s="23">
        <v>504</v>
      </c>
      <c r="Y19" s="26">
        <f t="shared" ref="Y19:AA19" si="32">($AH$19/$C$19)*V19</f>
        <v>22666.968158517349</v>
      </c>
      <c r="Z19" s="26">
        <f t="shared" si="32"/>
        <v>7643.1733044164039</v>
      </c>
      <c r="AA19" s="26">
        <f t="shared" si="32"/>
        <v>14702.898264984227</v>
      </c>
      <c r="AB19" s="23"/>
      <c r="AC19" s="23">
        <v>50</v>
      </c>
      <c r="AD19" s="23">
        <v>30</v>
      </c>
      <c r="AE19" s="26"/>
      <c r="AF19" s="26">
        <f t="shared" ref="AF19:AG19" si="33">($AH$19/$C$19)*AC19</f>
        <v>1458.6208596214512</v>
      </c>
      <c r="AG19" s="26">
        <f t="shared" si="33"/>
        <v>875.17251577287072</v>
      </c>
      <c r="AH19" s="26">
        <v>147962.5</v>
      </c>
      <c r="AI19" s="26">
        <v>52526.6875</v>
      </c>
      <c r="AJ19" s="26"/>
      <c r="AK19" s="26"/>
      <c r="AL19" s="26">
        <v>95435.8125</v>
      </c>
      <c r="AM19" s="26"/>
      <c r="AN19" s="26"/>
      <c r="AO19" s="26"/>
      <c r="AP19" s="379" t="s">
        <v>3204</v>
      </c>
      <c r="AQ19" s="379"/>
    </row>
    <row r="20" spans="1:43" ht="45">
      <c r="A20" s="379" t="s">
        <v>3209</v>
      </c>
      <c r="B20" s="379" t="s">
        <v>3210</v>
      </c>
      <c r="C20" s="1282">
        <f t="shared" si="28"/>
        <v>97068.800000000003</v>
      </c>
      <c r="D20" s="615" t="s">
        <v>661</v>
      </c>
      <c r="E20" s="615" t="s">
        <v>3211</v>
      </c>
      <c r="F20" s="615" t="s">
        <v>3212</v>
      </c>
      <c r="G20" s="24">
        <f t="shared" si="4"/>
        <v>0.44089205880395355</v>
      </c>
      <c r="H20" s="24"/>
      <c r="I20" s="24">
        <f t="shared" si="29"/>
        <v>6.2430460181135805</v>
      </c>
      <c r="J20" s="23">
        <v>3227</v>
      </c>
      <c r="K20" s="23">
        <v>40</v>
      </c>
      <c r="L20" s="23">
        <v>10634</v>
      </c>
      <c r="M20" s="26">
        <f>($AH$20/$C$20)*J20</f>
        <v>819.82504677095017</v>
      </c>
      <c r="N20" s="26">
        <f t="shared" ref="N20:O20" si="34">($AH$20/$C$20)*K20</f>
        <v>10.162070613832663</v>
      </c>
      <c r="O20" s="26">
        <f t="shared" si="34"/>
        <v>2701.5864726874133</v>
      </c>
      <c r="P20" s="23">
        <v>35919</v>
      </c>
      <c r="Q20" s="23">
        <v>43445</v>
      </c>
      <c r="R20" s="23">
        <v>3013</v>
      </c>
      <c r="S20" s="26">
        <f t="shared" ref="S20:U20" si="35">($AH$20/$C$20)*P20</f>
        <v>9125.2853594563858</v>
      </c>
      <c r="T20" s="26">
        <f t="shared" si="35"/>
        <v>11037.278945449001</v>
      </c>
      <c r="U20" s="26">
        <f t="shared" si="35"/>
        <v>765.45796898694539</v>
      </c>
      <c r="V20" s="23">
        <v>768.61</v>
      </c>
      <c r="W20" s="23"/>
      <c r="X20" s="23">
        <v>22.19</v>
      </c>
      <c r="Y20" s="26">
        <f t="shared" ref="Y20" si="36">($AH$20/$C$20)*V20</f>
        <v>195.26672736244808</v>
      </c>
      <c r="Z20" s="26"/>
      <c r="AA20" s="26">
        <f t="shared" ref="AA20" si="37">($AH$20/$C$20)*X20</f>
        <v>5.6374086730236703</v>
      </c>
      <c r="AB20" s="23"/>
      <c r="AC20" s="23"/>
      <c r="AD20" s="23"/>
      <c r="AE20" s="26"/>
      <c r="AF20" s="26"/>
      <c r="AG20" s="26"/>
      <c r="AH20" s="26">
        <v>24660.5</v>
      </c>
      <c r="AI20" s="26">
        <v>8754.4774999999991</v>
      </c>
      <c r="AJ20" s="26"/>
      <c r="AK20" s="26"/>
      <c r="AL20" s="26">
        <v>15906.022500000001</v>
      </c>
      <c r="AM20" s="26"/>
      <c r="AN20" s="26"/>
      <c r="AO20" s="26"/>
      <c r="AP20" s="379" t="s">
        <v>3204</v>
      </c>
      <c r="AQ20" s="379"/>
    </row>
    <row r="21" spans="1:43" ht="30">
      <c r="A21" s="371" t="s">
        <v>3213</v>
      </c>
      <c r="B21" s="371" t="s">
        <v>3214</v>
      </c>
      <c r="C21" s="372"/>
      <c r="D21" s="371" t="s">
        <v>1950</v>
      </c>
      <c r="E21" s="371" t="s">
        <v>3215</v>
      </c>
      <c r="F21" s="371"/>
      <c r="G21" s="20">
        <f t="shared" si="4"/>
        <v>2.6453523528237213</v>
      </c>
      <c r="H21" s="20"/>
      <c r="I21" s="20"/>
      <c r="J21" s="19"/>
      <c r="K21" s="19"/>
      <c r="L21" s="19"/>
      <c r="M21" s="21">
        <f t="shared" ref="M21:O21" si="38">SUM(M22,M23,M24)</f>
        <v>10537.424332344213</v>
      </c>
      <c r="N21" s="21">
        <f t="shared" si="38"/>
        <v>6732.2433234421369</v>
      </c>
      <c r="O21" s="21">
        <f t="shared" si="38"/>
        <v>5268.7121661721067</v>
      </c>
      <c r="P21" s="19"/>
      <c r="Q21" s="19"/>
      <c r="R21" s="19"/>
      <c r="S21" s="21">
        <f t="shared" ref="S21:U21" si="39">SUM(S22,S23,S24)</f>
        <v>8488.4807121661725</v>
      </c>
      <c r="T21" s="21">
        <f t="shared" si="39"/>
        <v>41926.113627025792</v>
      </c>
      <c r="U21" s="21">
        <f t="shared" si="39"/>
        <v>15806.136498516322</v>
      </c>
      <c r="V21" s="19"/>
      <c r="W21" s="19"/>
      <c r="X21" s="19"/>
      <c r="Y21" s="21">
        <f t="shared" ref="Y21:AA21" si="40">SUM(Y22,Y23,Y24)</f>
        <v>9282.5254051586398</v>
      </c>
      <c r="Z21" s="21">
        <f t="shared" si="40"/>
        <v>9366.5994065281902</v>
      </c>
      <c r="AA21" s="21">
        <f t="shared" si="40"/>
        <v>11122.836795252226</v>
      </c>
      <c r="AB21" s="19"/>
      <c r="AC21" s="19"/>
      <c r="AD21" s="19"/>
      <c r="AE21" s="21">
        <f t="shared" ref="AE21:AI21" si="41">SUM(AE22,AE23,AE24)</f>
        <v>9659.3056379821955</v>
      </c>
      <c r="AF21" s="21">
        <f t="shared" si="41"/>
        <v>13759.419134574626</v>
      </c>
      <c r="AG21" s="21">
        <f t="shared" si="41"/>
        <v>6013.2029608373832</v>
      </c>
      <c r="AH21" s="21">
        <f t="shared" si="41"/>
        <v>147963</v>
      </c>
      <c r="AI21" s="21">
        <f t="shared" si="41"/>
        <v>52526.864999999998</v>
      </c>
      <c r="AJ21" s="21"/>
      <c r="AK21" s="21"/>
      <c r="AL21" s="21">
        <f t="shared" ref="AL21" si="42">SUM(AL22,AL23,AL24)</f>
        <v>95436.135000000009</v>
      </c>
      <c r="AM21" s="21"/>
      <c r="AN21" s="21"/>
      <c r="AO21" s="21"/>
      <c r="AP21" s="371" t="s">
        <v>3190</v>
      </c>
      <c r="AQ21" s="371"/>
    </row>
    <row r="22" spans="1:43" ht="45">
      <c r="A22" s="379" t="s">
        <v>3216</v>
      </c>
      <c r="B22" s="379" t="s">
        <v>3217</v>
      </c>
      <c r="C22" s="1282">
        <f t="shared" si="28"/>
        <v>337</v>
      </c>
      <c r="D22" s="379" t="s">
        <v>1950</v>
      </c>
      <c r="E22" s="379" t="s">
        <v>3215</v>
      </c>
      <c r="F22" s="379" t="s">
        <v>2626</v>
      </c>
      <c r="G22" s="24">
        <f t="shared" si="4"/>
        <v>1.7635682352158142</v>
      </c>
      <c r="H22" s="24"/>
      <c r="I22" s="24">
        <f>AH22/AH$21*100</f>
        <v>66.666666666666657</v>
      </c>
      <c r="J22" s="23">
        <v>36</v>
      </c>
      <c r="K22" s="23">
        <v>23</v>
      </c>
      <c r="L22" s="23">
        <v>18</v>
      </c>
      <c r="M22" s="26">
        <f>($AH$22/$C$22)*J22</f>
        <v>10537.424332344213</v>
      </c>
      <c r="N22" s="26">
        <f t="shared" ref="N22:O22" si="43">($AH$22/$C$22)*K22</f>
        <v>6732.2433234421369</v>
      </c>
      <c r="O22" s="26">
        <f t="shared" si="43"/>
        <v>5268.7121661721067</v>
      </c>
      <c r="P22" s="23">
        <v>29</v>
      </c>
      <c r="Q22" s="23">
        <v>17</v>
      </c>
      <c r="R22" s="23">
        <v>54</v>
      </c>
      <c r="S22" s="26">
        <f t="shared" ref="S22:U22" si="44">($AH$22/$C$22)*P22</f>
        <v>8488.4807121661725</v>
      </c>
      <c r="T22" s="26">
        <f t="shared" si="44"/>
        <v>4976.0059347181013</v>
      </c>
      <c r="U22" s="26">
        <f t="shared" si="44"/>
        <v>15806.136498516322</v>
      </c>
      <c r="V22" s="23">
        <v>30</v>
      </c>
      <c r="W22" s="23">
        <v>32</v>
      </c>
      <c r="X22" s="23">
        <v>38</v>
      </c>
      <c r="Y22" s="26">
        <f t="shared" ref="Y22:AA22" si="45">($AH$22/$C$22)*V22</f>
        <v>8781.1869436201778</v>
      </c>
      <c r="Z22" s="26">
        <f t="shared" si="45"/>
        <v>9366.5994065281902</v>
      </c>
      <c r="AA22" s="26">
        <f t="shared" si="45"/>
        <v>11122.836795252226</v>
      </c>
      <c r="AB22" s="23">
        <v>33</v>
      </c>
      <c r="AC22" s="23">
        <v>20</v>
      </c>
      <c r="AD22" s="23">
        <v>7</v>
      </c>
      <c r="AE22" s="26">
        <f t="shared" ref="AE22:AG22" si="46">($AH$22/$C$22)*AB22</f>
        <v>9659.3056379821955</v>
      </c>
      <c r="AF22" s="26">
        <f t="shared" si="46"/>
        <v>5854.1246290801191</v>
      </c>
      <c r="AG22" s="26">
        <f t="shared" si="46"/>
        <v>2048.9436201780418</v>
      </c>
      <c r="AH22" s="26">
        <v>98642</v>
      </c>
      <c r="AI22" s="26">
        <v>35017.909999999996</v>
      </c>
      <c r="AJ22" s="26"/>
      <c r="AK22" s="26"/>
      <c r="AL22" s="26">
        <v>63624.090000000004</v>
      </c>
      <c r="AM22" s="26"/>
      <c r="AN22" s="26"/>
      <c r="AO22" s="26"/>
      <c r="AP22" s="379" t="s">
        <v>3218</v>
      </c>
      <c r="AQ22" s="379"/>
    </row>
    <row r="23" spans="1:43" ht="15">
      <c r="A23" s="2135" t="s">
        <v>3219</v>
      </c>
      <c r="B23" s="2135" t="s">
        <v>3220</v>
      </c>
      <c r="C23" s="548">
        <f t="shared" si="28"/>
        <v>65</v>
      </c>
      <c r="D23" s="615" t="s">
        <v>419</v>
      </c>
      <c r="E23" s="2135" t="s">
        <v>3221</v>
      </c>
      <c r="F23" s="2135" t="s">
        <v>600</v>
      </c>
      <c r="G23" s="24">
        <f t="shared" si="4"/>
        <v>0.582605767127367</v>
      </c>
      <c r="H23" s="24"/>
      <c r="I23" s="24">
        <f t="shared" ref="I23:I24" si="47">AH23/AH$21*100</f>
        <v>22.023749180538378</v>
      </c>
      <c r="J23" s="23"/>
      <c r="K23" s="23"/>
      <c r="L23" s="23"/>
      <c r="M23" s="26"/>
      <c r="N23" s="26"/>
      <c r="O23" s="26"/>
      <c r="P23" s="23"/>
      <c r="Q23" s="23">
        <v>47</v>
      </c>
      <c r="R23" s="23"/>
      <c r="S23" s="26"/>
      <c r="T23" s="26">
        <f t="shared" ref="T23" si="48">($AH$23/$C$23)*Q23</f>
        <v>23562.907692307694</v>
      </c>
      <c r="U23" s="26"/>
      <c r="V23" s="23">
        <v>1</v>
      </c>
      <c r="W23" s="23"/>
      <c r="X23" s="23"/>
      <c r="Y23" s="26">
        <f t="shared" ref="Y23" si="49">($AH$23/$C$23)*V23</f>
        <v>501.33846153846156</v>
      </c>
      <c r="Z23" s="26"/>
      <c r="AA23" s="26"/>
      <c r="AB23" s="23"/>
      <c r="AC23" s="23">
        <v>11</v>
      </c>
      <c r="AD23" s="23">
        <v>6</v>
      </c>
      <c r="AE23" s="26"/>
      <c r="AF23" s="26">
        <f>($AH$23/$C$23)*AC23</f>
        <v>5514.7230769230773</v>
      </c>
      <c r="AG23" s="26">
        <f>($AH$23/$C$23)*AD23</f>
        <v>3008.0307692307692</v>
      </c>
      <c r="AH23" s="26">
        <v>32587</v>
      </c>
      <c r="AI23" s="26">
        <v>11568.385</v>
      </c>
      <c r="AJ23" s="26"/>
      <c r="AK23" s="26"/>
      <c r="AL23" s="26">
        <v>21018.615000000002</v>
      </c>
      <c r="AM23" s="26"/>
      <c r="AN23" s="26"/>
      <c r="AO23" s="26"/>
      <c r="AP23" s="2135" t="s">
        <v>3218</v>
      </c>
      <c r="AQ23" s="379"/>
    </row>
    <row r="24" spans="1:43" ht="15">
      <c r="A24" s="2060"/>
      <c r="B24" s="2060"/>
      <c r="C24" s="548">
        <f t="shared" si="28"/>
        <v>35</v>
      </c>
      <c r="D24" s="615" t="s">
        <v>424</v>
      </c>
      <c r="E24" s="2060"/>
      <c r="F24" s="2060"/>
      <c r="G24" s="24">
        <f t="shared" si="4"/>
        <v>0.29917835048054009</v>
      </c>
      <c r="H24" s="24"/>
      <c r="I24" s="24">
        <f t="shared" si="47"/>
        <v>11.309584152794956</v>
      </c>
      <c r="J24" s="23"/>
      <c r="K24" s="23"/>
      <c r="L24" s="23"/>
      <c r="M24" s="26"/>
      <c r="N24" s="26"/>
      <c r="O24" s="26"/>
      <c r="P24" s="23"/>
      <c r="Q24" s="23">
        <v>28</v>
      </c>
      <c r="R24" s="23"/>
      <c r="S24" s="26"/>
      <c r="T24" s="26">
        <f t="shared" ref="T24" si="50">($AH$24/$C$24)*Q24</f>
        <v>13387.199999999999</v>
      </c>
      <c r="U24" s="26"/>
      <c r="V24" s="23"/>
      <c r="W24" s="23"/>
      <c r="X24" s="23"/>
      <c r="Y24" s="26"/>
      <c r="Z24" s="26"/>
      <c r="AA24" s="26"/>
      <c r="AB24" s="23"/>
      <c r="AC24" s="23">
        <v>5</v>
      </c>
      <c r="AD24" s="23">
        <v>2</v>
      </c>
      <c r="AE24" s="26"/>
      <c r="AF24" s="26">
        <f>($AH$24/$C$24)*AC24</f>
        <v>2390.5714285714284</v>
      </c>
      <c r="AG24" s="26">
        <f>($AH$24/$C$24)*AD24</f>
        <v>956.2285714285714</v>
      </c>
      <c r="AH24" s="26">
        <v>16734</v>
      </c>
      <c r="AI24" s="26">
        <v>5940.57</v>
      </c>
      <c r="AJ24" s="26"/>
      <c r="AK24" s="26"/>
      <c r="AL24" s="26">
        <v>10793.43</v>
      </c>
      <c r="AM24" s="26"/>
      <c r="AN24" s="26"/>
      <c r="AO24" s="26"/>
      <c r="AP24" s="2060"/>
      <c r="AQ24" s="379"/>
    </row>
    <row r="25" spans="1:43" ht="30">
      <c r="A25" s="363" t="s">
        <v>3222</v>
      </c>
      <c r="B25" s="363" t="s">
        <v>473</v>
      </c>
      <c r="C25" s="364"/>
      <c r="D25" s="363"/>
      <c r="E25" s="363"/>
      <c r="F25" s="363"/>
      <c r="G25" s="16">
        <f t="shared" si="4"/>
        <v>21.162765187173761</v>
      </c>
      <c r="H25" s="16">
        <f>G25</f>
        <v>21.162765187173761</v>
      </c>
      <c r="I25" s="16"/>
      <c r="J25" s="15"/>
      <c r="K25" s="15"/>
      <c r="L25" s="15"/>
      <c r="M25" s="17">
        <f>SUM(M26,M37)</f>
        <v>81026.06133529931</v>
      </c>
      <c r="N25" s="17">
        <f t="shared" ref="N25:O25" si="51">SUM(N26,N37)</f>
        <v>148796.86867504247</v>
      </c>
      <c r="O25" s="17">
        <f t="shared" si="51"/>
        <v>102726.74590158262</v>
      </c>
      <c r="P25" s="15"/>
      <c r="Q25" s="15"/>
      <c r="R25" s="15"/>
      <c r="S25" s="17">
        <f t="shared" ref="S25:U25" si="52">SUM(S26,S37)</f>
        <v>88113.736963446485</v>
      </c>
      <c r="T25" s="17">
        <f t="shared" si="52"/>
        <v>97522.701988721965</v>
      </c>
      <c r="U25" s="17">
        <f t="shared" si="52"/>
        <v>112070.48534251421</v>
      </c>
      <c r="V25" s="15"/>
      <c r="W25" s="15"/>
      <c r="X25" s="15"/>
      <c r="Y25" s="17">
        <f t="shared" ref="Y25:AA25" si="53">SUM(Y26,Y37)</f>
        <v>119996.59306003411</v>
      </c>
      <c r="Z25" s="17">
        <f t="shared" si="53"/>
        <v>111635.37909068361</v>
      </c>
      <c r="AA25" s="17">
        <f t="shared" si="53"/>
        <v>93174.725383285579</v>
      </c>
      <c r="AB25" s="15"/>
      <c r="AC25" s="15"/>
      <c r="AD25" s="15"/>
      <c r="AE25" s="17">
        <f t="shared" ref="AE25:AI25" si="54">SUM(AE26,AE37)</f>
        <v>109428.69322543454</v>
      </c>
      <c r="AF25" s="17">
        <f t="shared" si="54"/>
        <v>69725.727637182557</v>
      </c>
      <c r="AG25" s="17">
        <f t="shared" si="54"/>
        <v>49483.281396772494</v>
      </c>
      <c r="AH25" s="17">
        <f t="shared" si="54"/>
        <v>1183701</v>
      </c>
      <c r="AI25" s="17">
        <f t="shared" si="54"/>
        <v>420213.85499999998</v>
      </c>
      <c r="AJ25" s="17"/>
      <c r="AK25" s="17"/>
      <c r="AL25" s="17">
        <f>SUM(AL26,AL37)</f>
        <v>763487.14500000002</v>
      </c>
      <c r="AM25" s="17"/>
      <c r="AN25" s="17"/>
      <c r="AO25" s="17"/>
      <c r="AP25" s="363" t="s">
        <v>3190</v>
      </c>
      <c r="AQ25" s="363"/>
    </row>
    <row r="26" spans="1:43" ht="45">
      <c r="A26" s="371" t="s">
        <v>3223</v>
      </c>
      <c r="B26" s="371" t="s">
        <v>3224</v>
      </c>
      <c r="C26" s="372"/>
      <c r="D26" s="1141" t="s">
        <v>2306</v>
      </c>
      <c r="E26" s="1141" t="s">
        <v>3225</v>
      </c>
      <c r="F26" s="371"/>
      <c r="G26" s="20">
        <f t="shared" si="4"/>
        <v>19.840097949997904</v>
      </c>
      <c r="H26" s="20"/>
      <c r="I26" s="20"/>
      <c r="J26" s="19"/>
      <c r="K26" s="19"/>
      <c r="L26" s="19"/>
      <c r="M26" s="21">
        <f>SUM(M27,M28,M29,M30,M31,M32,M33,M34,M35,M36)</f>
        <v>81026.06133529931</v>
      </c>
      <c r="N26" s="21">
        <f t="shared" ref="N26:O26" si="55">SUM(N27,N28,N29,N30,N31,N32,N33,N34,N35,N36)</f>
        <v>85384.582960756743</v>
      </c>
      <c r="O26" s="21">
        <f t="shared" si="55"/>
        <v>92158.031615868327</v>
      </c>
      <c r="P26" s="19"/>
      <c r="Q26" s="19"/>
      <c r="R26" s="19"/>
      <c r="S26" s="21">
        <f t="shared" ref="S26:U26" si="56">SUM(S27,S28,S29,S30,S31,S32,S33,S34,S35,S36)</f>
        <v>88113.736963446485</v>
      </c>
      <c r="T26" s="21">
        <f t="shared" si="56"/>
        <v>97522.701988721965</v>
      </c>
      <c r="U26" s="21">
        <f t="shared" si="56"/>
        <v>112070.48534251421</v>
      </c>
      <c r="V26" s="19"/>
      <c r="W26" s="19"/>
      <c r="X26" s="19"/>
      <c r="Y26" s="21">
        <f t="shared" ref="Y26:AA26" si="57">SUM(Y27,Y28,Y29,Y30,Y31,Y32,Y33,Y34,Y35,Y36)</f>
        <v>119996.59306003411</v>
      </c>
      <c r="Z26" s="21">
        <f t="shared" si="57"/>
        <v>111635.37909068361</v>
      </c>
      <c r="AA26" s="21">
        <f t="shared" si="57"/>
        <v>93174.725383285579</v>
      </c>
      <c r="AB26" s="19"/>
      <c r="AC26" s="19"/>
      <c r="AD26" s="19"/>
      <c r="AE26" s="21">
        <f t="shared" ref="AE26:AI26" si="58">SUM(AE27,AE28,AE29,AE30,AE31,AE32,AE33,AE34,AE35,AE36)</f>
        <v>109428.69322543454</v>
      </c>
      <c r="AF26" s="21">
        <f t="shared" si="58"/>
        <v>69725.727637182557</v>
      </c>
      <c r="AG26" s="21">
        <f t="shared" si="58"/>
        <v>49483.281396772494</v>
      </c>
      <c r="AH26" s="21">
        <f t="shared" si="58"/>
        <v>1109720</v>
      </c>
      <c r="AI26" s="21">
        <f t="shared" si="58"/>
        <v>393950.6</v>
      </c>
      <c r="AJ26" s="21"/>
      <c r="AK26" s="21"/>
      <c r="AL26" s="21">
        <f>SUM(AL27,AL28,AL29,AL30,AL31,AL32,AL33,AL34,AL35,AL36)</f>
        <v>715769.4</v>
      </c>
      <c r="AM26" s="21"/>
      <c r="AN26" s="21"/>
      <c r="AO26" s="21"/>
      <c r="AP26" s="371" t="s">
        <v>3190</v>
      </c>
      <c r="AQ26" s="371"/>
    </row>
    <row r="27" spans="1:43" ht="60">
      <c r="A27" s="379" t="s">
        <v>3226</v>
      </c>
      <c r="B27" s="379" t="s">
        <v>3227</v>
      </c>
      <c r="C27" s="1281">
        <f t="shared" ref="C27:C38" si="59">SUM(J27,K27,L27,P27,Q27,R27,V27,W27,X27,AB27,AC27,AD27)</f>
        <v>170</v>
      </c>
      <c r="D27" s="379" t="s">
        <v>252</v>
      </c>
      <c r="E27" s="379" t="s">
        <v>3215</v>
      </c>
      <c r="F27" s="379" t="s">
        <v>3228</v>
      </c>
      <c r="G27" s="24">
        <f t="shared" si="4"/>
        <v>1.3226672371758597</v>
      </c>
      <c r="H27" s="24"/>
      <c r="I27" s="24">
        <f>AH27/AH$26*100</f>
        <v>6.6666366290595827</v>
      </c>
      <c r="J27" s="23">
        <v>25</v>
      </c>
      <c r="K27" s="23">
        <v>19</v>
      </c>
      <c r="L27" s="23">
        <v>13</v>
      </c>
      <c r="M27" s="26">
        <f>($AH$27/$C$27)*J27</f>
        <v>10879.558823529413</v>
      </c>
      <c r="N27" s="26">
        <f>($AH$27/$C$27)*K27</f>
        <v>8268.4647058823539</v>
      </c>
      <c r="O27" s="26">
        <f>($AH$27/$C$27)*L27</f>
        <v>5657.3705882352942</v>
      </c>
      <c r="P27" s="23">
        <v>13</v>
      </c>
      <c r="Q27" s="23">
        <v>19</v>
      </c>
      <c r="R27" s="23">
        <v>15</v>
      </c>
      <c r="S27" s="26">
        <f>($AH$27/$C$27)*P27</f>
        <v>5657.3705882352942</v>
      </c>
      <c r="T27" s="26">
        <f>($AH$27/$C$27)*Q27</f>
        <v>8268.4647058823539</v>
      </c>
      <c r="U27" s="26">
        <f>($AH$27/$C$27)*R27</f>
        <v>6527.7352941176468</v>
      </c>
      <c r="V27" s="23">
        <v>17</v>
      </c>
      <c r="W27" s="23">
        <v>11</v>
      </c>
      <c r="X27" s="23">
        <v>13</v>
      </c>
      <c r="Y27" s="26">
        <f>($AH$27/$C$27)*V27</f>
        <v>7398.1</v>
      </c>
      <c r="Z27" s="26">
        <f>($AH$27/$C$27)*W27</f>
        <v>4787.0058823529416</v>
      </c>
      <c r="AA27" s="26">
        <f>($AH$27/$C$27)*X27</f>
        <v>5657.3705882352942</v>
      </c>
      <c r="AB27" s="23">
        <v>11</v>
      </c>
      <c r="AC27" s="23">
        <v>8</v>
      </c>
      <c r="AD27" s="23">
        <v>6</v>
      </c>
      <c r="AE27" s="26">
        <f>($AH$27/$C$27)*AB27</f>
        <v>4787.0058823529416</v>
      </c>
      <c r="AF27" s="26">
        <f>($AH$27/$C$27)*AC27</f>
        <v>3481.4588235294118</v>
      </c>
      <c r="AG27" s="26">
        <f>($AH$27/$C$27)*AD27</f>
        <v>2611.0941176470587</v>
      </c>
      <c r="AH27" s="26">
        <v>73981</v>
      </c>
      <c r="AI27" s="26">
        <v>26263.254999999997</v>
      </c>
      <c r="AJ27" s="26"/>
      <c r="AK27" s="26"/>
      <c r="AL27" s="26">
        <v>47717.745000000003</v>
      </c>
      <c r="AM27" s="26"/>
      <c r="AN27" s="26"/>
      <c r="AO27" s="26"/>
      <c r="AP27" s="379" t="s">
        <v>3218</v>
      </c>
      <c r="AQ27" s="379"/>
    </row>
    <row r="28" spans="1:43" ht="45">
      <c r="A28" s="379" t="s">
        <v>3229</v>
      </c>
      <c r="B28" s="379" t="s">
        <v>3230</v>
      </c>
      <c r="C28" s="23">
        <f t="shared" si="59"/>
        <v>252</v>
      </c>
      <c r="D28" s="379" t="s">
        <v>3231</v>
      </c>
      <c r="E28" s="379" t="s">
        <v>3232</v>
      </c>
      <c r="F28" s="379" t="s">
        <v>3233</v>
      </c>
      <c r="G28" s="24">
        <f t="shared" si="4"/>
        <v>1.3226672371758597</v>
      </c>
      <c r="H28" s="24"/>
      <c r="I28" s="24">
        <f t="shared" ref="I28:I36" si="60">AH28/AH$26*100</f>
        <v>6.6666366290595827</v>
      </c>
      <c r="J28" s="23">
        <v>23</v>
      </c>
      <c r="K28" s="23">
        <v>11</v>
      </c>
      <c r="L28" s="23">
        <v>7</v>
      </c>
      <c r="M28" s="26">
        <f>($AH$28/$C$28)*J28</f>
        <v>6752.2341269841263</v>
      </c>
      <c r="N28" s="26">
        <f>($AH$28/$C$28)*K28</f>
        <v>3229.3293650793648</v>
      </c>
      <c r="O28" s="26">
        <f>($AH$28/$C$28)*L28</f>
        <v>2055.0277777777778</v>
      </c>
      <c r="P28" s="23">
        <v>26</v>
      </c>
      <c r="Q28" s="23">
        <v>24</v>
      </c>
      <c r="R28" s="23">
        <v>33</v>
      </c>
      <c r="S28" s="26">
        <f>($AH$28/$C$28)*P28</f>
        <v>7632.9603174603171</v>
      </c>
      <c r="T28" s="26">
        <f>($AH$28/$C$28)*Q28</f>
        <v>7045.8095238095229</v>
      </c>
      <c r="U28" s="26">
        <f>($AH$28/$C$28)*R28</f>
        <v>9687.9880952380954</v>
      </c>
      <c r="V28" s="23">
        <v>32</v>
      </c>
      <c r="W28" s="23">
        <v>18</v>
      </c>
      <c r="X28" s="23">
        <v>21</v>
      </c>
      <c r="Y28" s="26">
        <f>($AH$28/$C$28)*V28</f>
        <v>9394.4126984126979</v>
      </c>
      <c r="Z28" s="26">
        <f>($AH$28/$C$28)*W28</f>
        <v>5284.3571428571422</v>
      </c>
      <c r="AA28" s="26">
        <f>($AH$28/$C$28)*X28</f>
        <v>6165.083333333333</v>
      </c>
      <c r="AB28" s="23">
        <v>57</v>
      </c>
      <c r="AC28" s="23"/>
      <c r="AD28" s="23"/>
      <c r="AE28" s="26">
        <f>($AH$28/$C$28)*AB28</f>
        <v>16733.797619047618</v>
      </c>
      <c r="AF28" s="26">
        <f>($AH$28/$C$28)*AC28</f>
        <v>0</v>
      </c>
      <c r="AG28" s="26">
        <f>($AH$28/$C$28)*AD28</f>
        <v>0</v>
      </c>
      <c r="AH28" s="26">
        <v>73981</v>
      </c>
      <c r="AI28" s="26">
        <v>26263.254999999997</v>
      </c>
      <c r="AJ28" s="26"/>
      <c r="AK28" s="26"/>
      <c r="AL28" s="26">
        <v>47717.745000000003</v>
      </c>
      <c r="AM28" s="26"/>
      <c r="AN28" s="26"/>
      <c r="AO28" s="26"/>
      <c r="AP28" s="379" t="s">
        <v>3218</v>
      </c>
      <c r="AQ28" s="379"/>
    </row>
    <row r="29" spans="1:43" ht="15">
      <c r="A29" s="2135" t="s">
        <v>3234</v>
      </c>
      <c r="B29" s="2135" t="s">
        <v>3235</v>
      </c>
      <c r="C29" s="23">
        <v>190</v>
      </c>
      <c r="D29" s="379" t="s">
        <v>419</v>
      </c>
      <c r="E29" s="2135" t="s">
        <v>3221</v>
      </c>
      <c r="F29" s="2135" t="s">
        <v>600</v>
      </c>
      <c r="G29" s="24">
        <f t="shared" si="4"/>
        <v>0.582605767127367</v>
      </c>
      <c r="H29" s="24"/>
      <c r="I29" s="24">
        <f t="shared" si="60"/>
        <v>2.9365065061456943</v>
      </c>
      <c r="J29" s="23"/>
      <c r="K29" s="23"/>
      <c r="L29" s="23">
        <v>12</v>
      </c>
      <c r="M29" s="26"/>
      <c r="N29" s="26"/>
      <c r="O29" s="26">
        <f>($AH$29/$C$29)*L29</f>
        <v>2058.1263157894737</v>
      </c>
      <c r="P29" s="23">
        <v>13</v>
      </c>
      <c r="Q29" s="23">
        <v>3</v>
      </c>
      <c r="R29" s="23">
        <v>42</v>
      </c>
      <c r="S29" s="26">
        <f>($AH$29/$C$29)*P29</f>
        <v>2229.636842105263</v>
      </c>
      <c r="T29" s="26">
        <f>($AH$29/$C$29)*Q29</f>
        <v>514.53157894736842</v>
      </c>
      <c r="U29" s="26">
        <f>($AH$29/$C$29)*R29</f>
        <v>7203.4421052631578</v>
      </c>
      <c r="V29" s="23">
        <v>27</v>
      </c>
      <c r="W29" s="23">
        <v>71</v>
      </c>
      <c r="X29" s="23">
        <v>11</v>
      </c>
      <c r="Y29" s="26">
        <f>($AH$29/$C$29)*V29</f>
        <v>4630.7842105263153</v>
      </c>
      <c r="Z29" s="26">
        <f>($AH$29/$C$29)*W29</f>
        <v>12177.247368421053</v>
      </c>
      <c r="AA29" s="26">
        <f>($AH$29/$C$29)*X29</f>
        <v>1886.6157894736841</v>
      </c>
      <c r="AB29" s="23"/>
      <c r="AC29" s="23">
        <v>6</v>
      </c>
      <c r="AD29" s="23">
        <v>5</v>
      </c>
      <c r="AE29" s="26">
        <f>($AH$29/$C$29)*AB29</f>
        <v>0</v>
      </c>
      <c r="AF29" s="26">
        <f>($AH$29/$C$29)*AC29</f>
        <v>1029.0631578947368</v>
      </c>
      <c r="AG29" s="26">
        <f>($AH$29/$C$29)*AD29</f>
        <v>857.55263157894728</v>
      </c>
      <c r="AH29" s="26">
        <v>32587</v>
      </c>
      <c r="AI29" s="26">
        <v>11568.385</v>
      </c>
      <c r="AJ29" s="26"/>
      <c r="AK29" s="26"/>
      <c r="AL29" s="26">
        <v>21018.615000000002</v>
      </c>
      <c r="AM29" s="26"/>
      <c r="AN29" s="26"/>
      <c r="AO29" s="26"/>
      <c r="AP29" s="2135" t="s">
        <v>3218</v>
      </c>
      <c r="AQ29" s="379"/>
    </row>
    <row r="30" spans="1:43" ht="15">
      <c r="A30" s="2060"/>
      <c r="B30" s="2060"/>
      <c r="C30" s="23">
        <v>120</v>
      </c>
      <c r="D30" s="379" t="s">
        <v>424</v>
      </c>
      <c r="E30" s="2060"/>
      <c r="F30" s="2060"/>
      <c r="G30" s="24">
        <f t="shared" si="4"/>
        <v>0.29917835048054009</v>
      </c>
      <c r="H30" s="24"/>
      <c r="I30" s="24">
        <f t="shared" si="60"/>
        <v>1.5079479508344449</v>
      </c>
      <c r="J30" s="23"/>
      <c r="K30" s="23">
        <v>34</v>
      </c>
      <c r="L30" s="23">
        <v>4</v>
      </c>
      <c r="M30" s="26"/>
      <c r="N30" s="26">
        <f>($AH$30/$C$30)*K30</f>
        <v>4741.2999999999993</v>
      </c>
      <c r="O30" s="26">
        <f>($AH$30/$C$30)*L30</f>
        <v>557.79999999999995</v>
      </c>
      <c r="P30" s="23">
        <v>15</v>
      </c>
      <c r="Q30" s="23">
        <v>9</v>
      </c>
      <c r="R30" s="23">
        <v>18</v>
      </c>
      <c r="S30" s="26">
        <f>($AH$30/$C$30)*P30</f>
        <v>2091.75</v>
      </c>
      <c r="T30" s="26">
        <f>($AH$30/$C$30)*Q30</f>
        <v>1255.05</v>
      </c>
      <c r="U30" s="26">
        <f>($AH$30/$C$30)*R30</f>
        <v>2510.1</v>
      </c>
      <c r="V30" s="23">
        <v>17</v>
      </c>
      <c r="W30" s="23">
        <v>21</v>
      </c>
      <c r="X30" s="23"/>
      <c r="Y30" s="26">
        <f>($AH$30/$C$30)*V30</f>
        <v>2370.6499999999996</v>
      </c>
      <c r="Z30" s="26">
        <f>($AH$30/$C$30)*W30</f>
        <v>2928.45</v>
      </c>
      <c r="AA30" s="26"/>
      <c r="AB30" s="23"/>
      <c r="AC30" s="23">
        <v>1</v>
      </c>
      <c r="AD30" s="23">
        <v>1</v>
      </c>
      <c r="AE30" s="26">
        <f>($AH$30/$C$30)*AB30</f>
        <v>0</v>
      </c>
      <c r="AF30" s="26">
        <f>($AH$30/$C$30)*AC30</f>
        <v>139.44999999999999</v>
      </c>
      <c r="AG30" s="26">
        <f>($AH$30/$C$30)*AD30</f>
        <v>139.44999999999999</v>
      </c>
      <c r="AH30" s="26">
        <v>16734</v>
      </c>
      <c r="AI30" s="26">
        <v>5940.57</v>
      </c>
      <c r="AJ30" s="26"/>
      <c r="AK30" s="26"/>
      <c r="AL30" s="26">
        <v>10793.43</v>
      </c>
      <c r="AM30" s="26"/>
      <c r="AN30" s="26"/>
      <c r="AO30" s="26"/>
      <c r="AP30" s="2060"/>
      <c r="AQ30" s="379"/>
    </row>
    <row r="31" spans="1:43" ht="45">
      <c r="A31" s="379" t="s">
        <v>3236</v>
      </c>
      <c r="B31" s="379" t="s">
        <v>3217</v>
      </c>
      <c r="C31" s="23">
        <f t="shared" si="59"/>
        <v>900</v>
      </c>
      <c r="D31" s="379" t="s">
        <v>1950</v>
      </c>
      <c r="E31" s="379" t="s">
        <v>3215</v>
      </c>
      <c r="F31" s="379" t="s">
        <v>2626</v>
      </c>
      <c r="G31" s="24">
        <f t="shared" si="4"/>
        <v>4.4089116488035343</v>
      </c>
      <c r="H31" s="24"/>
      <c r="I31" s="24">
        <f t="shared" si="60"/>
        <v>22.22222722849007</v>
      </c>
      <c r="J31" s="23">
        <v>62</v>
      </c>
      <c r="K31" s="23">
        <v>86</v>
      </c>
      <c r="L31" s="23">
        <v>109</v>
      </c>
      <c r="M31" s="26">
        <f>($AH$31/$C$31)*J31</f>
        <v>16988.310000000001</v>
      </c>
      <c r="N31" s="26">
        <f>($AH$31/$C$31)*K31</f>
        <v>23564.43</v>
      </c>
      <c r="O31" s="26">
        <f>($AH$31/$C$31)*L31</f>
        <v>29866.544999999998</v>
      </c>
      <c r="P31" s="23">
        <v>68</v>
      </c>
      <c r="Q31" s="23">
        <v>56</v>
      </c>
      <c r="R31" s="23">
        <v>87</v>
      </c>
      <c r="S31" s="26">
        <f>($AH$31/$C$31)*P31</f>
        <v>18632.34</v>
      </c>
      <c r="T31" s="26">
        <f>($AH$31/$C$31)*Q31</f>
        <v>15344.279999999999</v>
      </c>
      <c r="U31" s="26">
        <f>($AH$31/$C$31)*R31</f>
        <v>23838.435000000001</v>
      </c>
      <c r="V31" s="23">
        <v>87</v>
      </c>
      <c r="W31" s="23">
        <v>55</v>
      </c>
      <c r="X31" s="23">
        <v>86</v>
      </c>
      <c r="Y31" s="26">
        <f>($AH$31/$C$31)*V31</f>
        <v>23838.435000000001</v>
      </c>
      <c r="Z31" s="26">
        <f>($AH$31/$C$31)*W31</f>
        <v>15070.275</v>
      </c>
      <c r="AA31" s="26">
        <f>($AH$31/$C$31)*X31</f>
        <v>23564.43</v>
      </c>
      <c r="AB31" s="23">
        <v>79</v>
      </c>
      <c r="AC31" s="23">
        <v>75</v>
      </c>
      <c r="AD31" s="23">
        <v>50</v>
      </c>
      <c r="AE31" s="26">
        <f>($AH$31/$C$31)*AB31</f>
        <v>21646.395</v>
      </c>
      <c r="AF31" s="26">
        <f>($AH$31/$C$31)*AC31</f>
        <v>20550.375</v>
      </c>
      <c r="AG31" s="26">
        <f>($AH$31/$C$31)*AD31</f>
        <v>13700.25</v>
      </c>
      <c r="AH31" s="26">
        <v>246604.5</v>
      </c>
      <c r="AI31" s="26">
        <v>87544.597499999989</v>
      </c>
      <c r="AJ31" s="26"/>
      <c r="AK31" s="26"/>
      <c r="AL31" s="26">
        <v>159059.9025</v>
      </c>
      <c r="AM31" s="26"/>
      <c r="AN31" s="26"/>
      <c r="AO31" s="26"/>
      <c r="AP31" s="379" t="s">
        <v>3218</v>
      </c>
      <c r="AQ31" s="379"/>
    </row>
    <row r="32" spans="1:43" ht="15">
      <c r="A32" s="379" t="s">
        <v>3237</v>
      </c>
      <c r="B32" s="2135" t="s">
        <v>3220</v>
      </c>
      <c r="C32" s="1281">
        <f t="shared" si="59"/>
        <v>215</v>
      </c>
      <c r="D32" s="379" t="s">
        <v>419</v>
      </c>
      <c r="E32" s="2135" t="s">
        <v>3221</v>
      </c>
      <c r="F32" s="2135" t="s">
        <v>600</v>
      </c>
      <c r="G32" s="24">
        <f t="shared" si="4"/>
        <v>0.582605767127367</v>
      </c>
      <c r="H32" s="24"/>
      <c r="I32" s="24">
        <f t="shared" si="60"/>
        <v>2.9365065061456943</v>
      </c>
      <c r="J32" s="23"/>
      <c r="K32" s="23">
        <v>23</v>
      </c>
      <c r="L32" s="23"/>
      <c r="M32" s="26"/>
      <c r="N32" s="26">
        <f>($AH$32/$C$32)*K32</f>
        <v>3486.0511627906981</v>
      </c>
      <c r="O32" s="26"/>
      <c r="P32" s="23">
        <v>7</v>
      </c>
      <c r="Q32" s="23">
        <v>17</v>
      </c>
      <c r="R32" s="23"/>
      <c r="S32" s="26">
        <f>($AH$32/$C$32)*P32</f>
        <v>1060.9720930232559</v>
      </c>
      <c r="T32" s="26">
        <f>($AH$32/$C$32)*Q32</f>
        <v>2576.6465116279069</v>
      </c>
      <c r="U32" s="26"/>
      <c r="V32" s="23">
        <v>74</v>
      </c>
      <c r="W32" s="23">
        <v>71</v>
      </c>
      <c r="X32" s="23">
        <v>23</v>
      </c>
      <c r="Y32" s="26">
        <f>($AH$32/$C$32)*V32</f>
        <v>11215.990697674419</v>
      </c>
      <c r="Z32" s="26">
        <f>($AH$32/$C$32)*W32</f>
        <v>10761.288372093024</v>
      </c>
      <c r="AA32" s="26">
        <f>($AH$32/$C$32)*X32</f>
        <v>3486.0511627906981</v>
      </c>
      <c r="AB32" s="23"/>
      <c r="AC32" s="23"/>
      <c r="AD32" s="23"/>
      <c r="AE32" s="26">
        <f>($AH$32/$C$32)*AB32</f>
        <v>0</v>
      </c>
      <c r="AF32" s="26">
        <f>($AH$32/$C$32)*AC32</f>
        <v>0</v>
      </c>
      <c r="AG32" s="26">
        <f>($AH$32/$C$32)*AD32</f>
        <v>0</v>
      </c>
      <c r="AH32" s="26">
        <v>32587</v>
      </c>
      <c r="AI32" s="26">
        <v>11568.385</v>
      </c>
      <c r="AJ32" s="26"/>
      <c r="AK32" s="26"/>
      <c r="AL32" s="26">
        <v>21018.615000000002</v>
      </c>
      <c r="AM32" s="26"/>
      <c r="AN32" s="26"/>
      <c r="AO32" s="26"/>
      <c r="AP32" s="2135" t="s">
        <v>3218</v>
      </c>
      <c r="AQ32" s="379"/>
    </row>
    <row r="33" spans="1:43" ht="15">
      <c r="A33" s="379"/>
      <c r="B33" s="2060"/>
      <c r="C33" s="1281">
        <f t="shared" si="59"/>
        <v>33</v>
      </c>
      <c r="D33" s="379" t="s">
        <v>424</v>
      </c>
      <c r="E33" s="2060"/>
      <c r="F33" s="2060"/>
      <c r="G33" s="24">
        <f t="shared" si="4"/>
        <v>0.29917835048054009</v>
      </c>
      <c r="H33" s="24"/>
      <c r="I33" s="24">
        <f t="shared" si="60"/>
        <v>1.5079479508344449</v>
      </c>
      <c r="J33" s="23"/>
      <c r="K33" s="23">
        <v>2</v>
      </c>
      <c r="L33" s="23"/>
      <c r="M33" s="26"/>
      <c r="N33" s="26">
        <f>($AH$33/$C$33)*K33</f>
        <v>1014.1818181818181</v>
      </c>
      <c r="O33" s="26"/>
      <c r="P33" s="23"/>
      <c r="Q33" s="23">
        <v>3</v>
      </c>
      <c r="R33" s="23"/>
      <c r="S33" s="26"/>
      <c r="T33" s="26">
        <f>($AH$33/$C$33)*Q33</f>
        <v>1521.2727272727273</v>
      </c>
      <c r="U33" s="26"/>
      <c r="V33" s="23">
        <v>13</v>
      </c>
      <c r="W33" s="23">
        <v>15</v>
      </c>
      <c r="X33" s="23"/>
      <c r="Y33" s="26">
        <f>($AH$33/$C$33)*V33</f>
        <v>6592.181818181818</v>
      </c>
      <c r="Z33" s="26">
        <f>($AH$33/$C$33)*W33</f>
        <v>7606.363636363636</v>
      </c>
      <c r="AA33" s="26"/>
      <c r="AB33" s="23"/>
      <c r="AC33" s="23"/>
      <c r="AD33" s="23"/>
      <c r="AE33" s="26">
        <f>($AH$33/$C$33)*AB33</f>
        <v>0</v>
      </c>
      <c r="AF33" s="26">
        <f>($AH$33/$C$33)*AC33</f>
        <v>0</v>
      </c>
      <c r="AG33" s="26">
        <f>($AH$33/$C$33)*AD33</f>
        <v>0</v>
      </c>
      <c r="AH33" s="26">
        <v>16734</v>
      </c>
      <c r="AI33" s="26">
        <v>5940.57</v>
      </c>
      <c r="AJ33" s="26"/>
      <c r="AK33" s="26"/>
      <c r="AL33" s="26">
        <v>10793.43</v>
      </c>
      <c r="AM33" s="26"/>
      <c r="AN33" s="26"/>
      <c r="AO33" s="26"/>
      <c r="AP33" s="2060"/>
      <c r="AQ33" s="379"/>
    </row>
    <row r="34" spans="1:43" ht="45">
      <c r="A34" s="379" t="s">
        <v>3238</v>
      </c>
      <c r="B34" s="379" t="s">
        <v>3239</v>
      </c>
      <c r="C34" s="1283">
        <f t="shared" si="59"/>
        <v>35.56</v>
      </c>
      <c r="D34" s="379" t="s">
        <v>109</v>
      </c>
      <c r="E34" s="1284" t="s">
        <v>3240</v>
      </c>
      <c r="F34" s="1284" t="s">
        <v>3241</v>
      </c>
      <c r="G34" s="24">
        <f t="shared" si="4"/>
        <v>5.7315878252153949</v>
      </c>
      <c r="H34" s="24"/>
      <c r="I34" s="24">
        <f t="shared" si="60"/>
        <v>28.888908913960275</v>
      </c>
      <c r="J34" s="26">
        <v>1.8</v>
      </c>
      <c r="K34" s="26">
        <v>1.75</v>
      </c>
      <c r="L34" s="26">
        <v>2</v>
      </c>
      <c r="M34" s="26">
        <f>($AH$34/$C$34)*J34</f>
        <v>16227.637795275588</v>
      </c>
      <c r="N34" s="26">
        <f>($AH$34/$C$34)*K34</f>
        <v>15776.870078740156</v>
      </c>
      <c r="O34" s="26">
        <f>($AH$34/$C$34)*L34</f>
        <v>18030.70866141732</v>
      </c>
      <c r="P34" s="26">
        <v>2</v>
      </c>
      <c r="Q34" s="26">
        <v>3.5</v>
      </c>
      <c r="R34" s="26">
        <v>3.91</v>
      </c>
      <c r="S34" s="26">
        <f>($AH$34/$C$34)*P34</f>
        <v>18030.70866141732</v>
      </c>
      <c r="T34" s="26">
        <f>($AH$34/$C$34)*Q34</f>
        <v>31553.740157480312</v>
      </c>
      <c r="U34" s="26">
        <f>($AH$34/$C$34)*R34</f>
        <v>35250.035433070865</v>
      </c>
      <c r="V34" s="26">
        <v>3.7</v>
      </c>
      <c r="W34" s="26">
        <v>3.8</v>
      </c>
      <c r="X34" s="26">
        <v>3.5</v>
      </c>
      <c r="Y34" s="26">
        <f>($AH$34/$C$34)*V34</f>
        <v>33356.811023622045</v>
      </c>
      <c r="Z34" s="26">
        <f>($AH$34/$C$34)*W34</f>
        <v>34258.346456692911</v>
      </c>
      <c r="AA34" s="26">
        <f>($AH$34/$C$34)*X34</f>
        <v>31553.740157480312</v>
      </c>
      <c r="AB34" s="26">
        <v>4.5999999999999996</v>
      </c>
      <c r="AC34" s="26">
        <v>3</v>
      </c>
      <c r="AD34" s="26">
        <v>2</v>
      </c>
      <c r="AE34" s="26">
        <f>($AH$34/$C$34)*AB34</f>
        <v>41470.629921259831</v>
      </c>
      <c r="AF34" s="26">
        <f>($AH$34/$C$34)*AC34</f>
        <v>27046.062992125982</v>
      </c>
      <c r="AG34" s="26">
        <f>($AH$34/$C$34)*AD34</f>
        <v>18030.70866141732</v>
      </c>
      <c r="AH34" s="26">
        <v>320586</v>
      </c>
      <c r="AI34" s="26">
        <v>113808.03</v>
      </c>
      <c r="AJ34" s="26"/>
      <c r="AK34" s="26"/>
      <c r="AL34" s="26">
        <v>206777.97</v>
      </c>
      <c r="AM34" s="26"/>
      <c r="AN34" s="26"/>
      <c r="AO34" s="26"/>
      <c r="AP34" s="379" t="s">
        <v>3218</v>
      </c>
      <c r="AQ34" s="379"/>
    </row>
    <row r="35" spans="1:43" ht="60">
      <c r="A35" s="379" t="s">
        <v>3242</v>
      </c>
      <c r="B35" s="379" t="s">
        <v>3243</v>
      </c>
      <c r="C35" s="1281">
        <f t="shared" si="59"/>
        <v>1538</v>
      </c>
      <c r="D35" s="1284" t="s">
        <v>2306</v>
      </c>
      <c r="E35" s="1284" t="s">
        <v>3225</v>
      </c>
      <c r="F35" s="1284" t="s">
        <v>3244</v>
      </c>
      <c r="G35" s="24">
        <f t="shared" si="4"/>
        <v>3.5271275311956272</v>
      </c>
      <c r="H35" s="24"/>
      <c r="I35" s="24">
        <f t="shared" si="60"/>
        <v>17.77777277150993</v>
      </c>
      <c r="J35" s="23">
        <v>184</v>
      </c>
      <c r="K35" s="23">
        <v>146</v>
      </c>
      <c r="L35" s="23">
        <v>162</v>
      </c>
      <c r="M35" s="26">
        <f>($AH$35/$C$35)*J35</f>
        <v>23602.187256176854</v>
      </c>
      <c r="N35" s="26">
        <f>($AH$35/$C$35)*K35</f>
        <v>18727.822496749024</v>
      </c>
      <c r="O35" s="26">
        <f>($AH$35/$C$35)*L35</f>
        <v>20780.186605981795</v>
      </c>
      <c r="P35" s="23">
        <v>153</v>
      </c>
      <c r="Q35" s="23">
        <v>127</v>
      </c>
      <c r="R35" s="23">
        <v>134</v>
      </c>
      <c r="S35" s="26">
        <f>($AH$35/$C$35)*P35</f>
        <v>19625.731794538362</v>
      </c>
      <c r="T35" s="26">
        <f>($AH$35/$C$35)*Q35</f>
        <v>16290.640117035111</v>
      </c>
      <c r="U35" s="26">
        <f>($AH$35/$C$35)*R35</f>
        <v>17188.549414824447</v>
      </c>
      <c r="V35" s="23">
        <v>114</v>
      </c>
      <c r="W35" s="23">
        <v>95</v>
      </c>
      <c r="X35" s="23">
        <v>137</v>
      </c>
      <c r="Y35" s="26">
        <f>($AH$35/$C$35)*V35</f>
        <v>14623.094278283485</v>
      </c>
      <c r="Z35" s="26">
        <f>($AH$35/$C$35)*W35</f>
        <v>12185.911898569571</v>
      </c>
      <c r="AA35" s="26">
        <f>($AH$35/$C$35)*X35</f>
        <v>17573.367685305591</v>
      </c>
      <c r="AB35" s="23">
        <v>142</v>
      </c>
      <c r="AC35" s="23">
        <v>85</v>
      </c>
      <c r="AD35" s="23">
        <v>59</v>
      </c>
      <c r="AE35" s="26">
        <f>($AH$35/$C$35)*AB35</f>
        <v>18214.731469440831</v>
      </c>
      <c r="AF35" s="26">
        <f>($AH$35/$C$35)*AC35</f>
        <v>10903.184330299089</v>
      </c>
      <c r="AG35" s="26">
        <f>($AH$35/$C$35)*AD35</f>
        <v>7568.0926527958391</v>
      </c>
      <c r="AH35" s="26">
        <v>197283.5</v>
      </c>
      <c r="AI35" s="26">
        <v>70035.642500000002</v>
      </c>
      <c r="AJ35" s="26"/>
      <c r="AK35" s="26"/>
      <c r="AL35" s="26">
        <v>127247.8575</v>
      </c>
      <c r="AM35" s="26"/>
      <c r="AN35" s="26"/>
      <c r="AO35" s="26"/>
      <c r="AP35" s="379" t="s">
        <v>3218</v>
      </c>
      <c r="AQ35" s="379"/>
    </row>
    <row r="36" spans="1:43" ht="60">
      <c r="A36" s="379" t="s">
        <v>3245</v>
      </c>
      <c r="B36" s="379" t="s">
        <v>3246</v>
      </c>
      <c r="C36" s="23">
        <f t="shared" si="59"/>
        <v>30</v>
      </c>
      <c r="D36" s="1284" t="s">
        <v>52</v>
      </c>
      <c r="E36" s="1284" t="s">
        <v>3247</v>
      </c>
      <c r="F36" s="1284" t="s">
        <v>3248</v>
      </c>
      <c r="G36" s="24">
        <f t="shared" si="4"/>
        <v>1.7635682352158142</v>
      </c>
      <c r="H36" s="24"/>
      <c r="I36" s="24">
        <f t="shared" si="60"/>
        <v>8.888908913960277</v>
      </c>
      <c r="J36" s="23">
        <v>2</v>
      </c>
      <c r="K36" s="23">
        <v>2</v>
      </c>
      <c r="L36" s="23">
        <v>4</v>
      </c>
      <c r="M36" s="26">
        <f>($AH$36/$C$36)*J36</f>
        <v>6576.1333333333332</v>
      </c>
      <c r="N36" s="26">
        <f>($AH$36/$C$36)*K36</f>
        <v>6576.1333333333332</v>
      </c>
      <c r="O36" s="26">
        <f>($AH$36/$C$36)*L36</f>
        <v>13152.266666666666</v>
      </c>
      <c r="P36" s="23">
        <v>4</v>
      </c>
      <c r="Q36" s="23">
        <v>4</v>
      </c>
      <c r="R36" s="23">
        <v>3</v>
      </c>
      <c r="S36" s="26">
        <f>($AH$36/$C$36)*P36</f>
        <v>13152.266666666666</v>
      </c>
      <c r="T36" s="26">
        <f>($AH$36/$C$36)*Q36</f>
        <v>13152.266666666666</v>
      </c>
      <c r="U36" s="26">
        <f>($AH$36/$C$36)*R36</f>
        <v>9864.2000000000007</v>
      </c>
      <c r="V36" s="23">
        <v>2</v>
      </c>
      <c r="W36" s="23">
        <v>2</v>
      </c>
      <c r="X36" s="23">
        <v>1</v>
      </c>
      <c r="Y36" s="26">
        <f>($AH$36/$C$36)*V36</f>
        <v>6576.1333333333332</v>
      </c>
      <c r="Z36" s="26">
        <f>($AH$36/$C$36)*W36</f>
        <v>6576.1333333333332</v>
      </c>
      <c r="AA36" s="26">
        <f>($AH$36/$C$36)*X36</f>
        <v>3288.0666666666666</v>
      </c>
      <c r="AB36" s="23">
        <v>2</v>
      </c>
      <c r="AC36" s="23">
        <v>2</v>
      </c>
      <c r="AD36" s="23">
        <v>2</v>
      </c>
      <c r="AE36" s="26">
        <f>($AH$36/$C$36)*AB36</f>
        <v>6576.1333333333332</v>
      </c>
      <c r="AF36" s="26">
        <f>($AH$36/$C$36)*AC36</f>
        <v>6576.1333333333332</v>
      </c>
      <c r="AG36" s="26">
        <f>($AH$36/$C$36)*AD36</f>
        <v>6576.1333333333332</v>
      </c>
      <c r="AH36" s="26">
        <v>98642</v>
      </c>
      <c r="AI36" s="26">
        <v>35017.909999999996</v>
      </c>
      <c r="AJ36" s="26"/>
      <c r="AK36" s="26"/>
      <c r="AL36" s="26">
        <v>63624.090000000004</v>
      </c>
      <c r="AM36" s="26"/>
      <c r="AN36" s="26"/>
      <c r="AO36" s="26"/>
      <c r="AP36" s="379" t="s">
        <v>3249</v>
      </c>
      <c r="AQ36" s="379"/>
    </row>
    <row r="37" spans="1:43" ht="45">
      <c r="A37" s="371" t="s">
        <v>3250</v>
      </c>
      <c r="B37" s="371" t="s">
        <v>3251</v>
      </c>
      <c r="C37" s="372"/>
      <c r="D37" s="371" t="s">
        <v>252</v>
      </c>
      <c r="E37" s="371" t="s">
        <v>3252</v>
      </c>
      <c r="F37" s="371"/>
      <c r="G37" s="20">
        <f t="shared" si="4"/>
        <v>1.3226672371758597</v>
      </c>
      <c r="H37" s="20"/>
      <c r="I37" s="20"/>
      <c r="J37" s="19"/>
      <c r="K37" s="19"/>
      <c r="L37" s="19"/>
      <c r="M37" s="21"/>
      <c r="N37" s="21">
        <f>SUM(N38)</f>
        <v>63412.285714285717</v>
      </c>
      <c r="O37" s="21">
        <f>SUM(O38)</f>
        <v>10568.714285714286</v>
      </c>
      <c r="P37" s="19"/>
      <c r="Q37" s="19"/>
      <c r="R37" s="19"/>
      <c r="S37" s="21"/>
      <c r="T37" s="21"/>
      <c r="U37" s="21"/>
      <c r="V37" s="19"/>
      <c r="W37" s="19"/>
      <c r="X37" s="19"/>
      <c r="Y37" s="21"/>
      <c r="Z37" s="21"/>
      <c r="AA37" s="21"/>
      <c r="AB37" s="19"/>
      <c r="AC37" s="19"/>
      <c r="AD37" s="19"/>
      <c r="AE37" s="21"/>
      <c r="AF37" s="21"/>
      <c r="AG37" s="21"/>
      <c r="AH37" s="21">
        <f t="shared" ref="AH37:AI37" si="61">SUM(AH38)</f>
        <v>73981</v>
      </c>
      <c r="AI37" s="21">
        <f t="shared" si="61"/>
        <v>26263.254999999997</v>
      </c>
      <c r="AJ37" s="21"/>
      <c r="AK37" s="21"/>
      <c r="AL37" s="21">
        <f>SUM(AL38)</f>
        <v>47717.745000000003</v>
      </c>
      <c r="AM37" s="21"/>
      <c r="AN37" s="21"/>
      <c r="AO37" s="21"/>
      <c r="AP37" s="371" t="s">
        <v>3190</v>
      </c>
      <c r="AQ37" s="371"/>
    </row>
    <row r="38" spans="1:43" ht="30">
      <c r="A38" s="379" t="s">
        <v>3253</v>
      </c>
      <c r="B38" s="379" t="s">
        <v>3254</v>
      </c>
      <c r="C38" s="1281">
        <f t="shared" si="59"/>
        <v>7</v>
      </c>
      <c r="D38" s="379" t="s">
        <v>1057</v>
      </c>
      <c r="E38" s="379" t="s">
        <v>3255</v>
      </c>
      <c r="F38" s="379" t="s">
        <v>3256</v>
      </c>
      <c r="G38" s="24">
        <f t="shared" si="4"/>
        <v>1.3226672371758597</v>
      </c>
      <c r="H38" s="24"/>
      <c r="I38" s="24">
        <f>AH38/AH37*100</f>
        <v>100</v>
      </c>
      <c r="J38" s="23"/>
      <c r="K38" s="23">
        <v>6</v>
      </c>
      <c r="L38" s="23">
        <v>1</v>
      </c>
      <c r="M38" s="26"/>
      <c r="N38" s="26">
        <f t="shared" ref="N38:O38" si="62">($AH$38/$C$38)*K38</f>
        <v>63412.285714285717</v>
      </c>
      <c r="O38" s="26">
        <f t="shared" si="62"/>
        <v>10568.714285714286</v>
      </c>
      <c r="P38" s="23"/>
      <c r="Q38" s="23"/>
      <c r="R38" s="23"/>
      <c r="S38" s="26"/>
      <c r="T38" s="26"/>
      <c r="U38" s="26"/>
      <c r="V38" s="23"/>
      <c r="W38" s="23"/>
      <c r="X38" s="23"/>
      <c r="Y38" s="26"/>
      <c r="Z38" s="26"/>
      <c r="AA38" s="26"/>
      <c r="AB38" s="23"/>
      <c r="AC38" s="23"/>
      <c r="AD38" s="23"/>
      <c r="AE38" s="26"/>
      <c r="AF38" s="26"/>
      <c r="AG38" s="26"/>
      <c r="AH38" s="26">
        <v>73981</v>
      </c>
      <c r="AI38" s="26">
        <v>26263.254999999997</v>
      </c>
      <c r="AJ38" s="26"/>
      <c r="AK38" s="26"/>
      <c r="AL38" s="26">
        <v>47717.745000000003</v>
      </c>
      <c r="AM38" s="26"/>
      <c r="AN38" s="26"/>
      <c r="AO38" s="26"/>
      <c r="AP38" s="379" t="s">
        <v>3218</v>
      </c>
      <c r="AQ38" s="379"/>
    </row>
    <row r="39" spans="1:43" ht="60">
      <c r="A39" s="355" t="s">
        <v>577</v>
      </c>
      <c r="B39" s="355" t="s">
        <v>578</v>
      </c>
      <c r="C39" s="356"/>
      <c r="D39" s="355"/>
      <c r="E39" s="355"/>
      <c r="F39" s="355"/>
      <c r="G39" s="12">
        <f t="shared" si="4"/>
        <v>0.18501536751212314</v>
      </c>
      <c r="H39" s="12"/>
      <c r="I39" s="12"/>
      <c r="J39" s="11"/>
      <c r="K39" s="11"/>
      <c r="L39" s="11"/>
      <c r="M39" s="13">
        <f>SUM(M40)</f>
        <v>449.93478260869563</v>
      </c>
      <c r="N39" s="13">
        <f t="shared" ref="N39:O41" si="63">SUM(N40)</f>
        <v>1799.7391304347825</v>
      </c>
      <c r="O39" s="13">
        <f t="shared" si="63"/>
        <v>1349.804347826087</v>
      </c>
      <c r="P39" s="11"/>
      <c r="Q39" s="11"/>
      <c r="R39" s="11"/>
      <c r="S39" s="13">
        <f t="shared" ref="S39:U41" si="64">SUM(S40)</f>
        <v>899.86956521739125</v>
      </c>
      <c r="T39" s="13">
        <f t="shared" si="64"/>
        <v>449.93478260869563</v>
      </c>
      <c r="U39" s="13">
        <f t="shared" si="64"/>
        <v>1349.804347826087</v>
      </c>
      <c r="V39" s="11"/>
      <c r="W39" s="11"/>
      <c r="X39" s="11"/>
      <c r="Y39" s="13"/>
      <c r="Z39" s="13">
        <f t="shared" ref="Z39:AA41" si="65">SUM(Z40)</f>
        <v>899.86956521739125</v>
      </c>
      <c r="AA39" s="13">
        <f t="shared" si="65"/>
        <v>449.93478260869563</v>
      </c>
      <c r="AB39" s="11"/>
      <c r="AC39" s="11"/>
      <c r="AD39" s="11"/>
      <c r="AE39" s="13">
        <f t="shared" ref="AE39:AI41" si="66">SUM(AE40)</f>
        <v>1349.804347826087</v>
      </c>
      <c r="AF39" s="13">
        <f t="shared" si="66"/>
        <v>899.86956521739125</v>
      </c>
      <c r="AG39" s="13">
        <f t="shared" si="66"/>
        <v>449.93478260869563</v>
      </c>
      <c r="AH39" s="13">
        <f t="shared" si="66"/>
        <v>10348.5</v>
      </c>
      <c r="AI39" s="13">
        <f t="shared" si="66"/>
        <v>3673.7174999999997</v>
      </c>
      <c r="AJ39" s="13"/>
      <c r="AK39" s="13"/>
      <c r="AL39" s="13">
        <f>SUM(AL40)</f>
        <v>6674.7825000000003</v>
      </c>
      <c r="AM39" s="13"/>
      <c r="AN39" s="13"/>
      <c r="AO39" s="13"/>
      <c r="AP39" s="355" t="s">
        <v>3190</v>
      </c>
      <c r="AQ39" s="355"/>
    </row>
    <row r="40" spans="1:43" ht="30">
      <c r="A40" s="363" t="s">
        <v>3257</v>
      </c>
      <c r="B40" s="363" t="s">
        <v>580</v>
      </c>
      <c r="C40" s="364"/>
      <c r="D40" s="363"/>
      <c r="E40" s="363"/>
      <c r="F40" s="363"/>
      <c r="G40" s="16">
        <f t="shared" si="4"/>
        <v>0.18501536751212314</v>
      </c>
      <c r="H40" s="16">
        <f>G40</f>
        <v>0.18501536751212314</v>
      </c>
      <c r="I40" s="16"/>
      <c r="J40" s="15"/>
      <c r="K40" s="15"/>
      <c r="L40" s="15"/>
      <c r="M40" s="17">
        <f>SUM(M41)</f>
        <v>449.93478260869563</v>
      </c>
      <c r="N40" s="17">
        <f t="shared" si="63"/>
        <v>1799.7391304347825</v>
      </c>
      <c r="O40" s="17">
        <f t="shared" si="63"/>
        <v>1349.804347826087</v>
      </c>
      <c r="P40" s="15"/>
      <c r="Q40" s="15"/>
      <c r="R40" s="15"/>
      <c r="S40" s="17">
        <f t="shared" si="64"/>
        <v>899.86956521739125</v>
      </c>
      <c r="T40" s="17">
        <f t="shared" si="64"/>
        <v>449.93478260869563</v>
      </c>
      <c r="U40" s="17">
        <f t="shared" si="64"/>
        <v>1349.804347826087</v>
      </c>
      <c r="V40" s="15"/>
      <c r="W40" s="15"/>
      <c r="X40" s="15"/>
      <c r="Y40" s="17"/>
      <c r="Z40" s="17">
        <f t="shared" si="65"/>
        <v>899.86956521739125</v>
      </c>
      <c r="AA40" s="17">
        <f t="shared" si="65"/>
        <v>449.93478260869563</v>
      </c>
      <c r="AB40" s="15"/>
      <c r="AC40" s="15"/>
      <c r="AD40" s="15"/>
      <c r="AE40" s="17">
        <f t="shared" si="66"/>
        <v>1349.804347826087</v>
      </c>
      <c r="AF40" s="17">
        <f t="shared" si="66"/>
        <v>899.86956521739125</v>
      </c>
      <c r="AG40" s="17">
        <f t="shared" si="66"/>
        <v>449.93478260869563</v>
      </c>
      <c r="AH40" s="17">
        <f t="shared" si="66"/>
        <v>10348.5</v>
      </c>
      <c r="AI40" s="17">
        <f t="shared" si="66"/>
        <v>3673.7174999999997</v>
      </c>
      <c r="AJ40" s="17"/>
      <c r="AK40" s="17"/>
      <c r="AL40" s="17">
        <f>SUM(AL41)</f>
        <v>6674.7825000000003</v>
      </c>
      <c r="AM40" s="17"/>
      <c r="AN40" s="17"/>
      <c r="AO40" s="17"/>
      <c r="AP40" s="363" t="s">
        <v>3190</v>
      </c>
      <c r="AQ40" s="363"/>
    </row>
    <row r="41" spans="1:43" ht="60">
      <c r="A41" s="371" t="s">
        <v>3258</v>
      </c>
      <c r="B41" s="371" t="s">
        <v>3259</v>
      </c>
      <c r="C41" s="372"/>
      <c r="D41" s="371" t="s">
        <v>1950</v>
      </c>
      <c r="E41" s="371" t="s">
        <v>3215</v>
      </c>
      <c r="F41" s="371"/>
      <c r="G41" s="20">
        <f t="shared" si="4"/>
        <v>0.18501536751212314</v>
      </c>
      <c r="H41" s="20"/>
      <c r="I41" s="20"/>
      <c r="J41" s="19"/>
      <c r="K41" s="19"/>
      <c r="L41" s="19"/>
      <c r="M41" s="21">
        <f>SUM(M42)</f>
        <v>449.93478260869563</v>
      </c>
      <c r="N41" s="21">
        <f t="shared" si="63"/>
        <v>1799.7391304347825</v>
      </c>
      <c r="O41" s="21">
        <f t="shared" si="63"/>
        <v>1349.804347826087</v>
      </c>
      <c r="P41" s="19"/>
      <c r="Q41" s="19"/>
      <c r="R41" s="19"/>
      <c r="S41" s="21">
        <f t="shared" si="64"/>
        <v>899.86956521739125</v>
      </c>
      <c r="T41" s="21">
        <f t="shared" si="64"/>
        <v>449.93478260869563</v>
      </c>
      <c r="U41" s="21">
        <f t="shared" si="64"/>
        <v>1349.804347826087</v>
      </c>
      <c r="V41" s="19"/>
      <c r="W41" s="19"/>
      <c r="X41" s="19"/>
      <c r="Y41" s="21"/>
      <c r="Z41" s="21">
        <f t="shared" si="65"/>
        <v>899.86956521739125</v>
      </c>
      <c r="AA41" s="21">
        <f t="shared" si="65"/>
        <v>449.93478260869563</v>
      </c>
      <c r="AB41" s="19"/>
      <c r="AC41" s="19"/>
      <c r="AD41" s="19"/>
      <c r="AE41" s="21">
        <f t="shared" si="66"/>
        <v>1349.804347826087</v>
      </c>
      <c r="AF41" s="21">
        <f t="shared" si="66"/>
        <v>899.86956521739125</v>
      </c>
      <c r="AG41" s="21">
        <f t="shared" si="66"/>
        <v>449.93478260869563</v>
      </c>
      <c r="AH41" s="21">
        <f t="shared" si="66"/>
        <v>10348.5</v>
      </c>
      <c r="AI41" s="21">
        <f t="shared" si="66"/>
        <v>3673.7174999999997</v>
      </c>
      <c r="AJ41" s="21"/>
      <c r="AK41" s="21"/>
      <c r="AL41" s="21">
        <f>SUM(AL42)</f>
        <v>6674.7825000000003</v>
      </c>
      <c r="AM41" s="21"/>
      <c r="AN41" s="21"/>
      <c r="AO41" s="21"/>
      <c r="AP41" s="371" t="s">
        <v>3190</v>
      </c>
      <c r="AQ41" s="371"/>
    </row>
    <row r="42" spans="1:43" ht="30">
      <c r="A42" s="379" t="s">
        <v>3260</v>
      </c>
      <c r="B42" s="379" t="s">
        <v>3261</v>
      </c>
      <c r="C42" s="1281">
        <f t="shared" ref="C42" si="67">SUM(J42,K42,L42,P42,Q42,R42,V42,W42,X42,AB42,AC42,AD42)</f>
        <v>23</v>
      </c>
      <c r="D42" s="379" t="s">
        <v>1950</v>
      </c>
      <c r="E42" s="379" t="s">
        <v>3215</v>
      </c>
      <c r="F42" s="379" t="s">
        <v>2626</v>
      </c>
      <c r="G42" s="24">
        <f t="shared" si="4"/>
        <v>0.18501536751212314</v>
      </c>
      <c r="H42" s="24"/>
      <c r="I42" s="24">
        <f>AH42/AH41*100</f>
        <v>100</v>
      </c>
      <c r="J42" s="23">
        <v>1</v>
      </c>
      <c r="K42" s="23">
        <v>4</v>
      </c>
      <c r="L42" s="23">
        <v>3</v>
      </c>
      <c r="M42" s="26">
        <f>($AH$42/$C$42)*J42</f>
        <v>449.93478260869563</v>
      </c>
      <c r="N42" s="26">
        <f t="shared" ref="N42:O42" si="68">($AH$42/$C$42)*K42</f>
        <v>1799.7391304347825</v>
      </c>
      <c r="O42" s="26">
        <f t="shared" si="68"/>
        <v>1349.804347826087</v>
      </c>
      <c r="P42" s="23">
        <v>2</v>
      </c>
      <c r="Q42" s="23">
        <v>1</v>
      </c>
      <c r="R42" s="23">
        <v>3</v>
      </c>
      <c r="S42" s="26">
        <f t="shared" ref="S42:U42" si="69">($AH$42/$C$42)*P42</f>
        <v>899.86956521739125</v>
      </c>
      <c r="T42" s="26">
        <f t="shared" si="69"/>
        <v>449.93478260869563</v>
      </c>
      <c r="U42" s="26">
        <f t="shared" si="69"/>
        <v>1349.804347826087</v>
      </c>
      <c r="V42" s="23"/>
      <c r="W42" s="23">
        <v>2</v>
      </c>
      <c r="X42" s="23">
        <v>1</v>
      </c>
      <c r="Y42" s="26"/>
      <c r="Z42" s="26">
        <f t="shared" ref="Z42:AA42" si="70">($AH$42/$C$42)*W42</f>
        <v>899.86956521739125</v>
      </c>
      <c r="AA42" s="26">
        <f t="shared" si="70"/>
        <v>449.93478260869563</v>
      </c>
      <c r="AB42" s="23">
        <v>3</v>
      </c>
      <c r="AC42" s="23">
        <v>2</v>
      </c>
      <c r="AD42" s="23">
        <v>1</v>
      </c>
      <c r="AE42" s="26">
        <f t="shared" ref="AE42:AG42" si="71">($AH$42/$C$42)*AB42</f>
        <v>1349.804347826087</v>
      </c>
      <c r="AF42" s="26">
        <f t="shared" si="71"/>
        <v>899.86956521739125</v>
      </c>
      <c r="AG42" s="26">
        <f t="shared" si="71"/>
        <v>449.93478260869563</v>
      </c>
      <c r="AH42" s="26">
        <v>10348.5</v>
      </c>
      <c r="AI42" s="26">
        <v>3673.7174999999997</v>
      </c>
      <c r="AJ42" s="26"/>
      <c r="AK42" s="26"/>
      <c r="AL42" s="26">
        <v>6674.7825000000003</v>
      </c>
      <c r="AM42" s="26"/>
      <c r="AN42" s="26"/>
      <c r="AO42" s="26"/>
      <c r="AP42" s="379" t="s">
        <v>3218</v>
      </c>
      <c r="AQ42" s="379"/>
    </row>
    <row r="43" spans="1:43" ht="30">
      <c r="A43" s="355" t="s">
        <v>1888</v>
      </c>
      <c r="B43" s="355" t="s">
        <v>1889</v>
      </c>
      <c r="C43" s="356"/>
      <c r="D43" s="355"/>
      <c r="E43" s="355"/>
      <c r="F43" s="355"/>
      <c r="G43" s="12">
        <f t="shared" si="4"/>
        <v>5.7315610075073922</v>
      </c>
      <c r="H43" s="12"/>
      <c r="I43" s="12"/>
      <c r="J43" s="11"/>
      <c r="K43" s="11"/>
      <c r="L43" s="11"/>
      <c r="M43" s="13">
        <f>SUM(M44)</f>
        <v>22402.325034759815</v>
      </c>
      <c r="N43" s="13">
        <f t="shared" ref="N43:O43" si="72">SUM(N44)</f>
        <v>25785.884283645184</v>
      </c>
      <c r="O43" s="13">
        <f t="shared" si="72"/>
        <v>28745.416422804527</v>
      </c>
      <c r="P43" s="11"/>
      <c r="Q43" s="11"/>
      <c r="R43" s="11"/>
      <c r="S43" s="13">
        <f>SUM(S44)</f>
        <v>27621.45612627445</v>
      </c>
      <c r="T43" s="13">
        <f t="shared" ref="T43:U43" si="73">SUM(T44)</f>
        <v>29134.810098935752</v>
      </c>
      <c r="U43" s="13">
        <f t="shared" si="73"/>
        <v>30656.207187497985</v>
      </c>
      <c r="V43" s="11"/>
      <c r="W43" s="11"/>
      <c r="X43" s="11"/>
      <c r="Y43" s="13">
        <f t="shared" ref="Y43:AA43" si="74">SUM(Y44)</f>
        <v>34223.246294135715</v>
      </c>
      <c r="Z43" s="13">
        <f t="shared" si="74"/>
        <v>28365.921833001321</v>
      </c>
      <c r="AA43" s="13">
        <f t="shared" si="74"/>
        <v>33295.26033693878</v>
      </c>
      <c r="AB43" s="11"/>
      <c r="AC43" s="11"/>
      <c r="AD43" s="11"/>
      <c r="AE43" s="13">
        <f t="shared" ref="AE43:AI43" si="75">SUM(AE44)</f>
        <v>25314.456389821433</v>
      </c>
      <c r="AF43" s="13">
        <f t="shared" si="75"/>
        <v>22767.845109118036</v>
      </c>
      <c r="AG43" s="13">
        <f t="shared" si="75"/>
        <v>12271.67088306701</v>
      </c>
      <c r="AH43" s="13">
        <f t="shared" si="75"/>
        <v>320584.5</v>
      </c>
      <c r="AI43" s="13">
        <f t="shared" si="75"/>
        <v>113807.4975</v>
      </c>
      <c r="AJ43" s="13"/>
      <c r="AK43" s="13"/>
      <c r="AL43" s="13">
        <f>SUM(AL44)</f>
        <v>206777.0025</v>
      </c>
      <c r="AM43" s="13"/>
      <c r="AN43" s="13"/>
      <c r="AO43" s="13"/>
      <c r="AP43" s="355" t="s">
        <v>3190</v>
      </c>
      <c r="AQ43" s="355"/>
    </row>
    <row r="44" spans="1:43" ht="30">
      <c r="A44" s="363" t="s">
        <v>2105</v>
      </c>
      <c r="B44" s="363" t="s">
        <v>2106</v>
      </c>
      <c r="C44" s="364"/>
      <c r="D44" s="363"/>
      <c r="E44" s="363"/>
      <c r="F44" s="363"/>
      <c r="G44" s="16">
        <f t="shared" si="4"/>
        <v>5.7315610075073922</v>
      </c>
      <c r="H44" s="16">
        <f>G44</f>
        <v>5.7315610075073922</v>
      </c>
      <c r="I44" s="16"/>
      <c r="J44" s="15"/>
      <c r="K44" s="15"/>
      <c r="L44" s="15"/>
      <c r="M44" s="17">
        <f>SUM(M45,M47)</f>
        <v>22402.325034759815</v>
      </c>
      <c r="N44" s="17">
        <f t="shared" ref="N44:O44" si="76">SUM(N45,N47)</f>
        <v>25785.884283645184</v>
      </c>
      <c r="O44" s="17">
        <f t="shared" si="76"/>
        <v>28745.416422804527</v>
      </c>
      <c r="P44" s="15"/>
      <c r="Q44" s="15"/>
      <c r="R44" s="15"/>
      <c r="S44" s="17">
        <f>SUM(S45,S47)</f>
        <v>27621.45612627445</v>
      </c>
      <c r="T44" s="17">
        <f t="shared" ref="T44:U44" si="77">SUM(T45,T47)</f>
        <v>29134.810098935752</v>
      </c>
      <c r="U44" s="17">
        <f t="shared" si="77"/>
        <v>30656.207187497985</v>
      </c>
      <c r="V44" s="15"/>
      <c r="W44" s="15"/>
      <c r="X44" s="15"/>
      <c r="Y44" s="17">
        <f t="shared" ref="Y44:AA44" si="78">SUM(Y45,Y47)</f>
        <v>34223.246294135715</v>
      </c>
      <c r="Z44" s="17">
        <f t="shared" si="78"/>
        <v>28365.921833001321</v>
      </c>
      <c r="AA44" s="17">
        <f t="shared" si="78"/>
        <v>33295.26033693878</v>
      </c>
      <c r="AB44" s="15"/>
      <c r="AC44" s="15"/>
      <c r="AD44" s="15"/>
      <c r="AE44" s="17">
        <f t="shared" ref="AE44:AI44" si="79">SUM(AE45,AE47)</f>
        <v>25314.456389821433</v>
      </c>
      <c r="AF44" s="17">
        <f t="shared" si="79"/>
        <v>22767.845109118036</v>
      </c>
      <c r="AG44" s="17">
        <f t="shared" si="79"/>
        <v>12271.67088306701</v>
      </c>
      <c r="AH44" s="17">
        <f t="shared" si="79"/>
        <v>320584.5</v>
      </c>
      <c r="AI44" s="17">
        <f t="shared" si="79"/>
        <v>113807.4975</v>
      </c>
      <c r="AJ44" s="17"/>
      <c r="AK44" s="17"/>
      <c r="AL44" s="17">
        <f>SUM(AL45,AL47)</f>
        <v>206777.0025</v>
      </c>
      <c r="AM44" s="17"/>
      <c r="AN44" s="17"/>
      <c r="AO44" s="17"/>
      <c r="AP44" s="363" t="s">
        <v>3190</v>
      </c>
      <c r="AQ44" s="363"/>
    </row>
    <row r="45" spans="1:43" ht="75">
      <c r="A45" s="371" t="s">
        <v>2120</v>
      </c>
      <c r="B45" s="371" t="s">
        <v>2121</v>
      </c>
      <c r="C45" s="372"/>
      <c r="D45" s="371" t="s">
        <v>1189</v>
      </c>
      <c r="E45" s="371" t="s">
        <v>2122</v>
      </c>
      <c r="F45" s="371" t="s">
        <v>2123</v>
      </c>
      <c r="G45" s="20">
        <f t="shared" si="4"/>
        <v>0.44088311956795256</v>
      </c>
      <c r="H45" s="20"/>
      <c r="I45" s="20"/>
      <c r="J45" s="19"/>
      <c r="K45" s="19"/>
      <c r="L45" s="19"/>
      <c r="M45" s="21">
        <f>SUM(M46)</f>
        <v>1541.25</v>
      </c>
      <c r="N45" s="21">
        <f t="shared" ref="N45:O45" si="80">SUM(N46)</f>
        <v>1541.25</v>
      </c>
      <c r="O45" s="21">
        <f t="shared" si="80"/>
        <v>1541.25</v>
      </c>
      <c r="P45" s="19"/>
      <c r="Q45" s="19"/>
      <c r="R45" s="19"/>
      <c r="S45" s="21">
        <f>SUM(S46)</f>
        <v>1541.25</v>
      </c>
      <c r="T45" s="21"/>
      <c r="U45" s="21"/>
      <c r="V45" s="19"/>
      <c r="W45" s="19"/>
      <c r="X45" s="19"/>
      <c r="Y45" s="21">
        <f t="shared" ref="Y45:AA45" si="81">SUM(Y46)</f>
        <v>4623.75</v>
      </c>
      <c r="Z45" s="21">
        <f t="shared" si="81"/>
        <v>4623.75</v>
      </c>
      <c r="AA45" s="21">
        <f t="shared" si="81"/>
        <v>4623.75</v>
      </c>
      <c r="AB45" s="19"/>
      <c r="AC45" s="19"/>
      <c r="AD45" s="19"/>
      <c r="AE45" s="21">
        <f t="shared" ref="AE45:AI45" si="82">SUM(AE46)</f>
        <v>1541.25</v>
      </c>
      <c r="AF45" s="21">
        <f t="shared" si="82"/>
        <v>1541.25</v>
      </c>
      <c r="AG45" s="21">
        <f t="shared" si="82"/>
        <v>1541.25</v>
      </c>
      <c r="AH45" s="21">
        <f t="shared" si="82"/>
        <v>24660</v>
      </c>
      <c r="AI45" s="21">
        <f t="shared" si="82"/>
        <v>8754.2999999999993</v>
      </c>
      <c r="AJ45" s="21"/>
      <c r="AK45" s="21"/>
      <c r="AL45" s="21">
        <f>SUM(AL46)</f>
        <v>15905.7</v>
      </c>
      <c r="AM45" s="21"/>
      <c r="AN45" s="21"/>
      <c r="AO45" s="21"/>
      <c r="AP45" s="371" t="s">
        <v>3190</v>
      </c>
      <c r="AQ45" s="371"/>
    </row>
    <row r="46" spans="1:43" ht="45">
      <c r="A46" s="379" t="s">
        <v>3262</v>
      </c>
      <c r="B46" s="379" t="s">
        <v>3217</v>
      </c>
      <c r="C46" s="1285">
        <f t="shared" ref="C46:C50" si="83">SUM(J46,K46,L46,P46,Q46,R46,V46,W46,X46,AB46,AC46,AD46)</f>
        <v>16</v>
      </c>
      <c r="D46" s="1284" t="s">
        <v>1950</v>
      </c>
      <c r="E46" s="1284" t="s">
        <v>3215</v>
      </c>
      <c r="F46" s="1284" t="s">
        <v>2626</v>
      </c>
      <c r="G46" s="24">
        <f t="shared" si="4"/>
        <v>0.44088311956795256</v>
      </c>
      <c r="H46" s="24"/>
      <c r="I46" s="24">
        <f>AH46/AH45*100</f>
        <v>100</v>
      </c>
      <c r="J46" s="23">
        <v>1</v>
      </c>
      <c r="K46" s="23">
        <v>1</v>
      </c>
      <c r="L46" s="23">
        <v>1</v>
      </c>
      <c r="M46" s="26">
        <f>($AH$46/$C$46)*J46</f>
        <v>1541.25</v>
      </c>
      <c r="N46" s="26">
        <f t="shared" ref="N46:O46" si="84">($AH$46/$C$46)*K46</f>
        <v>1541.25</v>
      </c>
      <c r="O46" s="26">
        <f t="shared" si="84"/>
        <v>1541.25</v>
      </c>
      <c r="P46" s="23">
        <v>1</v>
      </c>
      <c r="Q46" s="23"/>
      <c r="R46" s="23"/>
      <c r="S46" s="26">
        <f t="shared" ref="S46" si="85">($AH$46/$C$46)*P46</f>
        <v>1541.25</v>
      </c>
      <c r="T46" s="26"/>
      <c r="U46" s="26"/>
      <c r="V46" s="23">
        <v>3</v>
      </c>
      <c r="W46" s="23">
        <v>3</v>
      </c>
      <c r="X46" s="23">
        <v>3</v>
      </c>
      <c r="Y46" s="26">
        <f t="shared" ref="Y46:AA46" si="86">($AH$46/$C$46)*V46</f>
        <v>4623.75</v>
      </c>
      <c r="Z46" s="26">
        <f t="shared" si="86"/>
        <v>4623.75</v>
      </c>
      <c r="AA46" s="26">
        <f t="shared" si="86"/>
        <v>4623.75</v>
      </c>
      <c r="AB46" s="23">
        <v>1</v>
      </c>
      <c r="AC46" s="23">
        <v>1</v>
      </c>
      <c r="AD46" s="23">
        <v>1</v>
      </c>
      <c r="AE46" s="26">
        <f t="shared" ref="AE46:AG46" si="87">($AH$46/$C$46)*AB46</f>
        <v>1541.25</v>
      </c>
      <c r="AF46" s="26">
        <f t="shared" si="87"/>
        <v>1541.25</v>
      </c>
      <c r="AG46" s="26">
        <f t="shared" si="87"/>
        <v>1541.25</v>
      </c>
      <c r="AH46" s="26">
        <v>24660</v>
      </c>
      <c r="AI46" s="26">
        <v>8754.2999999999993</v>
      </c>
      <c r="AJ46" s="26"/>
      <c r="AK46" s="26"/>
      <c r="AL46" s="26">
        <v>15905.7</v>
      </c>
      <c r="AM46" s="26"/>
      <c r="AN46" s="26"/>
      <c r="AO46" s="26"/>
      <c r="AP46" s="379" t="s">
        <v>3218</v>
      </c>
      <c r="AQ46" s="379"/>
    </row>
    <row r="47" spans="1:43" ht="105">
      <c r="A47" s="371" t="s">
        <v>2132</v>
      </c>
      <c r="B47" s="371" t="s">
        <v>2133</v>
      </c>
      <c r="C47" s="372"/>
      <c r="D47" s="1141" t="s">
        <v>1950</v>
      </c>
      <c r="E47" s="1141" t="s">
        <v>2134</v>
      </c>
      <c r="F47" s="1141" t="s">
        <v>2135</v>
      </c>
      <c r="G47" s="20">
        <f t="shared" si="4"/>
        <v>5.2906778879394389</v>
      </c>
      <c r="H47" s="20"/>
      <c r="I47" s="20"/>
      <c r="J47" s="19"/>
      <c r="K47" s="19"/>
      <c r="L47" s="19"/>
      <c r="M47" s="21">
        <f>SUM(M48,M49,M50)</f>
        <v>20861.075034759815</v>
      </c>
      <c r="N47" s="21">
        <f t="shared" ref="N47:O47" si="88">SUM(N48,N49,N50)</f>
        <v>24244.634283645184</v>
      </c>
      <c r="O47" s="21">
        <f t="shared" si="88"/>
        <v>27204.166422804527</v>
      </c>
      <c r="P47" s="19"/>
      <c r="Q47" s="19"/>
      <c r="R47" s="19"/>
      <c r="S47" s="21">
        <f t="shared" ref="S47:U47" si="89">SUM(S48,S49,S50)</f>
        <v>26080.20612627445</v>
      </c>
      <c r="T47" s="21">
        <f t="shared" si="89"/>
        <v>29134.810098935752</v>
      </c>
      <c r="U47" s="21">
        <f t="shared" si="89"/>
        <v>30656.207187497985</v>
      </c>
      <c r="V47" s="19"/>
      <c r="W47" s="19"/>
      <c r="X47" s="19"/>
      <c r="Y47" s="21">
        <f t="shared" ref="Y47:AA47" si="90">SUM(Y48,Y49,Y50)</f>
        <v>29599.496294135715</v>
      </c>
      <c r="Z47" s="21">
        <f t="shared" si="90"/>
        <v>23742.171833001321</v>
      </c>
      <c r="AA47" s="21">
        <f t="shared" si="90"/>
        <v>28671.510336938776</v>
      </c>
      <c r="AB47" s="19"/>
      <c r="AC47" s="19"/>
      <c r="AD47" s="19"/>
      <c r="AE47" s="21">
        <f t="shared" ref="AE47:AI47" si="91">SUM(AE48,AE49,AE50)</f>
        <v>23773.206389821433</v>
      </c>
      <c r="AF47" s="21">
        <f t="shared" si="91"/>
        <v>21226.595109118036</v>
      </c>
      <c r="AG47" s="21">
        <f t="shared" si="91"/>
        <v>10730.42088306701</v>
      </c>
      <c r="AH47" s="21">
        <f t="shared" si="91"/>
        <v>295924.5</v>
      </c>
      <c r="AI47" s="21">
        <f t="shared" si="91"/>
        <v>105053.19749999999</v>
      </c>
      <c r="AJ47" s="21"/>
      <c r="AK47" s="21"/>
      <c r="AL47" s="21">
        <f t="shared" ref="AL47" si="92">SUM(AL48,AL49,AL50)</f>
        <v>190871.30249999999</v>
      </c>
      <c r="AM47" s="21"/>
      <c r="AN47" s="21"/>
      <c r="AO47" s="21"/>
      <c r="AP47" s="371" t="s">
        <v>3190</v>
      </c>
      <c r="AQ47" s="371"/>
    </row>
    <row r="48" spans="1:43" ht="30">
      <c r="A48" s="379" t="s">
        <v>3263</v>
      </c>
      <c r="B48" s="379" t="s">
        <v>3264</v>
      </c>
      <c r="C48" s="1286">
        <f t="shared" si="83"/>
        <v>611</v>
      </c>
      <c r="D48" s="1284" t="s">
        <v>2441</v>
      </c>
      <c r="E48" s="1284" t="s">
        <v>3265</v>
      </c>
      <c r="F48" s="1284" t="s">
        <v>3266</v>
      </c>
      <c r="G48" s="24">
        <f t="shared" si="4"/>
        <v>1.3226672371758597</v>
      </c>
      <c r="H48" s="24"/>
      <c r="I48" s="24">
        <f>AH48/AH$47*100</f>
        <v>24.999957759496088</v>
      </c>
      <c r="J48" s="23">
        <v>61</v>
      </c>
      <c r="K48" s="23">
        <v>55</v>
      </c>
      <c r="L48" s="23">
        <v>68</v>
      </c>
      <c r="M48" s="26">
        <f>($AH$48/$C$48)*J48</f>
        <v>7385.9918166939442</v>
      </c>
      <c r="N48" s="26">
        <f t="shared" ref="N48:O48" si="93">($AH$48/$C$48)*K48</f>
        <v>6659.5008183306054</v>
      </c>
      <c r="O48" s="26">
        <f t="shared" si="93"/>
        <v>8233.5646481178392</v>
      </c>
      <c r="P48" s="23">
        <v>59</v>
      </c>
      <c r="Q48" s="23">
        <v>53</v>
      </c>
      <c r="R48" s="23">
        <v>67</v>
      </c>
      <c r="S48" s="26">
        <f t="shared" ref="S48:U48" si="94">($AH$48/$C$48)*P48</f>
        <v>7143.828150572831</v>
      </c>
      <c r="T48" s="26">
        <f t="shared" si="94"/>
        <v>6417.3371522094922</v>
      </c>
      <c r="U48" s="26">
        <f t="shared" si="94"/>
        <v>8112.482815057283</v>
      </c>
      <c r="V48" s="23">
        <v>65</v>
      </c>
      <c r="W48" s="23">
        <v>36</v>
      </c>
      <c r="X48" s="23">
        <v>62</v>
      </c>
      <c r="Y48" s="26">
        <f t="shared" ref="Y48:AA48" si="95">($AH$48/$C$48)*V48</f>
        <v>7870.3191489361698</v>
      </c>
      <c r="Z48" s="26">
        <f t="shared" si="95"/>
        <v>4358.9459901800328</v>
      </c>
      <c r="AA48" s="26">
        <f t="shared" si="95"/>
        <v>7507.0736497545004</v>
      </c>
      <c r="AB48" s="23">
        <v>35</v>
      </c>
      <c r="AC48" s="23">
        <v>25</v>
      </c>
      <c r="AD48" s="23">
        <v>25</v>
      </c>
      <c r="AE48" s="26">
        <f t="shared" ref="AE48:AG48" si="96">($AH$48/$C$48)*AB48</f>
        <v>4237.8641571194757</v>
      </c>
      <c r="AF48" s="26">
        <f t="shared" si="96"/>
        <v>3027.0458265139114</v>
      </c>
      <c r="AG48" s="26">
        <f t="shared" si="96"/>
        <v>3027.0458265139114</v>
      </c>
      <c r="AH48" s="26">
        <v>73981</v>
      </c>
      <c r="AI48" s="26">
        <v>26263.254999999997</v>
      </c>
      <c r="AJ48" s="26"/>
      <c r="AK48" s="26"/>
      <c r="AL48" s="26">
        <v>47717.745000000003</v>
      </c>
      <c r="AM48" s="26"/>
      <c r="AN48" s="26"/>
      <c r="AO48" s="26"/>
      <c r="AP48" s="22" t="s">
        <v>3267</v>
      </c>
      <c r="AQ48" s="379"/>
    </row>
    <row r="49" spans="1:43" ht="30">
      <c r="A49" s="379" t="s">
        <v>3268</v>
      </c>
      <c r="B49" s="379" t="s">
        <v>3269</v>
      </c>
      <c r="C49" s="1286">
        <f t="shared" si="83"/>
        <v>524</v>
      </c>
      <c r="D49" s="1284" t="s">
        <v>3231</v>
      </c>
      <c r="E49" s="1284" t="s">
        <v>3270</v>
      </c>
      <c r="F49" s="1284" t="s">
        <v>3271</v>
      </c>
      <c r="G49" s="24">
        <f t="shared" si="4"/>
        <v>1.3226672371758597</v>
      </c>
      <c r="H49" s="24"/>
      <c r="I49" s="24">
        <f t="shared" ref="I49:I50" si="97">AH49/AH$47*100</f>
        <v>24.999957759496088</v>
      </c>
      <c r="J49" s="23">
        <v>27</v>
      </c>
      <c r="K49" s="23">
        <v>30</v>
      </c>
      <c r="L49" s="23">
        <v>41</v>
      </c>
      <c r="M49" s="26">
        <f>($AH$49/$C$49)*J49</f>
        <v>3811.9980916030536</v>
      </c>
      <c r="N49" s="26">
        <f t="shared" ref="N49:O49" si="98">($AH$49/$C$49)*K49</f>
        <v>4235.5534351145043</v>
      </c>
      <c r="O49" s="26">
        <f t="shared" si="98"/>
        <v>5788.589694656489</v>
      </c>
      <c r="P49" s="23">
        <v>55</v>
      </c>
      <c r="Q49" s="23">
        <v>62</v>
      </c>
      <c r="R49" s="23">
        <v>58</v>
      </c>
      <c r="S49" s="26">
        <f t="shared" ref="S49:U49" si="99">($AH$49/$C$49)*P49</f>
        <v>7765.1812977099244</v>
      </c>
      <c r="T49" s="26">
        <f t="shared" si="99"/>
        <v>8753.4770992366412</v>
      </c>
      <c r="U49" s="26">
        <f t="shared" si="99"/>
        <v>8188.7366412213751</v>
      </c>
      <c r="V49" s="23">
        <v>55</v>
      </c>
      <c r="W49" s="23">
        <v>55</v>
      </c>
      <c r="X49" s="23">
        <v>51</v>
      </c>
      <c r="Y49" s="26">
        <f t="shared" ref="Y49:AA49" si="100">($AH$49/$C$49)*V49</f>
        <v>7765.1812977099244</v>
      </c>
      <c r="Z49" s="26">
        <f t="shared" si="100"/>
        <v>7765.1812977099244</v>
      </c>
      <c r="AA49" s="26">
        <f t="shared" si="100"/>
        <v>7200.4408396946574</v>
      </c>
      <c r="AB49" s="23">
        <v>45</v>
      </c>
      <c r="AC49" s="23">
        <v>30</v>
      </c>
      <c r="AD49" s="23">
        <v>15</v>
      </c>
      <c r="AE49" s="26">
        <f t="shared" ref="AE49:AG49" si="101">($AH$49/$C$49)*AB49</f>
        <v>6353.330152671756</v>
      </c>
      <c r="AF49" s="26">
        <f t="shared" si="101"/>
        <v>4235.5534351145043</v>
      </c>
      <c r="AG49" s="26">
        <f t="shared" si="101"/>
        <v>2117.7767175572521</v>
      </c>
      <c r="AH49" s="26">
        <v>73981</v>
      </c>
      <c r="AI49" s="26">
        <v>26263.254999999997</v>
      </c>
      <c r="AJ49" s="26"/>
      <c r="AK49" s="26"/>
      <c r="AL49" s="26">
        <v>47717.745000000003</v>
      </c>
      <c r="AM49" s="26"/>
      <c r="AN49" s="26"/>
      <c r="AO49" s="26"/>
      <c r="AP49" s="22" t="s">
        <v>3267</v>
      </c>
      <c r="AQ49" s="379"/>
    </row>
    <row r="50" spans="1:43" ht="60">
      <c r="A50" s="379" t="s">
        <v>3272</v>
      </c>
      <c r="B50" s="379" t="s">
        <v>3273</v>
      </c>
      <c r="C50" s="1286">
        <f t="shared" si="83"/>
        <v>2649</v>
      </c>
      <c r="D50" s="1284" t="s">
        <v>1950</v>
      </c>
      <c r="E50" s="1284" t="s">
        <v>2134</v>
      </c>
      <c r="F50" s="1284" t="s">
        <v>2135</v>
      </c>
      <c r="G50" s="24">
        <f t="shared" si="4"/>
        <v>2.6453434135877205</v>
      </c>
      <c r="H50" s="24"/>
      <c r="I50" s="24">
        <f t="shared" si="97"/>
        <v>50.000084481007825</v>
      </c>
      <c r="J50" s="23">
        <v>173</v>
      </c>
      <c r="K50" s="23">
        <v>239</v>
      </c>
      <c r="L50" s="23">
        <v>236</v>
      </c>
      <c r="M50" s="26">
        <f>($AH$50/$C$50)*J50</f>
        <v>9663.0851264628163</v>
      </c>
      <c r="N50" s="26">
        <f t="shared" ref="N50:O50" si="102">($AH$50/$C$50)*K50</f>
        <v>13349.580030200075</v>
      </c>
      <c r="O50" s="26">
        <f t="shared" si="102"/>
        <v>13182.012080030199</v>
      </c>
      <c r="P50" s="23">
        <v>200</v>
      </c>
      <c r="Q50" s="23">
        <v>250</v>
      </c>
      <c r="R50" s="23">
        <v>257</v>
      </c>
      <c r="S50" s="26">
        <f t="shared" ref="S50:U50" si="103">($AH$50/$C$50)*P50</f>
        <v>11171.196677991695</v>
      </c>
      <c r="T50" s="26">
        <f t="shared" si="103"/>
        <v>13963.995847489619</v>
      </c>
      <c r="U50" s="26">
        <f t="shared" si="103"/>
        <v>14354.987731219328</v>
      </c>
      <c r="V50" s="23">
        <v>250</v>
      </c>
      <c r="W50" s="23">
        <v>208</v>
      </c>
      <c r="X50" s="23">
        <v>250</v>
      </c>
      <c r="Y50" s="26">
        <f t="shared" ref="Y50:AA50" si="104">($AH$50/$C$50)*V50</f>
        <v>13963.995847489619</v>
      </c>
      <c r="Z50" s="26">
        <f t="shared" si="104"/>
        <v>11618.044545111363</v>
      </c>
      <c r="AA50" s="26">
        <f t="shared" si="104"/>
        <v>13963.995847489619</v>
      </c>
      <c r="AB50" s="23">
        <v>236</v>
      </c>
      <c r="AC50" s="23">
        <v>250</v>
      </c>
      <c r="AD50" s="23">
        <v>100</v>
      </c>
      <c r="AE50" s="26">
        <f t="shared" ref="AE50:AG50" si="105">($AH$50/$C$50)*AB50</f>
        <v>13182.012080030199</v>
      </c>
      <c r="AF50" s="26">
        <f t="shared" si="105"/>
        <v>13963.995847489619</v>
      </c>
      <c r="AG50" s="26">
        <f t="shared" si="105"/>
        <v>5585.5983389958474</v>
      </c>
      <c r="AH50" s="26">
        <v>147962.5</v>
      </c>
      <c r="AI50" s="26">
        <v>52526.6875</v>
      </c>
      <c r="AJ50" s="26"/>
      <c r="AK50" s="26"/>
      <c r="AL50" s="26">
        <v>95435.8125</v>
      </c>
      <c r="AM50" s="26"/>
      <c r="AN50" s="26"/>
      <c r="AO50" s="26"/>
      <c r="AP50" s="22" t="s">
        <v>3267</v>
      </c>
      <c r="AQ50" s="379"/>
    </row>
    <row r="51" spans="1:43" ht="30">
      <c r="A51" s="47" t="s">
        <v>283</v>
      </c>
      <c r="B51" s="47" t="s">
        <v>284</v>
      </c>
      <c r="C51" s="349"/>
      <c r="D51" s="47"/>
      <c r="E51" s="47"/>
      <c r="F51" s="47"/>
      <c r="G51" s="8">
        <f t="shared" si="4"/>
        <v>1.3226761764118606</v>
      </c>
      <c r="H51" s="8"/>
      <c r="I51" s="8"/>
      <c r="J51" s="7"/>
      <c r="K51" s="7"/>
      <c r="L51" s="7"/>
      <c r="M51" s="9"/>
      <c r="N51" s="9"/>
      <c r="O51" s="9">
        <f>SUM(O52)</f>
        <v>8877.7800000000007</v>
      </c>
      <c r="P51" s="7"/>
      <c r="Q51" s="7"/>
      <c r="R51" s="7"/>
      <c r="S51" s="9">
        <f t="shared" ref="S51:U54" si="106">SUM(S52)</f>
        <v>16275.93</v>
      </c>
      <c r="T51" s="9">
        <f t="shared" si="106"/>
        <v>14796.300000000001</v>
      </c>
      <c r="U51" s="9">
        <f t="shared" si="106"/>
        <v>10357.41</v>
      </c>
      <c r="V51" s="7"/>
      <c r="W51" s="7"/>
      <c r="X51" s="7"/>
      <c r="Y51" s="9">
        <f t="shared" ref="Y51:AA54" si="107">SUM(Y52)</f>
        <v>8877.7800000000007</v>
      </c>
      <c r="Z51" s="9">
        <f t="shared" si="107"/>
        <v>7398.1500000000005</v>
      </c>
      <c r="AA51" s="9">
        <f t="shared" si="107"/>
        <v>7398.1500000000005</v>
      </c>
      <c r="AB51" s="7"/>
      <c r="AC51" s="7"/>
      <c r="AD51" s="7"/>
      <c r="AE51" s="9"/>
      <c r="AF51" s="9"/>
      <c r="AG51" s="9"/>
      <c r="AH51" s="9">
        <f t="shared" ref="AH51:AI54" si="108">SUM(AH52)</f>
        <v>73981.5</v>
      </c>
      <c r="AI51" s="9">
        <f t="shared" si="108"/>
        <v>26263.432499999999</v>
      </c>
      <c r="AJ51" s="9"/>
      <c r="AK51" s="9"/>
      <c r="AL51" s="9">
        <f>SUM(AL52)</f>
        <v>47718.067500000005</v>
      </c>
      <c r="AM51" s="9"/>
      <c r="AN51" s="9"/>
      <c r="AO51" s="9"/>
      <c r="AP51" s="6" t="s">
        <v>3190</v>
      </c>
      <c r="AQ51" s="6"/>
    </row>
    <row r="52" spans="1:43" ht="30">
      <c r="A52" s="355" t="s">
        <v>3274</v>
      </c>
      <c r="B52" s="355" t="s">
        <v>3275</v>
      </c>
      <c r="C52" s="356"/>
      <c r="D52" s="355"/>
      <c r="E52" s="355"/>
      <c r="F52" s="355"/>
      <c r="G52" s="12">
        <f t="shared" si="4"/>
        <v>1.3226761764118606</v>
      </c>
      <c r="H52" s="12"/>
      <c r="I52" s="12"/>
      <c r="J52" s="11"/>
      <c r="K52" s="11"/>
      <c r="L52" s="11"/>
      <c r="M52" s="13"/>
      <c r="N52" s="13"/>
      <c r="O52" s="13">
        <f>SUM(O53)</f>
        <v>8877.7800000000007</v>
      </c>
      <c r="P52" s="11"/>
      <c r="Q52" s="11"/>
      <c r="R52" s="11"/>
      <c r="S52" s="13">
        <f t="shared" si="106"/>
        <v>16275.93</v>
      </c>
      <c r="T52" s="13">
        <f t="shared" si="106"/>
        <v>14796.300000000001</v>
      </c>
      <c r="U52" s="13">
        <f t="shared" si="106"/>
        <v>10357.41</v>
      </c>
      <c r="V52" s="11"/>
      <c r="W52" s="11"/>
      <c r="X52" s="11"/>
      <c r="Y52" s="13">
        <f t="shared" si="107"/>
        <v>8877.7800000000007</v>
      </c>
      <c r="Z52" s="13">
        <f t="shared" si="107"/>
        <v>7398.1500000000005</v>
      </c>
      <c r="AA52" s="13">
        <f t="shared" si="107"/>
        <v>7398.1500000000005</v>
      </c>
      <c r="AB52" s="11"/>
      <c r="AC52" s="11"/>
      <c r="AD52" s="11"/>
      <c r="AE52" s="13"/>
      <c r="AF52" s="13"/>
      <c r="AG52" s="13"/>
      <c r="AH52" s="13">
        <f t="shared" si="108"/>
        <v>73981.5</v>
      </c>
      <c r="AI52" s="13">
        <f t="shared" si="108"/>
        <v>26263.432499999999</v>
      </c>
      <c r="AJ52" s="13"/>
      <c r="AK52" s="13"/>
      <c r="AL52" s="13">
        <f>SUM(AL53)</f>
        <v>47718.067500000005</v>
      </c>
      <c r="AM52" s="13"/>
      <c r="AN52" s="13"/>
      <c r="AO52" s="13"/>
      <c r="AP52" s="355" t="s">
        <v>3190</v>
      </c>
      <c r="AQ52" s="355"/>
    </row>
    <row r="53" spans="1:43" ht="30">
      <c r="A53" s="363" t="s">
        <v>3276</v>
      </c>
      <c r="B53" s="363" t="s">
        <v>3277</v>
      </c>
      <c r="C53" s="364"/>
      <c r="D53" s="363"/>
      <c r="E53" s="363"/>
      <c r="F53" s="363"/>
      <c r="G53" s="16">
        <f t="shared" si="4"/>
        <v>1.3226761764118606</v>
      </c>
      <c r="H53" s="16">
        <f>G53</f>
        <v>1.3226761764118606</v>
      </c>
      <c r="I53" s="16"/>
      <c r="J53" s="15"/>
      <c r="K53" s="15"/>
      <c r="L53" s="15"/>
      <c r="M53" s="17"/>
      <c r="N53" s="17"/>
      <c r="O53" s="17">
        <f>SUM(O54)</f>
        <v>8877.7800000000007</v>
      </c>
      <c r="P53" s="15"/>
      <c r="Q53" s="15"/>
      <c r="R53" s="15"/>
      <c r="S53" s="17">
        <f t="shared" si="106"/>
        <v>16275.93</v>
      </c>
      <c r="T53" s="17">
        <f t="shared" si="106"/>
        <v>14796.300000000001</v>
      </c>
      <c r="U53" s="17">
        <f t="shared" si="106"/>
        <v>10357.41</v>
      </c>
      <c r="V53" s="15"/>
      <c r="W53" s="15"/>
      <c r="X53" s="15"/>
      <c r="Y53" s="17">
        <f t="shared" si="107"/>
        <v>8877.7800000000007</v>
      </c>
      <c r="Z53" s="17">
        <f t="shared" si="107"/>
        <v>7398.1500000000005</v>
      </c>
      <c r="AA53" s="17">
        <f t="shared" si="107"/>
        <v>7398.1500000000005</v>
      </c>
      <c r="AB53" s="15"/>
      <c r="AC53" s="15"/>
      <c r="AD53" s="15"/>
      <c r="AE53" s="17"/>
      <c r="AF53" s="17"/>
      <c r="AG53" s="17"/>
      <c r="AH53" s="17">
        <f t="shared" si="108"/>
        <v>73981.5</v>
      </c>
      <c r="AI53" s="17">
        <f t="shared" si="108"/>
        <v>26263.432499999999</v>
      </c>
      <c r="AJ53" s="17"/>
      <c r="AK53" s="17"/>
      <c r="AL53" s="17">
        <f>SUM(AL54)</f>
        <v>47718.067500000005</v>
      </c>
      <c r="AM53" s="17"/>
      <c r="AN53" s="17"/>
      <c r="AO53" s="17"/>
      <c r="AP53" s="363" t="s">
        <v>3190</v>
      </c>
      <c r="AQ53" s="363"/>
    </row>
    <row r="54" spans="1:43" ht="120">
      <c r="A54" s="371" t="s">
        <v>3278</v>
      </c>
      <c r="B54" s="371" t="s">
        <v>3279</v>
      </c>
      <c r="C54" s="372"/>
      <c r="D54" s="371" t="s">
        <v>3280</v>
      </c>
      <c r="E54" s="371" t="s">
        <v>3281</v>
      </c>
      <c r="F54" s="371" t="s">
        <v>3282</v>
      </c>
      <c r="G54" s="20">
        <f t="shared" si="4"/>
        <v>1.3226761764118606</v>
      </c>
      <c r="H54" s="20"/>
      <c r="I54" s="20"/>
      <c r="J54" s="19"/>
      <c r="K54" s="19"/>
      <c r="L54" s="19"/>
      <c r="M54" s="21"/>
      <c r="N54" s="21"/>
      <c r="O54" s="21">
        <f>SUM(O55)</f>
        <v>8877.7800000000007</v>
      </c>
      <c r="P54" s="19"/>
      <c r="Q54" s="19"/>
      <c r="R54" s="19"/>
      <c r="S54" s="21">
        <f t="shared" si="106"/>
        <v>16275.93</v>
      </c>
      <c r="T54" s="21">
        <f t="shared" si="106"/>
        <v>14796.300000000001</v>
      </c>
      <c r="U54" s="21">
        <f t="shared" si="106"/>
        <v>10357.41</v>
      </c>
      <c r="V54" s="19"/>
      <c r="W54" s="19"/>
      <c r="X54" s="19"/>
      <c r="Y54" s="21">
        <f t="shared" si="107"/>
        <v>8877.7800000000007</v>
      </c>
      <c r="Z54" s="21">
        <f t="shared" si="107"/>
        <v>7398.1500000000005</v>
      </c>
      <c r="AA54" s="21">
        <f t="shared" si="107"/>
        <v>7398.1500000000005</v>
      </c>
      <c r="AB54" s="19"/>
      <c r="AC54" s="19"/>
      <c r="AD54" s="19"/>
      <c r="AE54" s="21"/>
      <c r="AF54" s="21"/>
      <c r="AG54" s="21"/>
      <c r="AH54" s="21">
        <f t="shared" si="108"/>
        <v>73981.5</v>
      </c>
      <c r="AI54" s="21">
        <f t="shared" si="108"/>
        <v>26263.432499999999</v>
      </c>
      <c r="AJ54" s="21"/>
      <c r="AK54" s="21"/>
      <c r="AL54" s="21">
        <f>SUM(AL55)</f>
        <v>47718.067500000005</v>
      </c>
      <c r="AM54" s="21"/>
      <c r="AN54" s="21"/>
      <c r="AO54" s="21"/>
      <c r="AP54" s="371" t="s">
        <v>3190</v>
      </c>
      <c r="AQ54" s="371"/>
    </row>
    <row r="55" spans="1:43" ht="30">
      <c r="A55" s="379" t="s">
        <v>3283</v>
      </c>
      <c r="B55" s="379" t="s">
        <v>3284</v>
      </c>
      <c r="C55" s="1281">
        <f t="shared" ref="C55" si="109">SUM(J55,K55,L55,P55,Q55,R55,V55,W55,X55,AB55,AC55,AD55)</f>
        <v>50</v>
      </c>
      <c r="D55" s="379" t="s">
        <v>3285</v>
      </c>
      <c r="E55" s="379" t="s">
        <v>3286</v>
      </c>
      <c r="F55" s="379" t="s">
        <v>1057</v>
      </c>
      <c r="G55" s="24">
        <f t="shared" si="4"/>
        <v>1.3226761764118606</v>
      </c>
      <c r="H55" s="24"/>
      <c r="I55" s="24">
        <f>AH55/AH54*100</f>
        <v>100</v>
      </c>
      <c r="J55" s="23"/>
      <c r="K55" s="23"/>
      <c r="L55" s="23">
        <v>6</v>
      </c>
      <c r="M55" s="26"/>
      <c r="N55" s="26"/>
      <c r="O55" s="26">
        <f t="shared" ref="O55" si="110">($AH$55/$C$55)*L55</f>
        <v>8877.7800000000007</v>
      </c>
      <c r="P55" s="23">
        <v>11</v>
      </c>
      <c r="Q55" s="23">
        <v>10</v>
      </c>
      <c r="R55" s="23">
        <v>7</v>
      </c>
      <c r="S55" s="26">
        <f t="shared" ref="S55:U55" si="111">($AH$55/$C$55)*P55</f>
        <v>16275.93</v>
      </c>
      <c r="T55" s="26">
        <f t="shared" si="111"/>
        <v>14796.300000000001</v>
      </c>
      <c r="U55" s="26">
        <f t="shared" si="111"/>
        <v>10357.41</v>
      </c>
      <c r="V55" s="23">
        <v>6</v>
      </c>
      <c r="W55" s="23">
        <v>5</v>
      </c>
      <c r="X55" s="23">
        <v>5</v>
      </c>
      <c r="Y55" s="26">
        <f t="shared" ref="Y55:AA55" si="112">($AH$55/$C$55)*V55</f>
        <v>8877.7800000000007</v>
      </c>
      <c r="Z55" s="26">
        <f t="shared" si="112"/>
        <v>7398.1500000000005</v>
      </c>
      <c r="AA55" s="26">
        <f t="shared" si="112"/>
        <v>7398.1500000000005</v>
      </c>
      <c r="AB55" s="23"/>
      <c r="AC55" s="23"/>
      <c r="AD55" s="23"/>
      <c r="AE55" s="26"/>
      <c r="AF55" s="26"/>
      <c r="AG55" s="26"/>
      <c r="AH55" s="26">
        <v>73981.5</v>
      </c>
      <c r="AI55" s="26">
        <v>26263.432499999999</v>
      </c>
      <c r="AJ55" s="26"/>
      <c r="AK55" s="26"/>
      <c r="AL55" s="26">
        <v>47718.067500000005</v>
      </c>
      <c r="AM55" s="26"/>
      <c r="AN55" s="26"/>
      <c r="AO55" s="26"/>
      <c r="AP55" s="379" t="s">
        <v>3218</v>
      </c>
      <c r="AQ55" s="379"/>
    </row>
    <row r="56" spans="1:43" ht="30">
      <c r="A56" s="47" t="s">
        <v>349</v>
      </c>
      <c r="B56" s="47" t="s">
        <v>350</v>
      </c>
      <c r="C56" s="349"/>
      <c r="D56" s="47"/>
      <c r="E56" s="47"/>
      <c r="F56" s="47"/>
      <c r="G56" s="8">
        <f t="shared" si="4"/>
        <v>0.37398187733667604</v>
      </c>
      <c r="H56" s="8"/>
      <c r="I56" s="8"/>
      <c r="J56" s="7"/>
      <c r="K56" s="7"/>
      <c r="L56" s="7"/>
      <c r="M56" s="9"/>
      <c r="N56" s="9"/>
      <c r="O56" s="9"/>
      <c r="P56" s="7"/>
      <c r="Q56" s="7"/>
      <c r="R56" s="7"/>
      <c r="S56" s="9">
        <f>SUM(S57,S64)</f>
        <v>4404</v>
      </c>
      <c r="T56" s="9"/>
      <c r="U56" s="9">
        <f>SUM(U57,U64)</f>
        <v>12331</v>
      </c>
      <c r="V56" s="7"/>
      <c r="W56" s="7"/>
      <c r="X56" s="7"/>
      <c r="Y56" s="9">
        <f>SUM(Y57,Y64)</f>
        <v>4183</v>
      </c>
      <c r="Z56" s="9"/>
      <c r="AA56" s="9"/>
      <c r="AB56" s="7"/>
      <c r="AC56" s="7"/>
      <c r="AD56" s="7"/>
      <c r="AE56" s="9"/>
      <c r="AF56" s="9"/>
      <c r="AG56" s="9"/>
      <c r="AH56" s="9">
        <f>SUM(AH57,AH64)</f>
        <v>20918</v>
      </c>
      <c r="AI56" s="9"/>
      <c r="AJ56" s="9"/>
      <c r="AK56" s="9"/>
      <c r="AL56" s="9"/>
      <c r="AM56" s="9"/>
      <c r="AN56" s="9"/>
      <c r="AO56" s="9"/>
      <c r="AP56" s="6" t="s">
        <v>3190</v>
      </c>
      <c r="AQ56" s="6"/>
    </row>
    <row r="57" spans="1:43" ht="30">
      <c r="A57" s="355" t="s">
        <v>351</v>
      </c>
      <c r="B57" s="355" t="s">
        <v>352</v>
      </c>
      <c r="C57" s="356"/>
      <c r="D57" s="355"/>
      <c r="E57" s="355"/>
      <c r="F57" s="355"/>
      <c r="G57" s="12">
        <f t="shared" si="4"/>
        <v>0.299196228952542</v>
      </c>
      <c r="H57" s="12"/>
      <c r="I57" s="12"/>
      <c r="J57" s="11"/>
      <c r="K57" s="11"/>
      <c r="L57" s="11"/>
      <c r="M57" s="13"/>
      <c r="N57" s="13"/>
      <c r="O57" s="13"/>
      <c r="P57" s="11"/>
      <c r="Q57" s="11"/>
      <c r="R57" s="11"/>
      <c r="S57" s="13">
        <f>SUM(S58)</f>
        <v>4404</v>
      </c>
      <c r="T57" s="13"/>
      <c r="U57" s="13">
        <f>SUM(U58)</f>
        <v>12331</v>
      </c>
      <c r="V57" s="11"/>
      <c r="W57" s="11"/>
      <c r="X57" s="11"/>
      <c r="Y57" s="13"/>
      <c r="Z57" s="13"/>
      <c r="AA57" s="13"/>
      <c r="AB57" s="11"/>
      <c r="AC57" s="11"/>
      <c r="AD57" s="11"/>
      <c r="AE57" s="13"/>
      <c r="AF57" s="13"/>
      <c r="AG57" s="13"/>
      <c r="AH57" s="13">
        <f t="shared" ref="AH57:AI58" si="113">SUM(AH58)</f>
        <v>16735</v>
      </c>
      <c r="AI57" s="13">
        <f t="shared" si="113"/>
        <v>5940.9249999999993</v>
      </c>
      <c r="AJ57" s="13"/>
      <c r="AK57" s="13"/>
      <c r="AL57" s="13">
        <f>SUM(AL58)</f>
        <v>10794.075000000001</v>
      </c>
      <c r="AM57" s="13"/>
      <c r="AN57" s="13"/>
      <c r="AO57" s="13"/>
      <c r="AP57" s="355" t="s">
        <v>3190</v>
      </c>
      <c r="AQ57" s="355"/>
    </row>
    <row r="58" spans="1:43" ht="30">
      <c r="A58" s="363" t="s">
        <v>353</v>
      </c>
      <c r="B58" s="363" t="s">
        <v>354</v>
      </c>
      <c r="C58" s="364"/>
      <c r="D58" s="363"/>
      <c r="E58" s="363"/>
      <c r="F58" s="363"/>
      <c r="G58" s="16">
        <f t="shared" si="4"/>
        <v>0.299196228952542</v>
      </c>
      <c r="H58" s="16">
        <f>G58</f>
        <v>0.299196228952542</v>
      </c>
      <c r="I58" s="16"/>
      <c r="J58" s="15"/>
      <c r="K58" s="15"/>
      <c r="L58" s="15"/>
      <c r="M58" s="17"/>
      <c r="N58" s="17"/>
      <c r="O58" s="17"/>
      <c r="P58" s="15"/>
      <c r="Q58" s="15"/>
      <c r="R58" s="15"/>
      <c r="S58" s="17">
        <f>SUM(S59)</f>
        <v>4404</v>
      </c>
      <c r="T58" s="17"/>
      <c r="U58" s="17">
        <f>SUM(U59)</f>
        <v>12331</v>
      </c>
      <c r="V58" s="15"/>
      <c r="W58" s="15"/>
      <c r="X58" s="15"/>
      <c r="Y58" s="17"/>
      <c r="Z58" s="17"/>
      <c r="AA58" s="17"/>
      <c r="AB58" s="15"/>
      <c r="AC58" s="15"/>
      <c r="AD58" s="15"/>
      <c r="AE58" s="17"/>
      <c r="AF58" s="17"/>
      <c r="AG58" s="17"/>
      <c r="AH58" s="17">
        <f t="shared" si="113"/>
        <v>16735</v>
      </c>
      <c r="AI58" s="17">
        <f t="shared" si="113"/>
        <v>5940.9249999999993</v>
      </c>
      <c r="AJ58" s="17"/>
      <c r="AK58" s="17"/>
      <c r="AL58" s="17">
        <f>SUM(AL59)</f>
        <v>10794.075000000001</v>
      </c>
      <c r="AM58" s="17"/>
      <c r="AN58" s="17"/>
      <c r="AO58" s="17"/>
      <c r="AP58" s="363" t="s">
        <v>3190</v>
      </c>
      <c r="AQ58" s="363"/>
    </row>
    <row r="59" spans="1:43" ht="45">
      <c r="A59" s="371" t="s">
        <v>368</v>
      </c>
      <c r="B59" s="371" t="s">
        <v>369</v>
      </c>
      <c r="C59" s="372"/>
      <c r="D59" s="371" t="s">
        <v>57</v>
      </c>
      <c r="E59" s="371" t="s">
        <v>370</v>
      </c>
      <c r="F59" s="371" t="s">
        <v>371</v>
      </c>
      <c r="G59" s="20">
        <f t="shared" si="4"/>
        <v>0.299196228952542</v>
      </c>
      <c r="H59" s="20"/>
      <c r="I59" s="20"/>
      <c r="J59" s="19"/>
      <c r="K59" s="19"/>
      <c r="L59" s="19"/>
      <c r="M59" s="21"/>
      <c r="N59" s="21"/>
      <c r="O59" s="21"/>
      <c r="P59" s="19"/>
      <c r="Q59" s="19"/>
      <c r="R59" s="19"/>
      <c r="S59" s="21">
        <f>SUM(S60,S61,S62,S63)</f>
        <v>4404</v>
      </c>
      <c r="T59" s="21"/>
      <c r="U59" s="21">
        <f>SUM(U60,U61,U62,U63)</f>
        <v>12331</v>
      </c>
      <c r="V59" s="19"/>
      <c r="W59" s="19"/>
      <c r="X59" s="19"/>
      <c r="Y59" s="21"/>
      <c r="Z59" s="21"/>
      <c r="AA59" s="21"/>
      <c r="AB59" s="19"/>
      <c r="AC59" s="19"/>
      <c r="AD59" s="19"/>
      <c r="AE59" s="21"/>
      <c r="AF59" s="21"/>
      <c r="AG59" s="21"/>
      <c r="AH59" s="21">
        <f t="shared" ref="AH59:AI59" si="114">SUM(AH60,AH61,AH62,AH63)</f>
        <v>16735</v>
      </c>
      <c r="AI59" s="21">
        <f t="shared" si="114"/>
        <v>5940.9249999999993</v>
      </c>
      <c r="AJ59" s="21"/>
      <c r="AK59" s="21"/>
      <c r="AL59" s="21">
        <f>SUM(AL60,AL61,AL62,AL63)</f>
        <v>10794.075000000001</v>
      </c>
      <c r="AM59" s="21"/>
      <c r="AN59" s="21"/>
      <c r="AO59" s="21"/>
      <c r="AP59" s="371" t="s">
        <v>3190</v>
      </c>
      <c r="AQ59" s="371"/>
    </row>
    <row r="60" spans="1:43" ht="90">
      <c r="A60" s="379" t="s">
        <v>3287</v>
      </c>
      <c r="B60" s="379" t="s">
        <v>3288</v>
      </c>
      <c r="C60" s="1281">
        <f t="shared" ref="C60:C63" si="115">SUM(J60,K60,L60,P60,Q60,R60,V60,W60,X60,AB60,AC60,AD60)</f>
        <v>1</v>
      </c>
      <c r="D60" s="379" t="s">
        <v>57</v>
      </c>
      <c r="E60" s="379" t="s">
        <v>3289</v>
      </c>
      <c r="F60" s="379" t="s">
        <v>3290</v>
      </c>
      <c r="G60" s="24">
        <f t="shared" si="4"/>
        <v>7.8736790696563794E-2</v>
      </c>
      <c r="H60" s="24"/>
      <c r="I60" s="24">
        <f>AH60/AH$59*100</f>
        <v>26.316103973707801</v>
      </c>
      <c r="J60" s="23"/>
      <c r="K60" s="23"/>
      <c r="L60" s="23"/>
      <c r="M60" s="26"/>
      <c r="N60" s="26"/>
      <c r="O60" s="26"/>
      <c r="P60" s="23">
        <v>1</v>
      </c>
      <c r="Q60" s="23"/>
      <c r="R60" s="23"/>
      <c r="S60" s="26">
        <f t="shared" ref="S60" si="116">($AH$60/$C$60)*P60</f>
        <v>4404</v>
      </c>
      <c r="T60" s="26"/>
      <c r="U60" s="26"/>
      <c r="V60" s="23"/>
      <c r="W60" s="23"/>
      <c r="X60" s="23"/>
      <c r="Y60" s="26"/>
      <c r="Z60" s="26"/>
      <c r="AA60" s="26"/>
      <c r="AB60" s="23"/>
      <c r="AC60" s="23"/>
      <c r="AD60" s="23"/>
      <c r="AE60" s="26"/>
      <c r="AF60" s="26"/>
      <c r="AG60" s="26"/>
      <c r="AH60" s="26">
        <v>4404</v>
      </c>
      <c r="AI60" s="26">
        <v>1563.4199999999998</v>
      </c>
      <c r="AJ60" s="26"/>
      <c r="AK60" s="26"/>
      <c r="AL60" s="26">
        <v>2840.58</v>
      </c>
      <c r="AM60" s="26"/>
      <c r="AN60" s="26"/>
      <c r="AO60" s="26"/>
      <c r="AP60" s="22" t="s">
        <v>3291</v>
      </c>
      <c r="AQ60" s="379"/>
    </row>
    <row r="61" spans="1:43" ht="105">
      <c r="A61" s="379" t="s">
        <v>3292</v>
      </c>
      <c r="B61" s="379" t="s">
        <v>3293</v>
      </c>
      <c r="C61" s="1281">
        <f t="shared" si="115"/>
        <v>1</v>
      </c>
      <c r="D61" s="379" t="s">
        <v>57</v>
      </c>
      <c r="E61" s="1287" t="s">
        <v>3294</v>
      </c>
      <c r="F61" s="379" t="s">
        <v>57</v>
      </c>
      <c r="G61" s="24">
        <f t="shared" si="4"/>
        <v>7.8736790696563794E-2</v>
      </c>
      <c r="H61" s="24"/>
      <c r="I61" s="24">
        <f t="shared" ref="I61:I63" si="117">AH61/AH$59*100</f>
        <v>26.316103973707801</v>
      </c>
      <c r="J61" s="23"/>
      <c r="K61" s="23"/>
      <c r="L61" s="23"/>
      <c r="M61" s="26"/>
      <c r="N61" s="26"/>
      <c r="O61" s="26"/>
      <c r="P61" s="23"/>
      <c r="Q61" s="23"/>
      <c r="R61" s="23">
        <v>1</v>
      </c>
      <c r="S61" s="26"/>
      <c r="T61" s="26"/>
      <c r="U61" s="26">
        <f t="shared" ref="U61" si="118">($AH$61/$C$61)*R61</f>
        <v>4404</v>
      </c>
      <c r="V61" s="23"/>
      <c r="W61" s="23"/>
      <c r="X61" s="23"/>
      <c r="Y61" s="26"/>
      <c r="Z61" s="26"/>
      <c r="AA61" s="26"/>
      <c r="AB61" s="23"/>
      <c r="AC61" s="23"/>
      <c r="AD61" s="23"/>
      <c r="AE61" s="26"/>
      <c r="AF61" s="26"/>
      <c r="AG61" s="26"/>
      <c r="AH61" s="26">
        <v>4404</v>
      </c>
      <c r="AI61" s="26">
        <v>1563.4199999999998</v>
      </c>
      <c r="AJ61" s="26"/>
      <c r="AK61" s="26"/>
      <c r="AL61" s="26">
        <v>2840.58</v>
      </c>
      <c r="AM61" s="26"/>
      <c r="AN61" s="26"/>
      <c r="AO61" s="26"/>
      <c r="AP61" s="22" t="s">
        <v>3291</v>
      </c>
      <c r="AQ61" s="379"/>
    </row>
    <row r="62" spans="1:43" ht="90">
      <c r="A62" s="379" t="s">
        <v>3295</v>
      </c>
      <c r="B62" s="379" t="s">
        <v>3296</v>
      </c>
      <c r="C62" s="1281">
        <f t="shared" si="115"/>
        <v>1</v>
      </c>
      <c r="D62" s="379" t="s">
        <v>57</v>
      </c>
      <c r="E62" s="379" t="s">
        <v>3297</v>
      </c>
      <c r="F62" s="379" t="s">
        <v>57</v>
      </c>
      <c r="G62" s="24">
        <f t="shared" si="4"/>
        <v>7.8736790696563794E-2</v>
      </c>
      <c r="H62" s="24"/>
      <c r="I62" s="24">
        <f t="shared" si="117"/>
        <v>26.316103973707801</v>
      </c>
      <c r="J62" s="23"/>
      <c r="K62" s="23"/>
      <c r="L62" s="23"/>
      <c r="M62" s="26"/>
      <c r="N62" s="26"/>
      <c r="O62" s="26"/>
      <c r="P62" s="23"/>
      <c r="Q62" s="23"/>
      <c r="R62" s="23">
        <v>1</v>
      </c>
      <c r="S62" s="26"/>
      <c r="T62" s="26"/>
      <c r="U62" s="26">
        <f t="shared" ref="U62" si="119">($AH$62/$C$62)*R62</f>
        <v>4404</v>
      </c>
      <c r="V62" s="23"/>
      <c r="W62" s="23"/>
      <c r="X62" s="23"/>
      <c r="Y62" s="26"/>
      <c r="Z62" s="26"/>
      <c r="AA62" s="26"/>
      <c r="AB62" s="23"/>
      <c r="AC62" s="23"/>
      <c r="AD62" s="23"/>
      <c r="AE62" s="26"/>
      <c r="AF62" s="26"/>
      <c r="AG62" s="26"/>
      <c r="AH62" s="26">
        <v>4404</v>
      </c>
      <c r="AI62" s="26">
        <v>1563.4199999999998</v>
      </c>
      <c r="AJ62" s="26"/>
      <c r="AK62" s="26"/>
      <c r="AL62" s="26">
        <v>2840.58</v>
      </c>
      <c r="AM62" s="26"/>
      <c r="AN62" s="26"/>
      <c r="AO62" s="26"/>
      <c r="AP62" s="22" t="s">
        <v>3291</v>
      </c>
      <c r="AQ62" s="379"/>
    </row>
    <row r="63" spans="1:43" ht="90">
      <c r="A63" s="379" t="s">
        <v>3298</v>
      </c>
      <c r="B63" s="379" t="s">
        <v>3299</v>
      </c>
      <c r="C63" s="1281">
        <f t="shared" si="115"/>
        <v>1</v>
      </c>
      <c r="D63" s="379" t="s">
        <v>57</v>
      </c>
      <c r="E63" s="379" t="s">
        <v>3300</v>
      </c>
      <c r="F63" s="379" t="s">
        <v>3290</v>
      </c>
      <c r="G63" s="24">
        <f t="shared" si="4"/>
        <v>6.2985856862850645E-2</v>
      </c>
      <c r="H63" s="24"/>
      <c r="I63" s="24">
        <f t="shared" si="117"/>
        <v>21.051688078876609</v>
      </c>
      <c r="J63" s="23"/>
      <c r="K63" s="23"/>
      <c r="L63" s="23"/>
      <c r="M63" s="26"/>
      <c r="N63" s="26"/>
      <c r="O63" s="26"/>
      <c r="P63" s="23"/>
      <c r="Q63" s="23"/>
      <c r="R63" s="23">
        <v>1</v>
      </c>
      <c r="S63" s="26"/>
      <c r="T63" s="26"/>
      <c r="U63" s="26">
        <f t="shared" ref="U63" si="120">($AH$63/$C$63)*R63</f>
        <v>3523</v>
      </c>
      <c r="V63" s="23"/>
      <c r="W63" s="23"/>
      <c r="X63" s="23"/>
      <c r="Y63" s="26"/>
      <c r="Z63" s="26"/>
      <c r="AA63" s="26"/>
      <c r="AB63" s="23"/>
      <c r="AC63" s="23"/>
      <c r="AD63" s="23"/>
      <c r="AE63" s="26"/>
      <c r="AF63" s="26"/>
      <c r="AG63" s="26"/>
      <c r="AH63" s="26">
        <v>3523</v>
      </c>
      <c r="AI63" s="26">
        <v>1250.665</v>
      </c>
      <c r="AJ63" s="26"/>
      <c r="AK63" s="26"/>
      <c r="AL63" s="26">
        <v>2272.335</v>
      </c>
      <c r="AM63" s="26"/>
      <c r="AN63" s="26"/>
      <c r="AO63" s="26"/>
      <c r="AP63" s="22" t="s">
        <v>3291</v>
      </c>
      <c r="AQ63" s="379"/>
    </row>
    <row r="64" spans="1:43" ht="30">
      <c r="A64" s="355" t="s">
        <v>1050</v>
      </c>
      <c r="B64" s="355" t="s">
        <v>1051</v>
      </c>
      <c r="C64" s="356"/>
      <c r="D64" s="355"/>
      <c r="E64" s="355"/>
      <c r="F64" s="355"/>
      <c r="G64" s="12">
        <f t="shared" si="4"/>
        <v>7.478564838413404E-2</v>
      </c>
      <c r="H64" s="12"/>
      <c r="I64" s="12"/>
      <c r="J64" s="11"/>
      <c r="K64" s="11"/>
      <c r="L64" s="11"/>
      <c r="M64" s="13"/>
      <c r="N64" s="13"/>
      <c r="O64" s="13"/>
      <c r="P64" s="11"/>
      <c r="Q64" s="11"/>
      <c r="R64" s="11"/>
      <c r="S64" s="13"/>
      <c r="T64" s="13"/>
      <c r="U64" s="13"/>
      <c r="V64" s="11"/>
      <c r="W64" s="11"/>
      <c r="X64" s="11"/>
      <c r="Y64" s="13">
        <f>SUM(Y65)</f>
        <v>4183</v>
      </c>
      <c r="Z64" s="13"/>
      <c r="AA64" s="13"/>
      <c r="AB64" s="11"/>
      <c r="AC64" s="11"/>
      <c r="AD64" s="11"/>
      <c r="AE64" s="13"/>
      <c r="AF64" s="13"/>
      <c r="AG64" s="13"/>
      <c r="AH64" s="13">
        <f t="shared" ref="AH64:AI66" si="121">SUM(AH65)</f>
        <v>4183</v>
      </c>
      <c r="AI64" s="13">
        <f t="shared" si="121"/>
        <v>1484.9649999999999</v>
      </c>
      <c r="AJ64" s="13"/>
      <c r="AK64" s="13"/>
      <c r="AL64" s="13">
        <f t="shared" ref="AL64:AL66" si="122">SUM(AL65)</f>
        <v>2698.0349999999999</v>
      </c>
      <c r="AM64" s="13"/>
      <c r="AN64" s="13"/>
      <c r="AO64" s="13"/>
      <c r="AP64" s="355" t="s">
        <v>3190</v>
      </c>
      <c r="AQ64" s="355"/>
    </row>
    <row r="65" spans="1:43" ht="45">
      <c r="A65" s="363" t="s">
        <v>1052</v>
      </c>
      <c r="B65" s="363" t="s">
        <v>1053</v>
      </c>
      <c r="C65" s="364"/>
      <c r="D65" s="363"/>
      <c r="E65" s="363"/>
      <c r="F65" s="363"/>
      <c r="G65" s="16">
        <f t="shared" si="4"/>
        <v>7.478564838413404E-2</v>
      </c>
      <c r="H65" s="16">
        <f>G65</f>
        <v>7.478564838413404E-2</v>
      </c>
      <c r="I65" s="16"/>
      <c r="J65" s="15"/>
      <c r="K65" s="15"/>
      <c r="L65" s="15"/>
      <c r="M65" s="17"/>
      <c r="N65" s="17"/>
      <c r="O65" s="17"/>
      <c r="P65" s="15"/>
      <c r="Q65" s="15"/>
      <c r="R65" s="15"/>
      <c r="S65" s="17"/>
      <c r="T65" s="17"/>
      <c r="U65" s="17"/>
      <c r="V65" s="15"/>
      <c r="W65" s="15"/>
      <c r="X65" s="15"/>
      <c r="Y65" s="17">
        <f>SUM(Y66)</f>
        <v>4183</v>
      </c>
      <c r="Z65" s="17"/>
      <c r="AA65" s="17"/>
      <c r="AB65" s="15"/>
      <c r="AC65" s="15"/>
      <c r="AD65" s="15"/>
      <c r="AE65" s="17"/>
      <c r="AF65" s="17"/>
      <c r="AG65" s="17"/>
      <c r="AH65" s="17">
        <f t="shared" si="121"/>
        <v>4183</v>
      </c>
      <c r="AI65" s="17">
        <f t="shared" si="121"/>
        <v>1484.9649999999999</v>
      </c>
      <c r="AJ65" s="17"/>
      <c r="AK65" s="17"/>
      <c r="AL65" s="17">
        <f t="shared" si="122"/>
        <v>2698.0349999999999</v>
      </c>
      <c r="AM65" s="17"/>
      <c r="AN65" s="17"/>
      <c r="AO65" s="17"/>
      <c r="AP65" s="363" t="s">
        <v>3190</v>
      </c>
      <c r="AQ65" s="363"/>
    </row>
    <row r="66" spans="1:43" ht="45">
      <c r="A66" s="371" t="s">
        <v>1054</v>
      </c>
      <c r="B66" s="371" t="s">
        <v>1055</v>
      </c>
      <c r="C66" s="372"/>
      <c r="D66" s="371" t="s">
        <v>95</v>
      </c>
      <c r="E66" s="371" t="s">
        <v>1056</v>
      </c>
      <c r="F66" s="371" t="s">
        <v>1057</v>
      </c>
      <c r="G66" s="20">
        <f t="shared" si="4"/>
        <v>7.478564838413404E-2</v>
      </c>
      <c r="H66" s="20"/>
      <c r="I66" s="20"/>
      <c r="J66" s="19"/>
      <c r="K66" s="19"/>
      <c r="L66" s="19"/>
      <c r="M66" s="21"/>
      <c r="N66" s="21"/>
      <c r="O66" s="21"/>
      <c r="P66" s="19"/>
      <c r="Q66" s="19"/>
      <c r="R66" s="19"/>
      <c r="S66" s="21"/>
      <c r="T66" s="21"/>
      <c r="U66" s="21"/>
      <c r="V66" s="19"/>
      <c r="W66" s="19"/>
      <c r="X66" s="19"/>
      <c r="Y66" s="21">
        <f>SUM(Y67)</f>
        <v>4183</v>
      </c>
      <c r="Z66" s="21"/>
      <c r="AA66" s="21"/>
      <c r="AB66" s="19"/>
      <c r="AC66" s="19"/>
      <c r="AD66" s="19"/>
      <c r="AE66" s="21"/>
      <c r="AF66" s="21"/>
      <c r="AG66" s="21"/>
      <c r="AH66" s="21">
        <f t="shared" si="121"/>
        <v>4183</v>
      </c>
      <c r="AI66" s="21">
        <f t="shared" si="121"/>
        <v>1484.9649999999999</v>
      </c>
      <c r="AJ66" s="21"/>
      <c r="AK66" s="21"/>
      <c r="AL66" s="21">
        <f t="shared" si="122"/>
        <v>2698.0349999999999</v>
      </c>
      <c r="AM66" s="21"/>
      <c r="AN66" s="21"/>
      <c r="AO66" s="21"/>
      <c r="AP66" s="371" t="s">
        <v>3190</v>
      </c>
      <c r="AQ66" s="371"/>
    </row>
    <row r="67" spans="1:43" ht="30">
      <c r="A67" s="379" t="s">
        <v>3301</v>
      </c>
      <c r="B67" s="379" t="s">
        <v>3302</v>
      </c>
      <c r="C67" s="1281">
        <f t="shared" ref="C67" si="123">SUM(J67,K67,L67,P67,Q67,R67,V67,W67,X67,AB67,AC67,AD67)</f>
        <v>1</v>
      </c>
      <c r="D67" s="379" t="s">
        <v>95</v>
      </c>
      <c r="E67" s="379" t="s">
        <v>1056</v>
      </c>
      <c r="F67" s="379" t="s">
        <v>1057</v>
      </c>
      <c r="G67" s="24">
        <f t="shared" si="4"/>
        <v>7.478564838413404E-2</v>
      </c>
      <c r="H67" s="24"/>
      <c r="I67" s="24">
        <f>AH67/AH66*100</f>
        <v>100</v>
      </c>
      <c r="J67" s="23"/>
      <c r="K67" s="23"/>
      <c r="L67" s="23"/>
      <c r="M67" s="26"/>
      <c r="N67" s="26"/>
      <c r="O67" s="26"/>
      <c r="P67" s="23"/>
      <c r="Q67" s="23"/>
      <c r="R67" s="23"/>
      <c r="S67" s="26"/>
      <c r="T67" s="26"/>
      <c r="U67" s="26"/>
      <c r="V67" s="23">
        <v>1</v>
      </c>
      <c r="W67" s="23"/>
      <c r="X67" s="23"/>
      <c r="Y67" s="26">
        <f t="shared" ref="Y67" si="124">($AH$67/$C$67)*V67</f>
        <v>4183</v>
      </c>
      <c r="Z67" s="26"/>
      <c r="AA67" s="26"/>
      <c r="AB67" s="23"/>
      <c r="AC67" s="23"/>
      <c r="AD67" s="23"/>
      <c r="AE67" s="26"/>
      <c r="AF67" s="26"/>
      <c r="AG67" s="26"/>
      <c r="AH67" s="26">
        <v>4183</v>
      </c>
      <c r="AI67" s="26">
        <v>1484.9649999999999</v>
      </c>
      <c r="AJ67" s="26"/>
      <c r="AK67" s="26"/>
      <c r="AL67" s="26">
        <v>2698.0349999999999</v>
      </c>
      <c r="AM67" s="26"/>
      <c r="AN67" s="26"/>
      <c r="AO67" s="26"/>
      <c r="AP67" s="22" t="s">
        <v>3218</v>
      </c>
      <c r="AQ67" s="379"/>
    </row>
    <row r="68" spans="1:43" ht="15">
      <c r="A68" s="47" t="s">
        <v>3303</v>
      </c>
      <c r="B68" s="47" t="s">
        <v>3304</v>
      </c>
      <c r="C68" s="47"/>
      <c r="D68" s="47"/>
      <c r="E68" s="47"/>
      <c r="F68" s="47"/>
      <c r="G68" s="1288">
        <f t="shared" si="4"/>
        <v>60.634733384318451</v>
      </c>
      <c r="H68" s="1288"/>
      <c r="I68" s="1288"/>
      <c r="J68" s="349"/>
      <c r="K68" s="349"/>
      <c r="L68" s="349"/>
      <c r="M68" s="1289"/>
      <c r="N68" s="1289"/>
      <c r="O68" s="1289"/>
      <c r="P68" s="349"/>
      <c r="Q68" s="349"/>
      <c r="R68" s="349"/>
      <c r="S68" s="1289"/>
      <c r="T68" s="1289"/>
      <c r="U68" s="1289"/>
      <c r="V68" s="349"/>
      <c r="W68" s="349"/>
      <c r="X68" s="349"/>
      <c r="Y68" s="1289"/>
      <c r="Z68" s="1289"/>
      <c r="AA68" s="1289"/>
      <c r="AB68" s="349"/>
      <c r="AC68" s="349"/>
      <c r="AD68" s="349"/>
      <c r="AE68" s="1289"/>
      <c r="AF68" s="1289"/>
      <c r="AG68" s="1289">
        <f t="shared" ref="AG68:AH71" si="125">SUM(AG69)</f>
        <v>3391494.16</v>
      </c>
      <c r="AH68" s="1289">
        <f t="shared" si="125"/>
        <v>3391494.16</v>
      </c>
      <c r="AI68" s="1289"/>
      <c r="AJ68" s="1289"/>
      <c r="AK68" s="1289"/>
      <c r="AL68" s="1289">
        <f>SUM(AL69)</f>
        <v>3391494.16</v>
      </c>
      <c r="AM68" s="1289"/>
      <c r="AN68" s="1289"/>
      <c r="AO68" s="1289"/>
      <c r="AP68" s="47"/>
      <c r="AQ68" s="47"/>
    </row>
    <row r="69" spans="1:43" ht="30">
      <c r="A69" s="355" t="s">
        <v>3305</v>
      </c>
      <c r="B69" s="355" t="s">
        <v>3306</v>
      </c>
      <c r="C69" s="355"/>
      <c r="D69" s="355"/>
      <c r="E69" s="355"/>
      <c r="F69" s="355"/>
      <c r="G69" s="1290">
        <f t="shared" si="4"/>
        <v>60.634733384318451</v>
      </c>
      <c r="H69" s="1290"/>
      <c r="I69" s="1290"/>
      <c r="J69" s="356"/>
      <c r="K69" s="356"/>
      <c r="L69" s="356"/>
      <c r="M69" s="1291"/>
      <c r="N69" s="1291"/>
      <c r="O69" s="1291"/>
      <c r="P69" s="356"/>
      <c r="Q69" s="356"/>
      <c r="R69" s="356"/>
      <c r="S69" s="1291"/>
      <c r="T69" s="1291"/>
      <c r="U69" s="1291"/>
      <c r="V69" s="356"/>
      <c r="W69" s="356"/>
      <c r="X69" s="356"/>
      <c r="Y69" s="1291"/>
      <c r="Z69" s="1291"/>
      <c r="AA69" s="1291"/>
      <c r="AB69" s="356"/>
      <c r="AC69" s="356"/>
      <c r="AD69" s="356"/>
      <c r="AE69" s="1291"/>
      <c r="AF69" s="1291"/>
      <c r="AG69" s="1291">
        <f t="shared" si="125"/>
        <v>3391494.16</v>
      </c>
      <c r="AH69" s="1291">
        <f t="shared" si="125"/>
        <v>3391494.16</v>
      </c>
      <c r="AI69" s="1291"/>
      <c r="AJ69" s="1291"/>
      <c r="AK69" s="1291"/>
      <c r="AL69" s="1291">
        <f>SUM(AL70)</f>
        <v>3391494.16</v>
      </c>
      <c r="AM69" s="1291"/>
      <c r="AN69" s="1291"/>
      <c r="AO69" s="1291"/>
      <c r="AP69" s="355"/>
      <c r="AQ69" s="355"/>
    </row>
    <row r="70" spans="1:43" ht="15">
      <c r="A70" s="363" t="s">
        <v>3307</v>
      </c>
      <c r="B70" s="363" t="s">
        <v>3308</v>
      </c>
      <c r="C70" s="364"/>
      <c r="D70" s="363"/>
      <c r="E70" s="363"/>
      <c r="F70" s="363"/>
      <c r="G70" s="16">
        <f t="shared" si="4"/>
        <v>60.634733384318451</v>
      </c>
      <c r="H70" s="16">
        <f>G70</f>
        <v>60.634733384318451</v>
      </c>
      <c r="I70" s="16"/>
      <c r="J70" s="15"/>
      <c r="K70" s="15"/>
      <c r="L70" s="15"/>
      <c r="M70" s="17"/>
      <c r="N70" s="17"/>
      <c r="O70" s="17"/>
      <c r="P70" s="15"/>
      <c r="Q70" s="15"/>
      <c r="R70" s="15"/>
      <c r="S70" s="17"/>
      <c r="T70" s="17"/>
      <c r="U70" s="17"/>
      <c r="V70" s="15"/>
      <c r="W70" s="15"/>
      <c r="X70" s="15"/>
      <c r="Y70" s="17"/>
      <c r="Z70" s="17"/>
      <c r="AA70" s="17"/>
      <c r="AB70" s="1292"/>
      <c r="AC70" s="1292"/>
      <c r="AD70" s="1292"/>
      <c r="AE70" s="1293"/>
      <c r="AF70" s="1293"/>
      <c r="AG70" s="17">
        <f t="shared" si="125"/>
        <v>3391494.16</v>
      </c>
      <c r="AH70" s="17">
        <f t="shared" si="125"/>
        <v>3391494.16</v>
      </c>
      <c r="AI70" s="17"/>
      <c r="AJ70" s="17"/>
      <c r="AK70" s="17"/>
      <c r="AL70" s="17">
        <f>SUM(AL71)</f>
        <v>3391494.16</v>
      </c>
      <c r="AM70" s="17"/>
      <c r="AN70" s="17"/>
      <c r="AO70" s="17"/>
      <c r="AP70" s="363"/>
      <c r="AQ70" s="363"/>
    </row>
    <row r="71" spans="1:43" ht="105">
      <c r="A71" s="371" t="s">
        <v>3309</v>
      </c>
      <c r="B71" s="371" t="s">
        <v>3310</v>
      </c>
      <c r="C71" s="372"/>
      <c r="D71" s="371"/>
      <c r="E71" s="371"/>
      <c r="F71" s="371"/>
      <c r="G71" s="20">
        <f t="shared" si="4"/>
        <v>60.634733384318451</v>
      </c>
      <c r="H71" s="20"/>
      <c r="I71" s="20"/>
      <c r="J71" s="19"/>
      <c r="K71" s="19"/>
      <c r="L71" s="19"/>
      <c r="M71" s="21"/>
      <c r="N71" s="21"/>
      <c r="O71" s="21"/>
      <c r="P71" s="19"/>
      <c r="Q71" s="19"/>
      <c r="R71" s="19"/>
      <c r="S71" s="21"/>
      <c r="T71" s="21"/>
      <c r="U71" s="21"/>
      <c r="V71" s="19"/>
      <c r="W71" s="19"/>
      <c r="X71" s="19"/>
      <c r="Y71" s="21"/>
      <c r="Z71" s="21"/>
      <c r="AA71" s="21"/>
      <c r="AB71" s="1294"/>
      <c r="AC71" s="1294"/>
      <c r="AD71" s="1294"/>
      <c r="AE71" s="1295"/>
      <c r="AF71" s="1295"/>
      <c r="AG71" s="21">
        <f t="shared" si="125"/>
        <v>3391494.16</v>
      </c>
      <c r="AH71" s="21">
        <f t="shared" si="125"/>
        <v>3391494.16</v>
      </c>
      <c r="AI71" s="21"/>
      <c r="AJ71" s="21"/>
      <c r="AK71" s="21"/>
      <c r="AL71" s="21">
        <f>SUM(AL72)</f>
        <v>3391494.16</v>
      </c>
      <c r="AM71" s="21"/>
      <c r="AN71" s="21"/>
      <c r="AO71" s="21"/>
      <c r="AP71" s="371"/>
      <c r="AQ71" s="371"/>
    </row>
    <row r="72" spans="1:43" ht="45">
      <c r="A72" s="379" t="s">
        <v>3311</v>
      </c>
      <c r="B72" s="379" t="s">
        <v>3312</v>
      </c>
      <c r="C72" s="1281">
        <v>1</v>
      </c>
      <c r="D72" s="379" t="s">
        <v>52</v>
      </c>
      <c r="E72" s="379" t="s">
        <v>3313</v>
      </c>
      <c r="F72" s="379" t="s">
        <v>52</v>
      </c>
      <c r="G72" s="24">
        <f t="shared" si="4"/>
        <v>60.634733384318451</v>
      </c>
      <c r="H72" s="24"/>
      <c r="I72" s="24">
        <f>AH72/AH71*100</f>
        <v>100</v>
      </c>
      <c r="J72" s="23"/>
      <c r="K72" s="23"/>
      <c r="L72" s="23"/>
      <c r="M72" s="26"/>
      <c r="N72" s="26"/>
      <c r="O72" s="26"/>
      <c r="P72" s="23"/>
      <c r="Q72" s="23"/>
      <c r="R72" s="386"/>
      <c r="S72" s="26"/>
      <c r="T72" s="26"/>
      <c r="U72" s="1296"/>
      <c r="V72" s="23"/>
      <c r="W72" s="23"/>
      <c r="X72" s="23"/>
      <c r="Y72" s="26"/>
      <c r="Z72" s="26"/>
      <c r="AA72" s="26"/>
      <c r="AB72" s="1297"/>
      <c r="AC72" s="1297"/>
      <c r="AD72" s="23">
        <v>1</v>
      </c>
      <c r="AE72" s="1298"/>
      <c r="AF72" s="1298"/>
      <c r="AG72" s="26">
        <v>3391494.16</v>
      </c>
      <c r="AH72" s="26">
        <v>3391494.16</v>
      </c>
      <c r="AI72" s="26"/>
      <c r="AJ72" s="26"/>
      <c r="AK72" s="26"/>
      <c r="AL72" s="26">
        <v>3391494.16</v>
      </c>
      <c r="AM72" s="26"/>
      <c r="AN72" s="26"/>
      <c r="AO72" s="26"/>
      <c r="AP72" s="22"/>
      <c r="AQ72" s="379" t="s">
        <v>3314</v>
      </c>
    </row>
    <row r="73" spans="1:43" ht="15">
      <c r="A73" s="14"/>
      <c r="B73" s="14"/>
      <c r="C73" s="15"/>
      <c r="D73" s="1299"/>
      <c r="E73" s="1299"/>
      <c r="F73" s="1299"/>
      <c r="G73" s="16"/>
      <c r="H73" s="16">
        <f>SUM(H11:H72)</f>
        <v>100</v>
      </c>
      <c r="I73" s="16"/>
      <c r="J73" s="15"/>
      <c r="K73" s="15"/>
      <c r="L73" s="15"/>
      <c r="M73" s="17">
        <f t="shared" ref="M73:O73" si="126">SUM(M11,M51,M56,M68)</f>
        <v>143162.64362704923</v>
      </c>
      <c r="N73" s="17">
        <f t="shared" si="126"/>
        <v>215810.86094311794</v>
      </c>
      <c r="O73" s="17">
        <f t="shared" si="126"/>
        <v>188855.66140558501</v>
      </c>
      <c r="P73" s="15"/>
      <c r="Q73" s="15"/>
      <c r="R73" s="15"/>
      <c r="S73" s="17">
        <f t="shared" ref="S73:U73" si="127">SUM(S11,S51,S56,S68)</f>
        <v>225855.33678526268</v>
      </c>
      <c r="T73" s="17">
        <f t="shared" si="127"/>
        <v>258001.45183611469</v>
      </c>
      <c r="U73" s="17">
        <f t="shared" si="127"/>
        <v>231538.29338449292</v>
      </c>
      <c r="V73" s="15"/>
      <c r="W73" s="15"/>
      <c r="X73" s="15"/>
      <c r="Y73" s="17">
        <f t="shared" ref="Y73:AA73" si="128">SUM(Y11,Y51,Y56,Y68)</f>
        <v>223031.79587101456</v>
      </c>
      <c r="Z73" s="17">
        <f t="shared" si="128"/>
        <v>173492.51546295636</v>
      </c>
      <c r="AA73" s="17">
        <f t="shared" si="128"/>
        <v>174224.37046120086</v>
      </c>
      <c r="AB73" s="15"/>
      <c r="AC73" s="15"/>
      <c r="AD73" s="15"/>
      <c r="AE73" s="17">
        <f t="shared" ref="AE73:AG73" si="129">SUM(AE11,AE51,AE56,AE68)</f>
        <v>163960.37413648283</v>
      </c>
      <c r="AF73" s="17">
        <f t="shared" si="129"/>
        <v>121704.95792668923</v>
      </c>
      <c r="AG73" s="17">
        <f t="shared" si="129"/>
        <v>3473680.8981600339</v>
      </c>
      <c r="AH73" s="17">
        <f>SUM(AH11,AH51,AH56,AH68)</f>
        <v>5593319.1600000001</v>
      </c>
      <c r="AI73" s="17">
        <f>SUM(AI11,AI51,AI56,AI68)</f>
        <v>774221.98499999999</v>
      </c>
      <c r="AJ73" s="17"/>
      <c r="AK73" s="17"/>
      <c r="AL73" s="17">
        <f>SUM(AL11,AL51,AL56,AL68)</f>
        <v>4798179.1750000007</v>
      </c>
      <c r="AM73" s="17"/>
      <c r="AN73" s="17"/>
      <c r="AO73" s="17"/>
      <c r="AP73" s="14"/>
      <c r="AQ73" s="14"/>
    </row>
  </sheetData>
  <sheetProtection algorithmName="SHA-512" hashValue="Ee3c8Vz2u8AEucjDf3dj8Bv+557R3XGsM7wZQsp7V8tQJOVtgNrMcU77gNYJC4ZNQBnmC9/TZn277h/xWzHgSA==" saltValue="h5OiwR9MeW1l6pbimeddqg==" spinCount="100000" sheet="1" objects="1" scenarios="1"/>
  <mergeCells count="56">
    <mergeCell ref="B32:B33"/>
    <mergeCell ref="E32:E33"/>
    <mergeCell ref="F32:F33"/>
    <mergeCell ref="AP32:AP33"/>
    <mergeCell ref="A23:A24"/>
    <mergeCell ref="B23:B24"/>
    <mergeCell ref="E23:E24"/>
    <mergeCell ref="F23:F24"/>
    <mergeCell ref="AP23:AP24"/>
    <mergeCell ref="A29:A30"/>
    <mergeCell ref="B29:B30"/>
    <mergeCell ref="E29:E30"/>
    <mergeCell ref="F29:F30"/>
    <mergeCell ref="AP29:AP30"/>
    <mergeCell ref="A15:A16"/>
    <mergeCell ref="B15:B16"/>
    <mergeCell ref="E15:E16"/>
    <mergeCell ref="F15:F16"/>
    <mergeCell ref="AP15:AP16"/>
    <mergeCell ref="AQ15:AQ16"/>
    <mergeCell ref="AM8:AM10"/>
    <mergeCell ref="AN8:AN10"/>
    <mergeCell ref="J9:L9"/>
    <mergeCell ref="M9:O9"/>
    <mergeCell ref="P9:R9"/>
    <mergeCell ref="S9:U9"/>
    <mergeCell ref="V9:X9"/>
    <mergeCell ref="Y9:AA9"/>
    <mergeCell ref="AB9:AD9"/>
    <mergeCell ref="AE9:AG9"/>
    <mergeCell ref="AH8:AH10"/>
    <mergeCell ref="AK8:AK10"/>
    <mergeCell ref="AL8:AL10"/>
    <mergeCell ref="A8:A10"/>
    <mergeCell ref="J8:O8"/>
    <mergeCell ref="P8:U8"/>
    <mergeCell ref="V8:AA8"/>
    <mergeCell ref="AB8:AG8"/>
    <mergeCell ref="I7:I10"/>
    <mergeCell ref="J7:AH7"/>
    <mergeCell ref="A1:AQ1"/>
    <mergeCell ref="A2:AQ2"/>
    <mergeCell ref="A3:AQ3"/>
    <mergeCell ref="B7:B10"/>
    <mergeCell ref="C7:C10"/>
    <mergeCell ref="D7:D10"/>
    <mergeCell ref="E7:E10"/>
    <mergeCell ref="F7:F10"/>
    <mergeCell ref="G7:G10"/>
    <mergeCell ref="H7:H10"/>
    <mergeCell ref="AI7:AN7"/>
    <mergeCell ref="AO7:AO10"/>
    <mergeCell ref="AP7:AP10"/>
    <mergeCell ref="AQ7:AQ10"/>
    <mergeCell ref="AI8:AI10"/>
    <mergeCell ref="AJ8:AJ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8"/>
  <sheetViews>
    <sheetView workbookViewId="0">
      <selection activeCell="E13" sqref="E13"/>
    </sheetView>
  </sheetViews>
  <sheetFormatPr baseColWidth="10" defaultRowHeight="14.4"/>
  <cols>
    <col min="1" max="1" width="16" customWidth="1"/>
    <col min="2" max="2" width="31.88671875" customWidth="1"/>
    <col min="3" max="3" width="8.88671875" bestFit="1" customWidth="1"/>
    <col min="4" max="4" width="15.5546875" customWidth="1"/>
    <col min="5" max="5" width="21.6640625" customWidth="1"/>
    <col min="6" max="6" width="17.44140625" customWidth="1"/>
    <col min="7" max="7" width="8.5546875" customWidth="1"/>
    <col min="8" max="8" width="8.44140625" customWidth="1"/>
    <col min="9" max="9" width="8.33203125" customWidth="1"/>
    <col min="10" max="10" width="5.109375" bestFit="1" customWidth="1"/>
    <col min="11" max="11" width="5.33203125" customWidth="1"/>
    <col min="12" max="12" width="5.88671875" customWidth="1"/>
    <col min="13" max="13" width="11.33203125" customWidth="1"/>
    <col min="14" max="15" width="11.44140625" bestFit="1" customWidth="1"/>
    <col min="16" max="16" width="4.6640625" customWidth="1"/>
    <col min="17" max="17" width="5.109375" customWidth="1"/>
    <col min="18" max="18" width="4.6640625" customWidth="1"/>
    <col min="19" max="20" width="11.44140625" bestFit="1" customWidth="1"/>
    <col min="21" max="21" width="11.109375" customWidth="1"/>
    <col min="22" max="24" width="5.109375" bestFit="1" customWidth="1"/>
    <col min="25" max="25" width="11.44140625" bestFit="1" customWidth="1"/>
    <col min="26" max="27" width="11.109375" customWidth="1"/>
    <col min="28" max="29" width="5.109375" bestFit="1" customWidth="1"/>
    <col min="30" max="30" width="6" customWidth="1"/>
    <col min="31" max="31" width="11.44140625" bestFit="1" customWidth="1"/>
    <col min="32" max="32" width="11.109375" customWidth="1"/>
    <col min="33" max="33" width="11.44140625" bestFit="1" customWidth="1"/>
    <col min="34" max="35" width="12.6640625" bestFit="1" customWidth="1"/>
    <col min="36" max="36" width="5.44140625" customWidth="1"/>
    <col min="37" max="37" width="6" customWidth="1"/>
    <col min="38" max="38" width="6.6640625" customWidth="1"/>
    <col min="39" max="39" width="8.33203125" customWidth="1"/>
    <col min="40" max="40" width="7" customWidth="1"/>
    <col min="41" max="42" width="9.33203125" customWidth="1"/>
    <col min="43" max="43" width="5.5546875" customWidth="1"/>
  </cols>
  <sheetData>
    <row r="1" spans="1:43" ht="17.399999999999999">
      <c r="A1" s="2136" t="s">
        <v>393</v>
      </c>
      <c r="B1" s="2136"/>
      <c r="C1" s="2136"/>
      <c r="D1" s="2136"/>
      <c r="E1" s="2136"/>
      <c r="F1" s="2136"/>
      <c r="G1" s="2136"/>
      <c r="H1" s="2136"/>
      <c r="I1" s="2136"/>
      <c r="J1" s="2136"/>
      <c r="K1" s="2136"/>
      <c r="L1" s="2136"/>
      <c r="M1" s="2136"/>
      <c r="N1" s="2136"/>
      <c r="O1" s="2136"/>
      <c r="P1" s="2136"/>
      <c r="Q1" s="2136"/>
      <c r="R1" s="2136"/>
      <c r="S1" s="2136"/>
      <c r="T1" s="2136"/>
      <c r="U1" s="2136"/>
      <c r="V1" s="2136"/>
      <c r="W1" s="2136"/>
      <c r="X1" s="2136"/>
      <c r="Y1" s="2136"/>
      <c r="Z1" s="2136"/>
      <c r="AA1" s="2136"/>
      <c r="AB1" s="2136"/>
      <c r="AC1" s="2136"/>
      <c r="AD1" s="2136"/>
      <c r="AE1" s="2136"/>
      <c r="AF1" s="2136"/>
      <c r="AG1" s="2136"/>
      <c r="AH1" s="2136"/>
      <c r="AI1" s="2136"/>
      <c r="AJ1" s="2136"/>
      <c r="AK1" s="2136"/>
      <c r="AL1" s="2136"/>
      <c r="AM1" s="2136"/>
      <c r="AN1" s="2136"/>
      <c r="AO1" s="2136"/>
      <c r="AP1" s="2136"/>
      <c r="AQ1" s="2136"/>
    </row>
    <row r="2" spans="1:43" ht="17.399999999999999">
      <c r="A2" s="2137" t="s">
        <v>2381</v>
      </c>
      <c r="B2" s="2137"/>
      <c r="C2" s="2137"/>
      <c r="D2" s="2137"/>
      <c r="E2" s="2137"/>
      <c r="F2" s="2137"/>
      <c r="G2" s="2137"/>
      <c r="H2" s="2137"/>
      <c r="I2" s="2137"/>
      <c r="J2" s="2137"/>
      <c r="K2" s="2137"/>
      <c r="L2" s="2137"/>
      <c r="M2" s="2137"/>
      <c r="N2" s="2137"/>
      <c r="O2" s="2137"/>
      <c r="P2" s="2137"/>
      <c r="Q2" s="2137"/>
      <c r="R2" s="2137"/>
      <c r="S2" s="2137"/>
      <c r="T2" s="2137"/>
      <c r="U2" s="2137"/>
      <c r="V2" s="2137"/>
      <c r="W2" s="2137"/>
      <c r="X2" s="2137"/>
      <c r="Y2" s="2137"/>
      <c r="Z2" s="2137"/>
      <c r="AA2" s="2137"/>
      <c r="AB2" s="2137"/>
      <c r="AC2" s="2137"/>
      <c r="AD2" s="2137"/>
      <c r="AE2" s="2137"/>
      <c r="AF2" s="2137"/>
      <c r="AG2" s="2137"/>
      <c r="AH2" s="2137"/>
      <c r="AI2" s="2137"/>
      <c r="AJ2" s="2137"/>
      <c r="AK2" s="2137"/>
      <c r="AL2" s="2137"/>
      <c r="AM2" s="2137"/>
      <c r="AN2" s="2137"/>
      <c r="AO2" s="2137"/>
      <c r="AP2" s="2137"/>
      <c r="AQ2" s="2137"/>
    </row>
    <row r="3" spans="1:43" ht="17.399999999999999">
      <c r="A3" s="2138"/>
      <c r="B3" s="2138"/>
      <c r="C3" s="2138"/>
      <c r="D3" s="2138"/>
      <c r="E3" s="2138"/>
      <c r="F3" s="2138"/>
      <c r="G3" s="2138"/>
      <c r="H3" s="2138"/>
      <c r="I3" s="2138"/>
      <c r="J3" s="2138"/>
      <c r="K3" s="2138"/>
      <c r="L3" s="2138"/>
      <c r="M3" s="2138"/>
      <c r="N3" s="2138"/>
      <c r="O3" s="2138"/>
      <c r="P3" s="2138"/>
      <c r="Q3" s="2138"/>
      <c r="R3" s="2138"/>
      <c r="S3" s="2138"/>
      <c r="T3" s="2138"/>
      <c r="U3" s="2138"/>
      <c r="V3" s="2138"/>
      <c r="W3" s="2138"/>
      <c r="X3" s="2138"/>
      <c r="Y3" s="2138"/>
      <c r="Z3" s="2138"/>
      <c r="AA3" s="2138"/>
      <c r="AB3" s="2138"/>
      <c r="AC3" s="2138"/>
      <c r="AD3" s="2138"/>
      <c r="AE3" s="2138"/>
      <c r="AF3" s="2138"/>
      <c r="AG3" s="2138"/>
      <c r="AH3" s="2138"/>
      <c r="AI3" s="2138"/>
      <c r="AJ3" s="2138"/>
      <c r="AK3" s="2138"/>
      <c r="AL3" s="2138"/>
      <c r="AM3" s="2138"/>
      <c r="AN3" s="2138"/>
      <c r="AO3" s="2138"/>
      <c r="AP3" s="2138"/>
      <c r="AQ3" s="2138"/>
    </row>
    <row r="4" spans="1:43" ht="17.399999999999999">
      <c r="A4" s="1300"/>
      <c r="B4" s="1301" t="s">
        <v>1390</v>
      </c>
      <c r="C4" s="1302"/>
      <c r="D4" s="1302" t="s">
        <v>3315</v>
      </c>
      <c r="E4" s="1302"/>
      <c r="F4" s="1301"/>
      <c r="G4" s="1301"/>
      <c r="H4" s="1301"/>
      <c r="I4" s="1301"/>
      <c r="J4" s="1301"/>
      <c r="K4" s="1301"/>
      <c r="L4" s="1301"/>
      <c r="M4" s="1301"/>
      <c r="N4" s="1301"/>
      <c r="O4" s="1301"/>
      <c r="P4" s="1301"/>
      <c r="Q4" s="1301"/>
      <c r="R4" s="1301"/>
      <c r="S4" s="1301"/>
      <c r="T4" s="1301"/>
      <c r="U4" s="1301"/>
      <c r="V4" s="1301"/>
      <c r="W4" s="1301"/>
      <c r="X4" s="1301"/>
      <c r="Y4" s="1301"/>
      <c r="Z4" s="1301"/>
      <c r="AA4" s="1301"/>
      <c r="AB4" s="1301"/>
      <c r="AC4" s="1301"/>
      <c r="AD4" s="1301"/>
      <c r="AE4" s="1301"/>
      <c r="AF4" s="1301"/>
      <c r="AG4" s="1301"/>
      <c r="AH4" s="1301"/>
      <c r="AI4" s="1301"/>
      <c r="AJ4" s="1301"/>
      <c r="AK4" s="1301"/>
      <c r="AL4" s="1301"/>
      <c r="AM4" s="1301"/>
      <c r="AN4" s="1301"/>
      <c r="AO4" s="1301"/>
      <c r="AP4" s="1301"/>
      <c r="AQ4" s="1301"/>
    </row>
    <row r="5" spans="1:43" ht="17.399999999999999">
      <c r="A5" s="1300"/>
      <c r="B5" s="1301" t="s">
        <v>3316</v>
      </c>
      <c r="C5" s="1301"/>
      <c r="D5" s="1301"/>
      <c r="E5" s="1301"/>
      <c r="F5" s="1301"/>
      <c r="G5" s="1301"/>
      <c r="H5" s="1301"/>
      <c r="I5" s="1301"/>
      <c r="J5" s="1301"/>
      <c r="K5" s="1301"/>
      <c r="L5" s="1301"/>
      <c r="M5" s="1301"/>
      <c r="N5" s="1301"/>
      <c r="O5" s="1301"/>
      <c r="P5" s="1301"/>
      <c r="Q5" s="1301"/>
      <c r="R5" s="1301"/>
      <c r="S5" s="1301"/>
      <c r="T5" s="1301"/>
      <c r="U5" s="1301"/>
      <c r="V5" s="1301"/>
      <c r="W5" s="1301"/>
      <c r="X5" s="1301"/>
      <c r="Y5" s="1301"/>
      <c r="Z5" s="1301"/>
      <c r="AA5" s="1301"/>
      <c r="AB5" s="1301"/>
      <c r="AC5" s="1301"/>
      <c r="AD5" s="1301"/>
      <c r="AE5" s="1301"/>
      <c r="AF5" s="1301"/>
      <c r="AG5" s="1301"/>
      <c r="AH5" s="1301"/>
      <c r="AI5" s="1301"/>
      <c r="AJ5" s="1301"/>
      <c r="AK5" s="1301"/>
      <c r="AL5" s="1301"/>
      <c r="AM5" s="1301"/>
      <c r="AN5" s="1301"/>
      <c r="AO5" s="1301"/>
      <c r="AP5" s="1301"/>
      <c r="AQ5" s="1301"/>
    </row>
    <row r="6" spans="1:43" ht="17.399999999999999">
      <c r="A6" s="1300"/>
      <c r="B6" s="1303" t="s">
        <v>3317</v>
      </c>
      <c r="C6" s="1301"/>
      <c r="D6" s="1301"/>
      <c r="E6" s="1300"/>
      <c r="F6" s="1300"/>
      <c r="G6" s="1300"/>
      <c r="H6" s="1300"/>
      <c r="I6" s="1304"/>
      <c r="J6" s="1304"/>
      <c r="K6" s="1304"/>
      <c r="L6" s="1304"/>
      <c r="M6" s="1304"/>
      <c r="N6" s="1304"/>
      <c r="O6" s="1304"/>
      <c r="P6" s="1304"/>
      <c r="Q6" s="1304"/>
      <c r="R6" s="1304"/>
      <c r="S6" s="1304"/>
      <c r="T6" s="1304"/>
      <c r="U6" s="1304"/>
      <c r="V6" s="1304"/>
      <c r="W6" s="1304"/>
      <c r="X6" s="1304"/>
      <c r="Y6" s="1304"/>
      <c r="Z6" s="1304"/>
      <c r="AA6" s="1304"/>
      <c r="AB6" s="1304"/>
      <c r="AC6" s="1304"/>
      <c r="AD6" s="1304"/>
      <c r="AE6" s="1304"/>
      <c r="AF6" s="1304"/>
      <c r="AG6" s="1304"/>
      <c r="AH6" s="1304"/>
      <c r="AI6" s="1304"/>
      <c r="AJ6" s="1304"/>
      <c r="AK6" s="1304"/>
      <c r="AL6" s="1304"/>
      <c r="AM6" s="1304"/>
      <c r="AN6" s="1304"/>
      <c r="AO6" s="1304"/>
      <c r="AP6" s="1304"/>
      <c r="AQ6" s="1304"/>
    </row>
    <row r="7" spans="1:43" ht="15.6">
      <c r="A7" s="1305" t="s">
        <v>5</v>
      </c>
      <c r="B7" s="2040" t="s">
        <v>398</v>
      </c>
      <c r="C7" s="2042" t="s">
        <v>7</v>
      </c>
      <c r="D7" s="1957" t="s">
        <v>8</v>
      </c>
      <c r="E7" s="1957" t="s">
        <v>9</v>
      </c>
      <c r="F7" s="2139" t="s">
        <v>10</v>
      </c>
      <c r="G7" s="2044" t="s">
        <v>11</v>
      </c>
      <c r="H7" s="2044" t="s">
        <v>12</v>
      </c>
      <c r="I7" s="2044" t="s">
        <v>401</v>
      </c>
      <c r="J7" s="2140" t="s">
        <v>14</v>
      </c>
      <c r="K7" s="2141"/>
      <c r="L7" s="2141"/>
      <c r="M7" s="2141"/>
      <c r="N7" s="2141"/>
      <c r="O7" s="2141"/>
      <c r="P7" s="2141"/>
      <c r="Q7" s="2141"/>
      <c r="R7" s="2141"/>
      <c r="S7" s="2141"/>
      <c r="T7" s="2141"/>
      <c r="U7" s="2141"/>
      <c r="V7" s="2141"/>
      <c r="W7" s="2141"/>
      <c r="X7" s="2141"/>
      <c r="Y7" s="2141"/>
      <c r="Z7" s="2141"/>
      <c r="AA7" s="2141"/>
      <c r="AB7" s="2141"/>
      <c r="AC7" s="2141"/>
      <c r="AD7" s="2141"/>
      <c r="AE7" s="2141"/>
      <c r="AF7" s="2141"/>
      <c r="AG7" s="2141"/>
      <c r="AH7" s="2142"/>
      <c r="AI7" s="1957" t="s">
        <v>15</v>
      </c>
      <c r="AJ7" s="1957"/>
      <c r="AK7" s="1957"/>
      <c r="AL7" s="1957"/>
      <c r="AM7" s="1957"/>
      <c r="AN7" s="1957"/>
      <c r="AO7" s="1954" t="s">
        <v>16</v>
      </c>
      <c r="AP7" s="1954" t="s">
        <v>17</v>
      </c>
      <c r="AQ7" s="1954" t="s">
        <v>18</v>
      </c>
    </row>
    <row r="8" spans="1:43" ht="15.6">
      <c r="A8" s="81"/>
      <c r="B8" s="2040"/>
      <c r="C8" s="2042"/>
      <c r="D8" s="1957"/>
      <c r="E8" s="1957"/>
      <c r="F8" s="2139"/>
      <c r="G8" s="2044"/>
      <c r="H8" s="2044"/>
      <c r="I8" s="2044"/>
      <c r="J8" s="2048" t="s">
        <v>19</v>
      </c>
      <c r="K8" s="2048"/>
      <c r="L8" s="2048"/>
      <c r="M8" s="2048"/>
      <c r="N8" s="2048"/>
      <c r="O8" s="2048"/>
      <c r="P8" s="2048" t="s">
        <v>20</v>
      </c>
      <c r="Q8" s="2048"/>
      <c r="R8" s="2048"/>
      <c r="S8" s="2048"/>
      <c r="T8" s="2048"/>
      <c r="U8" s="2048"/>
      <c r="V8" s="2048" t="s">
        <v>21</v>
      </c>
      <c r="W8" s="2048"/>
      <c r="X8" s="2048"/>
      <c r="Y8" s="2048"/>
      <c r="Z8" s="2048"/>
      <c r="AA8" s="2048"/>
      <c r="AB8" s="2048" t="s">
        <v>22</v>
      </c>
      <c r="AC8" s="2048"/>
      <c r="AD8" s="2048"/>
      <c r="AE8" s="2048"/>
      <c r="AF8" s="2048"/>
      <c r="AG8" s="2048"/>
      <c r="AH8" s="2042" t="s">
        <v>403</v>
      </c>
      <c r="AI8" s="1957" t="s">
        <v>24</v>
      </c>
      <c r="AJ8" s="1954" t="s">
        <v>25</v>
      </c>
      <c r="AK8" s="1954" t="s">
        <v>26</v>
      </c>
      <c r="AL8" s="1954" t="s">
        <v>27</v>
      </c>
      <c r="AM8" s="1954" t="s">
        <v>28</v>
      </c>
      <c r="AN8" s="1954" t="s">
        <v>29</v>
      </c>
      <c r="AO8" s="1955"/>
      <c r="AP8" s="1955"/>
      <c r="AQ8" s="1955"/>
    </row>
    <row r="9" spans="1:43" ht="15.6">
      <c r="A9" s="82" t="s">
        <v>1395</v>
      </c>
      <c r="B9" s="2040"/>
      <c r="C9" s="2042"/>
      <c r="D9" s="1957"/>
      <c r="E9" s="1957"/>
      <c r="F9" s="2139"/>
      <c r="G9" s="2044"/>
      <c r="H9" s="2044"/>
      <c r="I9" s="2044"/>
      <c r="J9" s="2048" t="s">
        <v>1396</v>
      </c>
      <c r="K9" s="2048"/>
      <c r="L9" s="2048"/>
      <c r="M9" s="2048" t="s">
        <v>31</v>
      </c>
      <c r="N9" s="2048"/>
      <c r="O9" s="2048"/>
      <c r="P9" s="2048" t="s">
        <v>1396</v>
      </c>
      <c r="Q9" s="2048"/>
      <c r="R9" s="2048"/>
      <c r="S9" s="2048" t="s">
        <v>31</v>
      </c>
      <c r="T9" s="2048"/>
      <c r="U9" s="2048"/>
      <c r="V9" s="2048" t="s">
        <v>1396</v>
      </c>
      <c r="W9" s="2048"/>
      <c r="X9" s="2048"/>
      <c r="Y9" s="2048" t="s">
        <v>31</v>
      </c>
      <c r="Z9" s="2048"/>
      <c r="AA9" s="2048"/>
      <c r="AB9" s="2048" t="s">
        <v>1396</v>
      </c>
      <c r="AC9" s="2048"/>
      <c r="AD9" s="2048"/>
      <c r="AE9" s="2048" t="s">
        <v>31</v>
      </c>
      <c r="AF9" s="2048"/>
      <c r="AG9" s="2048"/>
      <c r="AH9" s="2042"/>
      <c r="AI9" s="1957"/>
      <c r="AJ9" s="1955"/>
      <c r="AK9" s="1955"/>
      <c r="AL9" s="1955"/>
      <c r="AM9" s="1955"/>
      <c r="AN9" s="1955"/>
      <c r="AO9" s="1955"/>
      <c r="AP9" s="1955"/>
      <c r="AQ9" s="1955"/>
    </row>
    <row r="10" spans="1:43" ht="15.6">
      <c r="A10" s="688"/>
      <c r="B10" s="2040"/>
      <c r="C10" s="2042"/>
      <c r="D10" s="1957"/>
      <c r="E10" s="1957"/>
      <c r="F10" s="2139"/>
      <c r="G10" s="2044"/>
      <c r="H10" s="2044"/>
      <c r="I10" s="2044"/>
      <c r="J10" s="1210" t="s">
        <v>32</v>
      </c>
      <c r="K10" s="1210" t="s">
        <v>33</v>
      </c>
      <c r="L10" s="1210" t="s">
        <v>34</v>
      </c>
      <c r="M10" s="1210" t="s">
        <v>32</v>
      </c>
      <c r="N10" s="1210" t="s">
        <v>33</v>
      </c>
      <c r="O10" s="1210" t="s">
        <v>34</v>
      </c>
      <c r="P10" s="1210" t="s">
        <v>35</v>
      </c>
      <c r="Q10" s="1210" t="s">
        <v>34</v>
      </c>
      <c r="R10" s="1210" t="s">
        <v>36</v>
      </c>
      <c r="S10" s="1210" t="s">
        <v>35</v>
      </c>
      <c r="T10" s="1210" t="s">
        <v>34</v>
      </c>
      <c r="U10" s="1210" t="s">
        <v>36</v>
      </c>
      <c r="V10" s="1210" t="s">
        <v>36</v>
      </c>
      <c r="W10" s="1210" t="s">
        <v>35</v>
      </c>
      <c r="X10" s="1210" t="s">
        <v>37</v>
      </c>
      <c r="Y10" s="1210" t="s">
        <v>36</v>
      </c>
      <c r="Z10" s="1210" t="s">
        <v>35</v>
      </c>
      <c r="AA10" s="1210" t="s">
        <v>37</v>
      </c>
      <c r="AB10" s="1210" t="s">
        <v>38</v>
      </c>
      <c r="AC10" s="1210" t="s">
        <v>39</v>
      </c>
      <c r="AD10" s="1210" t="s">
        <v>40</v>
      </c>
      <c r="AE10" s="1210" t="s">
        <v>38</v>
      </c>
      <c r="AF10" s="1210" t="s">
        <v>39</v>
      </c>
      <c r="AG10" s="1210" t="s">
        <v>40</v>
      </c>
      <c r="AH10" s="2042"/>
      <c r="AI10" s="1957"/>
      <c r="AJ10" s="1956"/>
      <c r="AK10" s="1955"/>
      <c r="AL10" s="1955"/>
      <c r="AM10" s="1956"/>
      <c r="AN10" s="1956"/>
      <c r="AO10" s="1956"/>
      <c r="AP10" s="1956"/>
      <c r="AQ10" s="1956"/>
    </row>
    <row r="11" spans="1:43" ht="30">
      <c r="A11" s="47" t="s">
        <v>349</v>
      </c>
      <c r="B11" s="47" t="s">
        <v>350</v>
      </c>
      <c r="C11" s="349"/>
      <c r="D11" s="47"/>
      <c r="E11" s="47"/>
      <c r="F11" s="47"/>
      <c r="G11" s="1306">
        <f>AH11/AH$18*100</f>
        <v>100</v>
      </c>
      <c r="H11" s="1306"/>
      <c r="I11" s="1306"/>
      <c r="J11" s="1307"/>
      <c r="K11" s="1307"/>
      <c r="L11" s="1307"/>
      <c r="M11" s="1308">
        <f>SUM(M12)</f>
        <v>14503</v>
      </c>
      <c r="N11" s="1308">
        <f t="shared" ref="N11:O13" si="0">SUM(N12)</f>
        <v>14502</v>
      </c>
      <c r="O11" s="1308">
        <f t="shared" si="0"/>
        <v>14502</v>
      </c>
      <c r="P11" s="1307"/>
      <c r="Q11" s="1307"/>
      <c r="R11" s="1307"/>
      <c r="S11" s="1308">
        <f t="shared" ref="S11:U13" si="1">SUM(S12)</f>
        <v>14502</v>
      </c>
      <c r="T11" s="1308">
        <f t="shared" si="1"/>
        <v>14502</v>
      </c>
      <c r="U11" s="1308">
        <f t="shared" si="1"/>
        <v>14502</v>
      </c>
      <c r="V11" s="1307"/>
      <c r="W11" s="1307"/>
      <c r="X11" s="1307"/>
      <c r="Y11" s="1308">
        <f t="shared" ref="Y11:AA13" si="2">SUM(Y12)</f>
        <v>14502</v>
      </c>
      <c r="Z11" s="1308">
        <f t="shared" si="2"/>
        <v>14502</v>
      </c>
      <c r="AA11" s="1308">
        <f t="shared" si="2"/>
        <v>14502</v>
      </c>
      <c r="AB11" s="1307"/>
      <c r="AC11" s="1307"/>
      <c r="AD11" s="1307"/>
      <c r="AE11" s="1308">
        <f t="shared" ref="AE11:AI13" si="3">SUM(AE12)</f>
        <v>14502</v>
      </c>
      <c r="AF11" s="1308">
        <f t="shared" si="3"/>
        <v>14502</v>
      </c>
      <c r="AG11" s="1308">
        <f t="shared" si="3"/>
        <v>14502</v>
      </c>
      <c r="AH11" s="1308">
        <f t="shared" si="3"/>
        <v>174025</v>
      </c>
      <c r="AI11" s="1308">
        <f t="shared" si="3"/>
        <v>174025</v>
      </c>
      <c r="AJ11" s="1308"/>
      <c r="AK11" s="1308"/>
      <c r="AL11" s="1308"/>
      <c r="AM11" s="1308"/>
      <c r="AN11" s="1308"/>
      <c r="AO11" s="1309" t="s">
        <v>1703</v>
      </c>
      <c r="AP11" s="1309" t="s">
        <v>3318</v>
      </c>
      <c r="AQ11" s="1309"/>
    </row>
    <row r="12" spans="1:43" ht="30">
      <c r="A12" s="355" t="s">
        <v>351</v>
      </c>
      <c r="B12" s="355" t="s">
        <v>352</v>
      </c>
      <c r="C12" s="356"/>
      <c r="D12" s="355"/>
      <c r="E12" s="355"/>
      <c r="F12" s="355"/>
      <c r="G12" s="1310">
        <f>AH12/AH$18*100</f>
        <v>100</v>
      </c>
      <c r="H12" s="1310"/>
      <c r="I12" s="1310"/>
      <c r="J12" s="1311"/>
      <c r="K12" s="1311"/>
      <c r="L12" s="1311"/>
      <c r="M12" s="1312">
        <f>SUM(M13)</f>
        <v>14503</v>
      </c>
      <c r="N12" s="1312">
        <f t="shared" si="0"/>
        <v>14502</v>
      </c>
      <c r="O12" s="1312">
        <f t="shared" si="0"/>
        <v>14502</v>
      </c>
      <c r="P12" s="1311"/>
      <c r="Q12" s="1311"/>
      <c r="R12" s="1311"/>
      <c r="S12" s="1312">
        <f t="shared" si="1"/>
        <v>14502</v>
      </c>
      <c r="T12" s="1312">
        <f t="shared" si="1"/>
        <v>14502</v>
      </c>
      <c r="U12" s="1312">
        <f t="shared" si="1"/>
        <v>14502</v>
      </c>
      <c r="V12" s="1311"/>
      <c r="W12" s="1311"/>
      <c r="X12" s="1311"/>
      <c r="Y12" s="1312">
        <f t="shared" si="2"/>
        <v>14502</v>
      </c>
      <c r="Z12" s="1312">
        <f t="shared" si="2"/>
        <v>14502</v>
      </c>
      <c r="AA12" s="1312">
        <f t="shared" si="2"/>
        <v>14502</v>
      </c>
      <c r="AB12" s="1311"/>
      <c r="AC12" s="1311"/>
      <c r="AD12" s="1311"/>
      <c r="AE12" s="1312">
        <f t="shared" si="3"/>
        <v>14502</v>
      </c>
      <c r="AF12" s="1312">
        <f t="shared" si="3"/>
        <v>14502</v>
      </c>
      <c r="AG12" s="1312">
        <f t="shared" si="3"/>
        <v>14502</v>
      </c>
      <c r="AH12" s="1312">
        <f t="shared" si="3"/>
        <v>174025</v>
      </c>
      <c r="AI12" s="1312">
        <f t="shared" si="3"/>
        <v>174025</v>
      </c>
      <c r="AJ12" s="1312"/>
      <c r="AK12" s="1312"/>
      <c r="AL12" s="1312"/>
      <c r="AM12" s="1312"/>
      <c r="AN12" s="1312"/>
      <c r="AO12" s="1313" t="s">
        <v>1703</v>
      </c>
      <c r="AP12" s="1313" t="s">
        <v>3318</v>
      </c>
      <c r="AQ12" s="1313"/>
    </row>
    <row r="13" spans="1:43" ht="30">
      <c r="A13" s="363" t="s">
        <v>353</v>
      </c>
      <c r="B13" s="363" t="s">
        <v>354</v>
      </c>
      <c r="C13" s="364"/>
      <c r="D13" s="363"/>
      <c r="E13" s="363"/>
      <c r="F13" s="363"/>
      <c r="G13" s="1314">
        <f>AH13/AH$18*100</f>
        <v>100</v>
      </c>
      <c r="H13" s="1314">
        <f>G13</f>
        <v>100</v>
      </c>
      <c r="I13" s="1314"/>
      <c r="J13" s="1315"/>
      <c r="K13" s="1315"/>
      <c r="L13" s="1315"/>
      <c r="M13" s="1316">
        <f>SUM(M14)</f>
        <v>14503</v>
      </c>
      <c r="N13" s="1316">
        <f t="shared" si="0"/>
        <v>14502</v>
      </c>
      <c r="O13" s="1316">
        <f t="shared" si="0"/>
        <v>14502</v>
      </c>
      <c r="P13" s="1315"/>
      <c r="Q13" s="1315"/>
      <c r="R13" s="1315"/>
      <c r="S13" s="1316">
        <f t="shared" si="1"/>
        <v>14502</v>
      </c>
      <c r="T13" s="1316">
        <f t="shared" si="1"/>
        <v>14502</v>
      </c>
      <c r="U13" s="1316">
        <f t="shared" si="1"/>
        <v>14502</v>
      </c>
      <c r="V13" s="1315"/>
      <c r="W13" s="1315"/>
      <c r="X13" s="1315"/>
      <c r="Y13" s="1316">
        <f t="shared" si="2"/>
        <v>14502</v>
      </c>
      <c r="Z13" s="1316">
        <f t="shared" si="2"/>
        <v>14502</v>
      </c>
      <c r="AA13" s="1316">
        <f t="shared" si="2"/>
        <v>14502</v>
      </c>
      <c r="AB13" s="1315"/>
      <c r="AC13" s="1315"/>
      <c r="AD13" s="1315"/>
      <c r="AE13" s="1316">
        <f t="shared" si="3"/>
        <v>14502</v>
      </c>
      <c r="AF13" s="1316">
        <f t="shared" si="3"/>
        <v>14502</v>
      </c>
      <c r="AG13" s="1316">
        <f t="shared" si="3"/>
        <v>14502</v>
      </c>
      <c r="AH13" s="1316">
        <f t="shared" si="3"/>
        <v>174025</v>
      </c>
      <c r="AI13" s="1316">
        <f t="shared" si="3"/>
        <v>174025</v>
      </c>
      <c r="AJ13" s="1316"/>
      <c r="AK13" s="1316"/>
      <c r="AL13" s="1316"/>
      <c r="AM13" s="1316"/>
      <c r="AN13" s="1316"/>
      <c r="AO13" s="1317" t="s">
        <v>1703</v>
      </c>
      <c r="AP13" s="1317" t="s">
        <v>3318</v>
      </c>
      <c r="AQ13" s="1317"/>
    </row>
    <row r="14" spans="1:43" ht="60">
      <c r="A14" s="371" t="s">
        <v>368</v>
      </c>
      <c r="B14" s="371" t="s">
        <v>369</v>
      </c>
      <c r="C14" s="372"/>
      <c r="D14" s="371" t="s">
        <v>57</v>
      </c>
      <c r="E14" s="371" t="s">
        <v>370</v>
      </c>
      <c r="F14" s="371" t="s">
        <v>371</v>
      </c>
      <c r="G14" s="1318">
        <f>AH14/AH$18*100</f>
        <v>100</v>
      </c>
      <c r="H14" s="1318"/>
      <c r="I14" s="1318"/>
      <c r="J14" s="1319"/>
      <c r="K14" s="1319"/>
      <c r="L14" s="1319"/>
      <c r="M14" s="1320">
        <f>SUM(M15:M17)</f>
        <v>14503</v>
      </c>
      <c r="N14" s="1320">
        <f t="shared" ref="N14:O14" si="4">SUM(N15:N17)</f>
        <v>14502</v>
      </c>
      <c r="O14" s="1320">
        <f t="shared" si="4"/>
        <v>14502</v>
      </c>
      <c r="P14" s="1319"/>
      <c r="Q14" s="1319"/>
      <c r="R14" s="1319"/>
      <c r="S14" s="1320">
        <f t="shared" ref="S14:U14" si="5">SUM(S15:S17)</f>
        <v>14502</v>
      </c>
      <c r="T14" s="1320">
        <f t="shared" si="5"/>
        <v>14502</v>
      </c>
      <c r="U14" s="1320">
        <f t="shared" si="5"/>
        <v>14502</v>
      </c>
      <c r="V14" s="1319"/>
      <c r="W14" s="1319"/>
      <c r="X14" s="1319"/>
      <c r="Y14" s="1320">
        <f t="shared" ref="Y14:AA14" si="6">SUM(Y15:Y17)</f>
        <v>14502</v>
      </c>
      <c r="Z14" s="1320">
        <f t="shared" si="6"/>
        <v>14502</v>
      </c>
      <c r="AA14" s="1320">
        <f t="shared" si="6"/>
        <v>14502</v>
      </c>
      <c r="AB14" s="1319"/>
      <c r="AC14" s="1319"/>
      <c r="AD14" s="1319"/>
      <c r="AE14" s="1320">
        <f t="shared" ref="AE14:AG14" si="7">SUM(AE15:AE17)</f>
        <v>14502</v>
      </c>
      <c r="AF14" s="1320">
        <f t="shared" si="7"/>
        <v>14502</v>
      </c>
      <c r="AG14" s="1320">
        <f t="shared" si="7"/>
        <v>14502</v>
      </c>
      <c r="AH14" s="1320">
        <f>SUM(AH15:AH17)</f>
        <v>174025</v>
      </c>
      <c r="AI14" s="1320">
        <f>SUM(AI15:AI17)</f>
        <v>174025</v>
      </c>
      <c r="AJ14" s="1321"/>
      <c r="AK14" s="1321"/>
      <c r="AL14" s="1321"/>
      <c r="AM14" s="1321"/>
      <c r="AN14" s="1321"/>
      <c r="AO14" s="1322" t="s">
        <v>1703</v>
      </c>
      <c r="AP14" s="1322" t="s">
        <v>3318</v>
      </c>
      <c r="AQ14" s="1322"/>
    </row>
    <row r="15" spans="1:43" ht="75">
      <c r="A15" s="379" t="s">
        <v>3319</v>
      </c>
      <c r="B15" s="379" t="s">
        <v>3320</v>
      </c>
      <c r="C15" s="1281">
        <f>SUM(J15,K15,L15,P15,Q15,R15,V15,W15,X15,AB15,AC15,AD15)</f>
        <v>368</v>
      </c>
      <c r="D15" s="379" t="s">
        <v>57</v>
      </c>
      <c r="E15" s="379" t="s">
        <v>370</v>
      </c>
      <c r="F15" s="379" t="s">
        <v>3321</v>
      </c>
      <c r="G15" s="1323">
        <f>AH15/AH$18*100</f>
        <v>27.582243930469758</v>
      </c>
      <c r="H15" s="1323"/>
      <c r="I15" s="1323">
        <f>AH15/AH$14*100</f>
        <v>27.582243930469758</v>
      </c>
      <c r="J15" s="1324">
        <v>31</v>
      </c>
      <c r="K15" s="1324">
        <v>31</v>
      </c>
      <c r="L15" s="1324">
        <v>31</v>
      </c>
      <c r="M15" s="1325">
        <v>4000</v>
      </c>
      <c r="N15" s="1325">
        <v>4000</v>
      </c>
      <c r="O15" s="1325">
        <v>4000</v>
      </c>
      <c r="P15" s="1324">
        <v>31</v>
      </c>
      <c r="Q15" s="1324">
        <v>31</v>
      </c>
      <c r="R15" s="1324">
        <v>31</v>
      </c>
      <c r="S15" s="1325">
        <v>4000</v>
      </c>
      <c r="T15" s="1325">
        <v>4000</v>
      </c>
      <c r="U15" s="1325">
        <v>4000</v>
      </c>
      <c r="V15" s="1324">
        <v>31</v>
      </c>
      <c r="W15" s="1324">
        <v>31</v>
      </c>
      <c r="X15" s="1324">
        <v>30</v>
      </c>
      <c r="Y15" s="1325">
        <v>4000</v>
      </c>
      <c r="Z15" s="1325">
        <v>4000</v>
      </c>
      <c r="AA15" s="1325">
        <v>4000</v>
      </c>
      <c r="AB15" s="1324">
        <v>30</v>
      </c>
      <c r="AC15" s="1324">
        <v>30</v>
      </c>
      <c r="AD15" s="1324">
        <v>30</v>
      </c>
      <c r="AE15" s="1325">
        <v>4000</v>
      </c>
      <c r="AF15" s="1325">
        <v>4000</v>
      </c>
      <c r="AG15" s="1325">
        <v>4000</v>
      </c>
      <c r="AH15" s="1326">
        <f>SUM(M15,N15,O15,S15,T15,U15,Y15,Z15,AA15,AE15,AF15,AG15)</f>
        <v>48000</v>
      </c>
      <c r="AI15" s="1326">
        <f>+AH15</f>
        <v>48000</v>
      </c>
      <c r="AJ15" s="1325"/>
      <c r="AK15" s="1325"/>
      <c r="AL15" s="1325"/>
      <c r="AM15" s="1325"/>
      <c r="AN15" s="1325"/>
      <c r="AO15" s="1327" t="s">
        <v>1703</v>
      </c>
      <c r="AP15" s="1327" t="s">
        <v>3318</v>
      </c>
      <c r="AQ15" s="1327"/>
    </row>
    <row r="16" spans="1:43" ht="60">
      <c r="A16" s="379" t="s">
        <v>3322</v>
      </c>
      <c r="B16" s="1328" t="s">
        <v>3323</v>
      </c>
      <c r="C16" s="1281">
        <f t="shared" ref="C16:C17" si="8">SUM(J16,K16,L16,P16,Q16,R16,V16,W16,X16,AB16,AC16,AD16)</f>
        <v>1610</v>
      </c>
      <c r="D16" s="1328" t="s">
        <v>57</v>
      </c>
      <c r="E16" s="1328" t="s">
        <v>3324</v>
      </c>
      <c r="F16" s="1328" t="s">
        <v>3325</v>
      </c>
      <c r="G16" s="1323">
        <f t="shared" ref="G16:G17" si="9">AH16/AH$18*100</f>
        <v>36.209165349806064</v>
      </c>
      <c r="H16" s="1323"/>
      <c r="I16" s="1323">
        <f t="shared" ref="I16:I17" si="10">AH16/AH$14*100</f>
        <v>36.209165349806064</v>
      </c>
      <c r="J16" s="1324">
        <v>129</v>
      </c>
      <c r="K16" s="1324">
        <v>182</v>
      </c>
      <c r="L16" s="1324">
        <v>136</v>
      </c>
      <c r="M16" s="1325">
        <v>5252</v>
      </c>
      <c r="N16" s="1325">
        <v>5251</v>
      </c>
      <c r="O16" s="1325">
        <v>5251</v>
      </c>
      <c r="P16" s="1324">
        <v>120</v>
      </c>
      <c r="Q16" s="1324">
        <v>131</v>
      </c>
      <c r="R16" s="1324">
        <v>171</v>
      </c>
      <c r="S16" s="1325">
        <v>5251</v>
      </c>
      <c r="T16" s="1325">
        <v>5251</v>
      </c>
      <c r="U16" s="1325">
        <v>5251</v>
      </c>
      <c r="V16" s="1324">
        <v>138</v>
      </c>
      <c r="W16" s="1324">
        <v>123</v>
      </c>
      <c r="X16" s="1324">
        <v>120</v>
      </c>
      <c r="Y16" s="1325">
        <v>5251</v>
      </c>
      <c r="Z16" s="1325">
        <v>5251</v>
      </c>
      <c r="AA16" s="1325">
        <v>5251</v>
      </c>
      <c r="AB16" s="1324">
        <v>120</v>
      </c>
      <c r="AC16" s="1324">
        <v>120</v>
      </c>
      <c r="AD16" s="1324">
        <v>120</v>
      </c>
      <c r="AE16" s="1325">
        <v>5251</v>
      </c>
      <c r="AF16" s="1325">
        <v>5251</v>
      </c>
      <c r="AG16" s="1325">
        <v>5251</v>
      </c>
      <c r="AH16" s="1326">
        <f t="shared" ref="AH16:AH17" si="11">SUM(M16,N16,O16,S16,T16,U16,Y16,Z16,AA16,AE16,AF16,AG16)</f>
        <v>63013</v>
      </c>
      <c r="AI16" s="1326">
        <f>+AH16</f>
        <v>63013</v>
      </c>
      <c r="AJ16" s="1325"/>
      <c r="AK16" s="1325"/>
      <c r="AL16" s="1325"/>
      <c r="AM16" s="1325"/>
      <c r="AN16" s="1325"/>
      <c r="AO16" s="1327" t="s">
        <v>1703</v>
      </c>
      <c r="AP16" s="1327" t="s">
        <v>3318</v>
      </c>
      <c r="AQ16" s="1327"/>
    </row>
    <row r="17" spans="1:43" ht="75">
      <c r="A17" s="379" t="s">
        <v>3326</v>
      </c>
      <c r="B17" s="1328" t="s">
        <v>3327</v>
      </c>
      <c r="C17" s="1281">
        <f t="shared" si="8"/>
        <v>1428</v>
      </c>
      <c r="D17" s="1328" t="s">
        <v>57</v>
      </c>
      <c r="E17" s="1328" t="s">
        <v>3328</v>
      </c>
      <c r="F17" s="1328" t="s">
        <v>57</v>
      </c>
      <c r="G17" s="1323">
        <f t="shared" si="9"/>
        <v>36.208590719724178</v>
      </c>
      <c r="H17" s="1323"/>
      <c r="I17" s="1323">
        <f t="shared" si="10"/>
        <v>36.208590719724178</v>
      </c>
      <c r="J17" s="1324">
        <v>120</v>
      </c>
      <c r="K17" s="1324">
        <v>120</v>
      </c>
      <c r="L17" s="1324">
        <v>120</v>
      </c>
      <c r="M17" s="1325">
        <v>5251</v>
      </c>
      <c r="N17" s="1325">
        <v>5251</v>
      </c>
      <c r="O17" s="1325">
        <v>5251</v>
      </c>
      <c r="P17" s="1324">
        <v>120</v>
      </c>
      <c r="Q17" s="1324">
        <v>120</v>
      </c>
      <c r="R17" s="1324">
        <v>120</v>
      </c>
      <c r="S17" s="1325">
        <v>5251</v>
      </c>
      <c r="T17" s="1325">
        <v>5251</v>
      </c>
      <c r="U17" s="1325">
        <v>5251</v>
      </c>
      <c r="V17" s="1324">
        <v>120</v>
      </c>
      <c r="W17" s="1324">
        <v>120</v>
      </c>
      <c r="X17" s="1324">
        <v>117</v>
      </c>
      <c r="Y17" s="1325">
        <v>5251</v>
      </c>
      <c r="Z17" s="1325">
        <v>5251</v>
      </c>
      <c r="AA17" s="1325">
        <v>5251</v>
      </c>
      <c r="AB17" s="1324">
        <v>117</v>
      </c>
      <c r="AC17" s="1324">
        <v>117</v>
      </c>
      <c r="AD17" s="1324">
        <v>117</v>
      </c>
      <c r="AE17" s="1325">
        <v>5251</v>
      </c>
      <c r="AF17" s="1325">
        <v>5251</v>
      </c>
      <c r="AG17" s="1325">
        <v>5251</v>
      </c>
      <c r="AH17" s="1326">
        <f t="shared" si="11"/>
        <v>63012</v>
      </c>
      <c r="AI17" s="1326">
        <f>+AH17</f>
        <v>63012</v>
      </c>
      <c r="AJ17" s="1325"/>
      <c r="AK17" s="1325"/>
      <c r="AL17" s="1325"/>
      <c r="AM17" s="1325"/>
      <c r="AN17" s="1325"/>
      <c r="AO17" s="1327" t="s">
        <v>1703</v>
      </c>
      <c r="AP17" s="1327" t="s">
        <v>3318</v>
      </c>
      <c r="AQ17" s="1327"/>
    </row>
    <row r="18" spans="1:43" ht="15">
      <c r="A18" s="1329"/>
      <c r="B18" s="1329" t="s">
        <v>1728</v>
      </c>
      <c r="C18" s="1329"/>
      <c r="D18" s="1329"/>
      <c r="E18" s="1329"/>
      <c r="F18" s="1329"/>
      <c r="G18" s="1329"/>
      <c r="H18" s="1330">
        <f>+H13</f>
        <v>100</v>
      </c>
      <c r="I18" s="1330">
        <f>SUM(I15:I17)</f>
        <v>100</v>
      </c>
      <c r="J18" s="1331"/>
      <c r="K18" s="1331"/>
      <c r="L18" s="1331"/>
      <c r="M18" s="1332">
        <f>+M11</f>
        <v>14503</v>
      </c>
      <c r="N18" s="1332">
        <f t="shared" ref="N18:O18" si="12">+N11</f>
        <v>14502</v>
      </c>
      <c r="O18" s="1332">
        <f t="shared" si="12"/>
        <v>14502</v>
      </c>
      <c r="P18" s="1331"/>
      <c r="Q18" s="1331"/>
      <c r="R18" s="1331"/>
      <c r="S18" s="1332">
        <f t="shared" ref="S18:U18" si="13">+S11</f>
        <v>14502</v>
      </c>
      <c r="T18" s="1332">
        <f t="shared" si="13"/>
        <v>14502</v>
      </c>
      <c r="U18" s="1332">
        <f t="shared" si="13"/>
        <v>14502</v>
      </c>
      <c r="V18" s="1331"/>
      <c r="W18" s="1331"/>
      <c r="X18" s="1331"/>
      <c r="Y18" s="1332">
        <f t="shared" ref="Y18:AA18" si="14">+Y11</f>
        <v>14502</v>
      </c>
      <c r="Z18" s="1332">
        <f t="shared" si="14"/>
        <v>14502</v>
      </c>
      <c r="AA18" s="1332">
        <f t="shared" si="14"/>
        <v>14502</v>
      </c>
      <c r="AB18" s="1331"/>
      <c r="AC18" s="1331"/>
      <c r="AD18" s="1331"/>
      <c r="AE18" s="1332">
        <f t="shared" ref="AE18:AI18" si="15">+AE11</f>
        <v>14502</v>
      </c>
      <c r="AF18" s="1332">
        <f t="shared" si="15"/>
        <v>14502</v>
      </c>
      <c r="AG18" s="1332">
        <f t="shared" si="15"/>
        <v>14502</v>
      </c>
      <c r="AH18" s="1332">
        <f t="shared" si="15"/>
        <v>174025</v>
      </c>
      <c r="AI18" s="1332">
        <f t="shared" si="15"/>
        <v>174025</v>
      </c>
      <c r="AJ18" s="1333"/>
      <c r="AK18" s="1333"/>
      <c r="AL18" s="1333"/>
      <c r="AM18" s="1333"/>
      <c r="AN18" s="1333"/>
      <c r="AO18" s="1329"/>
      <c r="AP18" s="1329"/>
      <c r="AQ18" s="1329"/>
    </row>
  </sheetData>
  <sheetProtection algorithmName="SHA-512" hashValue="cJigZe4B+4zv0opNXHzpck/JuMNlEg56pdhw2ymgmgswW7bNxRfHcbVcp2G38CY+yFW1hzdmaWu+dvqdQ8nVXQ==" saltValue="vBkkfN/sdwrZ/Y/syyV/Yw==" spinCount="100000" sheet="1" objects="1" scenarios="1"/>
  <mergeCells count="35">
    <mergeCell ref="AM8:AM10"/>
    <mergeCell ref="J7:AH7"/>
    <mergeCell ref="AI7:AN7"/>
    <mergeCell ref="AO7:AO10"/>
    <mergeCell ref="AP7:AP10"/>
    <mergeCell ref="AN8:AN10"/>
    <mergeCell ref="J9:L9"/>
    <mergeCell ref="M9:O9"/>
    <mergeCell ref="P9:R9"/>
    <mergeCell ref="S9:U9"/>
    <mergeCell ref="V9:X9"/>
    <mergeCell ref="Y9:AA9"/>
    <mergeCell ref="AB9:AD9"/>
    <mergeCell ref="AE9:AG9"/>
    <mergeCell ref="AH8:AH10"/>
    <mergeCell ref="AI8:AI10"/>
    <mergeCell ref="AJ8:AJ10"/>
    <mergeCell ref="AK8:AK10"/>
    <mergeCell ref="AL8:AL10"/>
    <mergeCell ref="A1:AQ1"/>
    <mergeCell ref="A2:AQ2"/>
    <mergeCell ref="A3:AQ3"/>
    <mergeCell ref="B7:B10"/>
    <mergeCell ref="C7:C10"/>
    <mergeCell ref="D7:D10"/>
    <mergeCell ref="E7:E10"/>
    <mergeCell ref="F7:F10"/>
    <mergeCell ref="G7:G10"/>
    <mergeCell ref="H7:H10"/>
    <mergeCell ref="AQ7:AQ10"/>
    <mergeCell ref="J8:O8"/>
    <mergeCell ref="P8:U8"/>
    <mergeCell ref="V8:AA8"/>
    <mergeCell ref="AB8:AG8"/>
    <mergeCell ref="I7:I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RE-POA CENDEPESCA</vt:lpstr>
      <vt:lpstr>RE-POA CENTA</vt:lpstr>
      <vt:lpstr>RE-POA CSC</vt:lpstr>
      <vt:lpstr>RE-POA DGDR</vt:lpstr>
      <vt:lpstr>RE-POA DGEA</vt:lpstr>
      <vt:lpstr>RE-POA DGFCR</vt:lpstr>
      <vt:lpstr>RE-POA DGG</vt:lpstr>
      <vt:lpstr>RE-POA DGSV</vt:lpstr>
      <vt:lpstr>RE-POA DL</vt:lpstr>
      <vt:lpstr>RE-POA DTIT</vt:lpstr>
      <vt:lpstr>RE-POA ENA</vt:lpstr>
      <vt:lpstr>RE-POA ISTA</vt:lpstr>
      <vt:lpstr>RE-POA OACI</vt:lpstr>
      <vt:lpstr>RE-POA OAI</vt:lpstr>
      <vt:lpstr>RE-POA ODC</vt:lpstr>
      <vt:lpstr>POA-OFACC</vt:lpstr>
      <vt:lpstr>RE-POA OFI</vt:lpstr>
      <vt:lpstr>RE-POA OGA</vt:lpstr>
      <vt:lpstr>RE-POA OIR</vt:lpstr>
      <vt:lpstr>POA-DIMAG</vt:lpstr>
      <vt:lpstr>RE-POA UG</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Santos Fuentes</dc:creator>
  <cp:lastModifiedBy>MAG</cp:lastModifiedBy>
  <cp:lastPrinted>2022-02-14T19:31:36Z</cp:lastPrinted>
  <dcterms:created xsi:type="dcterms:W3CDTF">2022-01-28T19:23:28Z</dcterms:created>
  <dcterms:modified xsi:type="dcterms:W3CDTF">2022-02-14T19:32:25Z</dcterms:modified>
</cp:coreProperties>
</file>