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drawings/drawing11.xml" ContentType="application/vnd.openxmlformats-officedocument.drawing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externalLinks/externalLink8.xml" ContentType="application/vnd.openxmlformats-officedocument.spreadsheetml.externalLink+xml"/>
  <Override PartName="/xl/drawings/drawing7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21315" windowHeight="8505" firstSheet="10" activeTab="15"/>
  </bookViews>
  <sheets>
    <sheet name="PAO 2016 OPPS" sheetId="2" r:id="rId1"/>
    <sheet name="PAO 2016 OCDA" sheetId="10" r:id="rId2"/>
    <sheet name="POA 2016 OAJ" sheetId="9" r:id="rId3"/>
    <sheet name="POA 2016 ODC" sheetId="17" r:id="rId4"/>
    <sheet name="PAO 2016 OACI" sheetId="16" r:id="rId5"/>
    <sheet name="PAO 2016 OFI" sheetId="11" r:id="rId6"/>
    <sheet name="PAO 2016 OGA" sheetId="12" r:id="rId7"/>
    <sheet name="POA 2016 OIR" sheetId="13" r:id="rId8"/>
    <sheet name="PAO 2016 DGEA" sheetId="6" r:id="rId9"/>
    <sheet name="PAO 2016 DGSV" sheetId="1" r:id="rId10"/>
    <sheet name=" POA 2016 DGG" sheetId="7" r:id="rId11"/>
    <sheet name="PAO 2016 DGFCR" sheetId="8" r:id="rId12"/>
    <sheet name="POA 2016 CENDEPESCA" sheetId="14" r:id="rId13"/>
    <sheet name="PAO 2016 DGDR" sheetId="5" r:id="rId14"/>
    <sheet name="POA 2016 CENTA" sheetId="3" r:id="rId15"/>
    <sheet name="PAO 2016 ENA" sheetId="15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_FilterDatabase" localSheetId="10" hidden="1">' POA 2016 DGG'!$AQ$1:$AQ$88</definedName>
    <definedName name="_xlnm._FilterDatabase" localSheetId="1" hidden="1">'PAO 2016 OCDA'!$A$6:$AR$21</definedName>
    <definedName name="_xlnm._FilterDatabase" localSheetId="0" hidden="1">'PAO 2016 OPPS'!$A$6:$AR$77</definedName>
    <definedName name="_xlnm._FilterDatabase" localSheetId="14" hidden="1">'POA 2016 CENTA'!$A$7:$AR$70</definedName>
    <definedName name="_PAN02">'[1]02 PRODEMORO'!$AH$145</definedName>
    <definedName name="_PAN03">'[1]03 PREMODER'!$AH$145</definedName>
    <definedName name="_PAN05">'[1]CONSOLIDADO DSYE'!$AF$150</definedName>
    <definedName name="aaaaaaaa" localSheetId="13">#REF!</definedName>
    <definedName name="aaaaaaaa">#REF!</definedName>
    <definedName name="acumulado" localSheetId="13">#REF!</definedName>
    <definedName name="acumulado">#REF!</definedName>
    <definedName name="_xlnm.Print_Area" localSheetId="10">' POA 2016 DGG'!$A$1:$AR$88</definedName>
    <definedName name="_xlnm.Print_Area" localSheetId="13">'PAO 2016 DGDR'!$A$1:$AR$93</definedName>
    <definedName name="_xlnm.Print_Area" localSheetId="8">'PAO 2016 DGEA'!$A$1:$AR$58</definedName>
    <definedName name="_xlnm.Print_Area" localSheetId="11">'PAO 2016 DGFCR'!$A$1:$AR$47</definedName>
    <definedName name="_xlnm.Print_Area" localSheetId="9">'PAO 2016 DGSV'!$A$1:$AR$42</definedName>
    <definedName name="_xlnm.Print_Area" localSheetId="15">'PAO 2016 ENA'!$A$1:$AR$45</definedName>
    <definedName name="_xlnm.Print_Area" localSheetId="4">'PAO 2016 OACI'!$A$1:$AR$14</definedName>
    <definedName name="_xlnm.Print_Area" localSheetId="1">'PAO 2016 OCDA'!$A$1:$AR$20</definedName>
    <definedName name="_xlnm.Print_Area" localSheetId="5">'PAO 2016 OFI'!$A$1:$AR$26</definedName>
    <definedName name="_xlnm.Print_Area" localSheetId="6">'PAO 2016 OGA'!$A$1:$AR$80</definedName>
    <definedName name="_xlnm.Print_Area" localSheetId="0">'PAO 2016 OPPS'!$A$1:$AR$76</definedName>
    <definedName name="_xlnm.Print_Area" localSheetId="12">'POA 2016 CENDEPESCA'!$A$1:$AR$71</definedName>
    <definedName name="_xlnm.Print_Area" localSheetId="14">'POA 2016 CENTA'!$A$1:$AR$70</definedName>
    <definedName name="_xlnm.Print_Area" localSheetId="2">'POA 2016 OAJ'!$A$1:$AR$17</definedName>
    <definedName name="_xlnm.Print_Area" localSheetId="3">'POA 2016 ODC'!$A$1:$AR$30</definedName>
    <definedName name="_xlnm.Print_Area" localSheetId="7">'POA 2016 OIR'!$A$1:$AR$24</definedName>
    <definedName name="BuiltIn_Print_Area" localSheetId="13">#REF!</definedName>
    <definedName name="BuiltIn_Print_Area">#REF!</definedName>
    <definedName name="BuiltIn_Print_Area___0" localSheetId="13">#REF!</definedName>
    <definedName name="BuiltIn_Print_Area___0">#REF!</definedName>
    <definedName name="BuiltIn_Print_Area___0___0" localSheetId="13">#REF!</definedName>
    <definedName name="BuiltIn_Print_Area___0___0">#REF!</definedName>
    <definedName name="BuiltIn_Print_Area___0___0___0" localSheetId="13">#REF!</definedName>
    <definedName name="BuiltIn_Print_Area___0___0___0">#REF!</definedName>
    <definedName name="BuiltIn_Print_Titles" localSheetId="13">#REF!</definedName>
    <definedName name="BuiltIn_Print_Titles">#REF!</definedName>
    <definedName name="BuiltIn_Print_Titles___0" localSheetId="13">#REF!</definedName>
    <definedName name="BuiltIn_Print_Titles___0">#REF!</definedName>
    <definedName name="BuiltIn_Print_Titles___0___0" localSheetId="13">#REF!</definedName>
    <definedName name="BuiltIn_Print_Titles___0___0">#REF!</definedName>
    <definedName name="BuiltIn_Print_Titles___0___0___0" localSheetId="13">#REF!</definedName>
    <definedName name="BuiltIn_Print_Titles___0___0___0">#REF!</definedName>
    <definedName name="cabanasAT">'[2]PROGRAMA II 2013'!$BX$51:$BX$66</definedName>
    <definedName name="cabanasATEmpres">'[2]PROGRAMA II 2013'!$BW$51:$BW$66</definedName>
    <definedName name="cabanasATorg">'[2]PROGRAMA II 2013'!$BT$51:$BT$66</definedName>
    <definedName name="CABANASCAS">'[2]PROGRAMA II 2013'!$CC$51:$CC$66</definedName>
    <definedName name="CABANASCDP">'[2]PROGRAMA II 2013'!$CB$51:$CB$66</definedName>
    <definedName name="cabanasdiag">'[2]PROGRAMA II 2013'!$Q$51:$Q$66</definedName>
    <definedName name="CABANASHA">'[2]PROGRAMA II 2013'!$K$51:$K$66</definedName>
    <definedName name="CABANASINVERSION">'[2]PROGRAMA II 2013'!$BS$51:$BS$66</definedName>
    <definedName name="CABANASMA">'[2]PROGRAMA II 2013'!$L$51:$L$66</definedName>
    <definedName name="CABANASMUNICIPIO">'[2]PROGRAMA II 2013'!$D$51:$D$66</definedName>
    <definedName name="CABANASNUINV">'[2]PROGRAMA II 2013'!$BR$51:$BR$66</definedName>
    <definedName name="cabanaspladeneg">'[2]PROGRAMA II 2013'!$BO$51:$BO$66</definedName>
    <definedName name="cabanasplafort">'[2]PROGRAMA II 2013'!$AP$51:$AP$66</definedName>
    <definedName name="CABANASPLANES">'[2]PROGRAMA II 2013'!$CD$51:$CD$66</definedName>
    <definedName name="Cadena0101" localSheetId="13">#REF!</definedName>
    <definedName name="Cadena0101">#REF!</definedName>
    <definedName name="Cadena0102" localSheetId="13">#REF!</definedName>
    <definedName name="Cadena0102">#REF!</definedName>
    <definedName name="Cadena0103" localSheetId="13">#REF!</definedName>
    <definedName name="Cadena0103">#REF!</definedName>
    <definedName name="Cadena0104" localSheetId="13">#REF!</definedName>
    <definedName name="Cadena0104">#REF!</definedName>
    <definedName name="Cadena0105" localSheetId="13">#REF!</definedName>
    <definedName name="Cadena0105">#REF!</definedName>
    <definedName name="Cadena0106" localSheetId="13">#REF!</definedName>
    <definedName name="Cadena0106">#REF!</definedName>
    <definedName name="Cadena0107" localSheetId="13">#REF!</definedName>
    <definedName name="Cadena0107">#REF!</definedName>
    <definedName name="Cadena0108" localSheetId="13">#REF!</definedName>
    <definedName name="Cadena0108">#REF!</definedName>
    <definedName name="Cadena0109" localSheetId="13">#REF!</definedName>
    <definedName name="Cadena0109">#REF!</definedName>
    <definedName name="Cadena0110" localSheetId="13">#REF!</definedName>
    <definedName name="Cadena0110">#REF!</definedName>
    <definedName name="Cadena0120" localSheetId="13">#REF!</definedName>
    <definedName name="Cadena0120">#REF!</definedName>
    <definedName name="Cadena01RE" localSheetId="13">#REF!</definedName>
    <definedName name="Cadena01RE">#REF!</definedName>
    <definedName name="Cadena0201">'[1]02 PRODEMORO'!$AH$206</definedName>
    <definedName name="Cadena0202">'[1]02 PRODEMORO'!$AH$258</definedName>
    <definedName name="Cadena0203">'[1]02 PRODEMORO'!$AH$309</definedName>
    <definedName name="Cadena0204">'[1]02 PRODEMORO'!$AH$361</definedName>
    <definedName name="Cadena0205">'[1]02 PRODEMORO'!$AH$413</definedName>
    <definedName name="Cadena0206">'[1]02 PRODEMORO'!$AH$465</definedName>
    <definedName name="Cadena0207">'[1]02 PRODEMORO'!$AH$517</definedName>
    <definedName name="Cadena0208">'[1]02 PRODEMORO'!$AH$569</definedName>
    <definedName name="Cadena0209">'[1]02 PRODEMORO'!$AH$621</definedName>
    <definedName name="Cadena0210">'[1]02 PRODEMORO'!$AH$668</definedName>
    <definedName name="Cadena02RE">'[1]02 PRODEMORO'!$AH$805</definedName>
    <definedName name="Cadena0301">'[1]03 PREMODER'!$AH$206</definedName>
    <definedName name="Cadena0302">'[1]03 PREMODER'!$AH$258</definedName>
    <definedName name="Cadena0303">'[1]03 PREMODER'!$AH$309</definedName>
    <definedName name="Cadena0304">'[1]03 PREMODER'!$AH$361</definedName>
    <definedName name="Cadena0305">'[1]03 PREMODER'!$AH$413</definedName>
    <definedName name="Cadena0306">'[1]03 PREMODER'!$AH$465</definedName>
    <definedName name="Cadena0307">'[1]03 PREMODER'!$AH$517</definedName>
    <definedName name="Cadena0308">'[1]03 PREMODER'!$AH$569</definedName>
    <definedName name="Cadena0309">'[1]03 PREMODER'!$AH$621</definedName>
    <definedName name="Cadena0310">'[1]03 PREMODER'!$AH$668</definedName>
    <definedName name="Cadena03re">'[1]03 PREMODER'!$AH$805</definedName>
    <definedName name="CadenaCOSE04">'[1]CONSOLIDADO DSYE'!$AF$415</definedName>
    <definedName name="CadenaCOSE05">'[1]CONSOLIDADO DSYE'!$AF$490</definedName>
    <definedName name="COMITE1" localSheetId="13">#REF!</definedName>
    <definedName name="COMITE1">#REF!</definedName>
    <definedName name="COMITE2" localSheetId="13">#REF!</definedName>
    <definedName name="COMITE2">#REF!</definedName>
    <definedName name="COMITE3" localSheetId="13">#REF!</definedName>
    <definedName name="COMITE3">#REF!</definedName>
    <definedName name="COMITE4" localSheetId="13">#REF!</definedName>
    <definedName name="COMITE4">#REF!</definedName>
    <definedName name="COMITE6" localSheetId="13">#REF!</definedName>
    <definedName name="COMITE6">#REF!</definedName>
    <definedName name="COMITE7" localSheetId="13">#REF!</definedName>
    <definedName name="COMITE7">#REF!</definedName>
    <definedName name="COMITE8" localSheetId="13">#REF!</definedName>
    <definedName name="COMITE8">#REF!</definedName>
    <definedName name="Country">[3]Name!$D$2:$D$88</definedName>
    <definedName name="day">'[3]List of Indicators '!$J$1:$J$31</definedName>
    <definedName name="ddd" localSheetId="13">#REF!</definedName>
    <definedName name="ddd">#REF!</definedName>
    <definedName name="dos">'[4]List of Indicators '!$C$62:$C$97</definedName>
    <definedName name="eeeeee" localSheetId="13">#REF!</definedName>
    <definedName name="eeeeee">#REF!</definedName>
    <definedName name="end">'[3]List of Indicators '!$M$1:$M$4</definedName>
    <definedName name="fecha" localSheetId="13">[5]Llamadas!#REF!</definedName>
    <definedName name="fecha">[5]Llamadas!#REF!</definedName>
    <definedName name="first">'[3]List of Indicators '!$C$2:$C$57</definedName>
    <definedName name="IniCalendario" localSheetId="13">#REF!</definedName>
    <definedName name="IniCalendario">#REF!</definedName>
    <definedName name="IniLlamada" localSheetId="13">[5]Llamadas!#REF!</definedName>
    <definedName name="IniLlamada">[5]Llamadas!#REF!</definedName>
    <definedName name="INIORGA">'[2]ORGANIZACIONES 2011'!$A$1</definedName>
    <definedName name="JUN" localSheetId="13">#REF!</definedName>
    <definedName name="JUN">#REF!</definedName>
    <definedName name="JUNIO" localSheetId="13">#REF!</definedName>
    <definedName name="JUNIO">#REF!</definedName>
    <definedName name="month">'[3]List of Indicators '!$K$1:$K$12</definedName>
    <definedName name="NO" localSheetId="13">#REF!</definedName>
    <definedName name="NO">#REF!</definedName>
    <definedName name="Noviembre" localSheetId="13">#REF!</definedName>
    <definedName name="Noviembre">#REF!</definedName>
    <definedName name="nuevo" localSheetId="13">#REF!</definedName>
    <definedName name="nuevo">#REF!</definedName>
    <definedName name="octubre" localSheetId="13">#REF!</definedName>
    <definedName name="octubre">#REF!</definedName>
    <definedName name="OrdedeCom">#N/A</definedName>
    <definedName name="outreach">'[3]List of Indicators '!$C$58:$C$61</definedName>
    <definedName name="plan" localSheetId="13">#REF!</definedName>
    <definedName name="plan">#REF!</definedName>
    <definedName name="plan1" localSheetId="13">#REF!</definedName>
    <definedName name="plan1">#REF!</definedName>
    <definedName name="PRODEMORO" localSheetId="13">#REF!</definedName>
    <definedName name="PRODEMORO">#REF!</definedName>
    <definedName name="PY">'[3]List of Indicators '!$I$1:$I$10</definedName>
    <definedName name="SanVicente" localSheetId="13">#REF!</definedName>
    <definedName name="SanVicente">#REF!</definedName>
    <definedName name="SANVICENTE11">'[2]PROGRAMA II 2013'!$K$9:$K$21</definedName>
    <definedName name="SANVICENTE12">'[2]PROGRAMA II 2013'!$L$9:$L$21</definedName>
    <definedName name="SANVICENTE13">'[2]PROGRAMA II 2013'!$M$9:$M$21</definedName>
    <definedName name="SANVICENTE14">'[2]PROGRAMA II 2013'!$N$9:$N$21</definedName>
    <definedName name="SANVICENTE17">'[2]PROGRAMA II 2013'!$Q$9:$Q$21</definedName>
    <definedName name="SANVICENTE4">'[2]PROGRAMA II 2013'!$D$9:$D$21</definedName>
    <definedName name="SANVICENTE42">'[2]PROGRAMA II 2013'!$AP$9:$AP$21</definedName>
    <definedName name="SANVICENTE5">'[2]PROGRAMA II 2013'!$E$9:$E$21</definedName>
    <definedName name="SANVICENTE6">'[2]PROGRAMA II 2013'!$E$9:$E$21</definedName>
    <definedName name="SANVICENTE67">'[2]PROGRAMA II 2013'!$BO$9:$BO$21</definedName>
    <definedName name="SANVICENTE71">'[2]PROGRAMA II 2013'!$BS$9:$BS$21</definedName>
    <definedName name="SANVICENTE72">'[2]PROGRAMA II 2013'!$BT$9:$BT$21</definedName>
    <definedName name="SANVICENTE73">'[2]PROGRAMA II 2013'!$BW$9:$BW$21</definedName>
    <definedName name="SANVICENTE74">'[2]PROGRAMA II 2013'!$BX$9:$BX$21</definedName>
    <definedName name="SANVICENTE77">'[2]PROGRAMA II 2013'!$CA$9:$CA$21</definedName>
    <definedName name="SANVICENTE78">'[2]PROGRAMA II 2013'!$CB$9:$CB$21</definedName>
    <definedName name="SANVICENTE79">'[2]PROGRAMA II 2013'!$CC$9:$CC$21</definedName>
    <definedName name="SANVICENTE80">'[2]PROGRAMA II 2013'!$CD$9:$CD$21</definedName>
    <definedName name="scale">'[3]List of Indicators '!$G$1:$G$6</definedName>
    <definedName name="second">'[3]List of Indicators '!$C$62:$C$97</definedName>
    <definedName name="SHARED_FORMULA_0">#N/A</definedName>
    <definedName name="SHARED_FORMULA_1">#N/A</definedName>
    <definedName name="SHARED_FORMULA_10">#N/A</definedName>
    <definedName name="SHARED_FORMULA_100">#N/A</definedName>
    <definedName name="SHARED_FORMULA_101">#N/A</definedName>
    <definedName name="SHARED_FORMULA_102">#N/A</definedName>
    <definedName name="SHARED_FORMULA_103">#N/A</definedName>
    <definedName name="SHARED_FORMULA_104">#N/A</definedName>
    <definedName name="SHARED_FORMULA_105">#N/A</definedName>
    <definedName name="SHARED_FORMULA_106">#N/A</definedName>
    <definedName name="SHARED_FORMULA_107">#N/A</definedName>
    <definedName name="SHARED_FORMULA_108">#N/A</definedName>
    <definedName name="SHARED_FORMULA_109">#N/A</definedName>
    <definedName name="SHARED_FORMULA_11">#N/A</definedName>
    <definedName name="SHARED_FORMULA_110">#N/A</definedName>
    <definedName name="SHARED_FORMULA_111">#N/A</definedName>
    <definedName name="SHARED_FORMULA_112">#N/A</definedName>
    <definedName name="SHARED_FORMULA_113">#N/A</definedName>
    <definedName name="SHARED_FORMULA_114">#N/A</definedName>
    <definedName name="SHARED_FORMULA_115">#N/A</definedName>
    <definedName name="SHARED_FORMULA_116">#N/A</definedName>
    <definedName name="SHARED_FORMULA_117">#N/A</definedName>
    <definedName name="SHARED_FORMULA_118">#N/A</definedName>
    <definedName name="SHARED_FORMULA_119">#N/A</definedName>
    <definedName name="SHARED_FORMULA_12">#N/A</definedName>
    <definedName name="SHARED_FORMULA_120">#N/A</definedName>
    <definedName name="SHARED_FORMULA_121">#N/A</definedName>
    <definedName name="SHARED_FORMULA_122">#N/A</definedName>
    <definedName name="SHARED_FORMULA_123">#N/A</definedName>
    <definedName name="SHARED_FORMULA_124">#N/A</definedName>
    <definedName name="SHARED_FORMULA_125">#N/A</definedName>
    <definedName name="SHARED_FORMULA_126">#N/A</definedName>
    <definedName name="SHARED_FORMULA_127">#N/A</definedName>
    <definedName name="SHARED_FORMULA_128">#N/A</definedName>
    <definedName name="SHARED_FORMULA_129">#N/A</definedName>
    <definedName name="SHARED_FORMULA_13">#N/A</definedName>
    <definedName name="SHARED_FORMULA_130">#N/A</definedName>
    <definedName name="SHARED_FORMULA_131">#N/A</definedName>
    <definedName name="SHARED_FORMULA_132">#N/A</definedName>
    <definedName name="SHARED_FORMULA_133">#N/A</definedName>
    <definedName name="SHARED_FORMULA_134">#N/A</definedName>
    <definedName name="SHARED_FORMULA_135">#N/A</definedName>
    <definedName name="SHARED_FORMULA_136">#N/A</definedName>
    <definedName name="SHARED_FORMULA_137">#N/A</definedName>
    <definedName name="SHARED_FORMULA_138">#N/A</definedName>
    <definedName name="SHARED_FORMULA_139">#N/A</definedName>
    <definedName name="SHARED_FORMULA_14">#N/A</definedName>
    <definedName name="SHARED_FORMULA_140">#N/A</definedName>
    <definedName name="SHARED_FORMULA_141">#N/A</definedName>
    <definedName name="SHARED_FORMULA_142">#N/A</definedName>
    <definedName name="SHARED_FORMULA_143">#N/A</definedName>
    <definedName name="SHARED_FORMULA_144">#N/A</definedName>
    <definedName name="SHARED_FORMULA_145">#N/A</definedName>
    <definedName name="SHARED_FORMULA_146">#N/A</definedName>
    <definedName name="SHARED_FORMULA_147">#N/A</definedName>
    <definedName name="SHARED_FORMULA_148">#N/A</definedName>
    <definedName name="SHARED_FORMULA_149">#N/A</definedName>
    <definedName name="SHARED_FORMULA_15">#N/A</definedName>
    <definedName name="SHARED_FORMULA_150">#N/A</definedName>
    <definedName name="SHARED_FORMULA_151">#N/A</definedName>
    <definedName name="SHARED_FORMULA_152">#N/A</definedName>
    <definedName name="SHARED_FORMULA_153">#N/A</definedName>
    <definedName name="SHARED_FORMULA_154">#N/A</definedName>
    <definedName name="SHARED_FORMULA_155">#N/A</definedName>
    <definedName name="SHARED_FORMULA_156">#N/A</definedName>
    <definedName name="SHARED_FORMULA_157">#N/A</definedName>
    <definedName name="SHARED_FORMULA_158">#N/A</definedName>
    <definedName name="SHARED_FORMULA_159">#N/A</definedName>
    <definedName name="SHARED_FORMULA_16">#N/A</definedName>
    <definedName name="SHARED_FORMULA_160">#N/A</definedName>
    <definedName name="SHARED_FORMULA_17">#N/A</definedName>
    <definedName name="SHARED_FORMULA_18">#N/A</definedName>
    <definedName name="SHARED_FORMULA_19">#N/A</definedName>
    <definedName name="SHARED_FORMULA_2">#N/A</definedName>
    <definedName name="SHARED_FORMULA_20">#N/A</definedName>
    <definedName name="SHARED_FORMULA_21">#N/A</definedName>
    <definedName name="SHARED_FORMULA_22">#N/A</definedName>
    <definedName name="SHARED_FORMULA_23">#N/A</definedName>
    <definedName name="SHARED_FORMULA_24">#N/A</definedName>
    <definedName name="SHARED_FORMULA_25">#N/A</definedName>
    <definedName name="SHARED_FORMULA_26">#N/A</definedName>
    <definedName name="SHARED_FORMULA_27">#N/A</definedName>
    <definedName name="SHARED_FORMULA_28">#N/A</definedName>
    <definedName name="SHARED_FORMULA_29">#N/A</definedName>
    <definedName name="SHARED_FORMULA_3">#N/A</definedName>
    <definedName name="SHARED_FORMULA_30">#N/A</definedName>
    <definedName name="SHARED_FORMULA_31">#N/A</definedName>
    <definedName name="SHARED_FORMULA_32">#N/A</definedName>
    <definedName name="SHARED_FORMULA_33">#N/A</definedName>
    <definedName name="SHARED_FORMULA_34">#N/A</definedName>
    <definedName name="SHARED_FORMULA_35">#N/A</definedName>
    <definedName name="SHARED_FORMULA_36">#N/A</definedName>
    <definedName name="SHARED_FORMULA_37">#N/A</definedName>
    <definedName name="SHARED_FORMULA_38">#N/A</definedName>
    <definedName name="SHARED_FORMULA_39">#N/A</definedName>
    <definedName name="SHARED_FORMULA_4">#N/A</definedName>
    <definedName name="SHARED_FORMULA_40">#N/A</definedName>
    <definedName name="SHARED_FORMULA_41">#N/A</definedName>
    <definedName name="SHARED_FORMULA_42">#N/A</definedName>
    <definedName name="SHARED_FORMULA_43">#N/A</definedName>
    <definedName name="SHARED_FORMULA_44">#N/A</definedName>
    <definedName name="SHARED_FORMULA_45">#N/A</definedName>
    <definedName name="SHARED_FORMULA_46">#N/A</definedName>
    <definedName name="SHARED_FORMULA_47">#N/A</definedName>
    <definedName name="SHARED_FORMULA_48">#N/A</definedName>
    <definedName name="SHARED_FORMULA_49">#N/A</definedName>
    <definedName name="SHARED_FORMULA_5">#N/A</definedName>
    <definedName name="SHARED_FORMULA_50">#N/A</definedName>
    <definedName name="SHARED_FORMULA_51">#N/A</definedName>
    <definedName name="SHARED_FORMULA_52">#N/A</definedName>
    <definedName name="SHARED_FORMULA_53">#N/A</definedName>
    <definedName name="SHARED_FORMULA_54">#N/A</definedName>
    <definedName name="SHARED_FORMULA_55">#N/A</definedName>
    <definedName name="SHARED_FORMULA_56">#N/A</definedName>
    <definedName name="SHARED_FORMULA_57">#N/A</definedName>
    <definedName name="SHARED_FORMULA_58">#N/A</definedName>
    <definedName name="SHARED_FORMULA_59">#N/A</definedName>
    <definedName name="SHARED_FORMULA_6">#N/A</definedName>
    <definedName name="SHARED_FORMULA_60">#N/A</definedName>
    <definedName name="SHARED_FORMULA_61">#N/A</definedName>
    <definedName name="SHARED_FORMULA_62">#N/A</definedName>
    <definedName name="SHARED_FORMULA_63">#N/A</definedName>
    <definedName name="SHARED_FORMULA_64">#N/A</definedName>
    <definedName name="SHARED_FORMULA_65">#N/A</definedName>
    <definedName name="SHARED_FORMULA_66">#N/A</definedName>
    <definedName name="SHARED_FORMULA_67">#N/A</definedName>
    <definedName name="SHARED_FORMULA_68">#N/A</definedName>
    <definedName name="SHARED_FORMULA_69">#N/A</definedName>
    <definedName name="SHARED_FORMULA_7">#N/A</definedName>
    <definedName name="SHARED_FORMULA_70">#N/A</definedName>
    <definedName name="SHARED_FORMULA_71">#N/A</definedName>
    <definedName name="SHARED_FORMULA_72">#N/A</definedName>
    <definedName name="SHARED_FORMULA_73">#N/A</definedName>
    <definedName name="SHARED_FORMULA_74">#N/A</definedName>
    <definedName name="SHARED_FORMULA_75">#N/A</definedName>
    <definedName name="SHARED_FORMULA_76">#N/A</definedName>
    <definedName name="SHARED_FORMULA_77">#N/A</definedName>
    <definedName name="SHARED_FORMULA_78">#N/A</definedName>
    <definedName name="SHARED_FORMULA_79">#N/A</definedName>
    <definedName name="SHARED_FORMULA_8">#N/A</definedName>
    <definedName name="SHARED_FORMULA_80">#N/A</definedName>
    <definedName name="SHARED_FORMULA_81">#N/A</definedName>
    <definedName name="SHARED_FORMULA_82">#N/A</definedName>
    <definedName name="SHARED_FORMULA_83">#N/A</definedName>
    <definedName name="SHARED_FORMULA_84">#N/A</definedName>
    <definedName name="SHARED_FORMULA_85">#N/A</definedName>
    <definedName name="SHARED_FORMULA_86">#N/A</definedName>
    <definedName name="SHARED_FORMULA_87">#N/A</definedName>
    <definedName name="SHARED_FORMULA_88">#N/A</definedName>
    <definedName name="SHARED_FORMULA_89">#N/A</definedName>
    <definedName name="SHARED_FORMULA_9">#N/A</definedName>
    <definedName name="SHARED_FORMULA_90">#N/A</definedName>
    <definedName name="SHARED_FORMULA_91">#N/A</definedName>
    <definedName name="SHARED_FORMULA_92">#N/A</definedName>
    <definedName name="SHARED_FORMULA_93">#N/A</definedName>
    <definedName name="SHARED_FORMULA_94">#N/A</definedName>
    <definedName name="SHARED_FORMULA_95">#N/A</definedName>
    <definedName name="SHARED_FORMULA_96">#N/A</definedName>
    <definedName name="SHARED_FORMULA_97">#N/A</definedName>
    <definedName name="SHARED_FORMULA_98">#N/A</definedName>
    <definedName name="SHARED_FORMULA_99">#N/A</definedName>
    <definedName name="third">'[3]List of Indicators '!$C$98:$C$112</definedName>
    <definedName name="_xlnm.Print_Titles" localSheetId="10">' POA 2016 DGG'!$6:$9</definedName>
    <definedName name="_xlnm.Print_Titles" localSheetId="13">'PAO 2016 DGDR'!$6:$9</definedName>
    <definedName name="_xlnm.Print_Titles" localSheetId="8">'PAO 2016 DGEA'!$6:$9</definedName>
    <definedName name="_xlnm.Print_Titles" localSheetId="11">'PAO 2016 DGFCR'!$6:$9</definedName>
    <definedName name="_xlnm.Print_Titles" localSheetId="9">'PAO 2016 DGSV'!$7:$9</definedName>
    <definedName name="_xlnm.Print_Titles" localSheetId="15">'PAO 2016 ENA'!$6:$9</definedName>
    <definedName name="_xlnm.Print_Titles" localSheetId="4">'PAO 2016 OACI'!$6:$9</definedName>
    <definedName name="_xlnm.Print_Titles" localSheetId="1">'PAO 2016 OCDA'!$6:$9</definedName>
    <definedName name="_xlnm.Print_Titles" localSheetId="5">'PAO 2016 OFI'!$6:$9</definedName>
    <definedName name="_xlnm.Print_Titles" localSheetId="6">'PAO 2016 OGA'!$6:$9</definedName>
    <definedName name="_xlnm.Print_Titles" localSheetId="0">'PAO 2016 OPPS'!$6:$9</definedName>
    <definedName name="_xlnm.Print_Titles" localSheetId="12">'POA 2016 CENDEPESCA'!$6:$9</definedName>
    <definedName name="_xlnm.Print_Titles" localSheetId="14">'POA 2016 CENTA'!$7:$10</definedName>
    <definedName name="_xlnm.Print_Titles" localSheetId="2">'POA 2016 OAJ'!$6:$9</definedName>
    <definedName name="_xlnm.Print_Titles" localSheetId="3">'POA 2016 ODC'!$6:$9</definedName>
    <definedName name="_xlnm.Print_Titles" localSheetId="7">'POA 2016 OIR'!$6:$9</definedName>
    <definedName name="TOTALES2012" localSheetId="13">#REF!</definedName>
    <definedName name="TOTALES2012">#REF!</definedName>
    <definedName name="UM1_12" localSheetId="11">'[6]9 B'!$C$10</definedName>
    <definedName name="UM1_12">'[6]9 B'!$C$10</definedName>
    <definedName name="unit">'[3]List of Indicators '!$F$1:$F$6</definedName>
    <definedName name="unitthird">'[3]List of Indicators '!$H$1:$H$5</definedName>
    <definedName name="valuevx" localSheetId="13">#REF!</definedName>
    <definedName name="valuevx">#REF!</definedName>
    <definedName name="year">'[3]List of Indicators '!$L$1:$L$4</definedName>
  </definedNames>
  <calcPr calcId="125725"/>
</workbook>
</file>

<file path=xl/calcChain.xml><?xml version="1.0" encoding="utf-8"?>
<calcChain xmlns="http://schemas.openxmlformats.org/spreadsheetml/2006/main">
  <c r="AJ23" i="13"/>
  <c r="AJ22"/>
  <c r="AJ21"/>
  <c r="AJ20"/>
  <c r="AJ19"/>
  <c r="AJ18"/>
  <c r="AK23"/>
  <c r="AK22"/>
  <c r="AK21"/>
  <c r="AK20"/>
  <c r="AK19"/>
  <c r="AK18"/>
  <c r="AK17"/>
  <c r="AK16" s="1"/>
  <c r="AT23"/>
  <c r="AS23"/>
  <c r="AT22"/>
  <c r="AS22"/>
  <c r="AT21"/>
  <c r="AS21"/>
  <c r="AT20"/>
  <c r="AS20"/>
  <c r="AT19"/>
  <c r="AS19"/>
  <c r="AT18"/>
  <c r="AS18"/>
  <c r="AT17"/>
  <c r="AS17"/>
  <c r="AL46" i="8" l="1"/>
  <c r="AK45"/>
  <c r="AT46"/>
  <c r="AK44"/>
  <c r="AT44" s="1"/>
  <c r="AS46"/>
  <c r="AT45"/>
  <c r="AS45"/>
  <c r="AS44"/>
  <c r="AT59" i="7"/>
  <c r="AS59"/>
  <c r="AM22"/>
  <c r="AT22" s="1"/>
  <c r="AT23"/>
  <c r="AS23"/>
  <c r="AS22"/>
  <c r="AT21"/>
  <c r="AS21"/>
  <c r="AT31"/>
  <c r="AS31"/>
  <c r="AT30"/>
  <c r="AS30"/>
  <c r="AT76" i="2" l="1"/>
  <c r="AS76"/>
  <c r="AT75"/>
  <c r="AS75"/>
  <c r="AT74"/>
  <c r="AS74"/>
  <c r="AT73"/>
  <c r="AS73"/>
  <c r="AT72"/>
  <c r="AS72"/>
  <c r="AT71"/>
  <c r="AS71"/>
  <c r="AT70"/>
  <c r="AS70"/>
  <c r="AT69"/>
  <c r="AS69"/>
  <c r="AT68"/>
  <c r="AS68"/>
  <c r="AT67"/>
  <c r="AS67"/>
  <c r="AT66"/>
  <c r="AS66"/>
  <c r="AT65"/>
  <c r="AS65"/>
  <c r="AT64"/>
  <c r="AS64"/>
  <c r="AT63"/>
  <c r="AS63"/>
  <c r="AT62"/>
  <c r="AS62"/>
  <c r="AT61"/>
  <c r="AS61"/>
  <c r="AT60"/>
  <c r="AS60"/>
  <c r="AT59"/>
  <c r="AS59"/>
  <c r="AT58"/>
  <c r="AS58"/>
  <c r="AT57"/>
  <c r="AS57"/>
  <c r="AT56"/>
  <c r="AS56"/>
  <c r="AT55"/>
  <c r="AS55"/>
  <c r="AT54"/>
  <c r="AS54"/>
  <c r="AT53"/>
  <c r="AS53"/>
  <c r="AT52"/>
  <c r="AS52"/>
  <c r="AT51"/>
  <c r="AS51"/>
  <c r="AT50"/>
  <c r="AS50"/>
  <c r="AT49"/>
  <c r="AS49"/>
  <c r="AT48"/>
  <c r="AS48"/>
  <c r="AT47"/>
  <c r="AS47"/>
  <c r="AT46"/>
  <c r="AS46"/>
  <c r="AT45"/>
  <c r="AS45"/>
  <c r="AT44"/>
  <c r="AS44"/>
  <c r="AT43"/>
  <c r="AS43"/>
  <c r="AT42"/>
  <c r="AS42"/>
  <c r="AT41"/>
  <c r="AS41"/>
  <c r="AT40"/>
  <c r="AS40"/>
  <c r="AT39"/>
  <c r="AS39"/>
  <c r="AT38"/>
  <c r="AS38"/>
  <c r="AT37"/>
  <c r="AS37"/>
  <c r="AT36"/>
  <c r="AS36"/>
  <c r="AT35"/>
  <c r="AS35"/>
  <c r="AT34"/>
  <c r="AS34"/>
  <c r="AT33"/>
  <c r="AS33"/>
  <c r="AT32"/>
  <c r="AS32"/>
  <c r="AT31"/>
  <c r="AS31"/>
  <c r="AT30"/>
  <c r="AS30"/>
  <c r="AT29"/>
  <c r="AS29"/>
  <c r="AT28"/>
  <c r="AS28"/>
  <c r="AT27"/>
  <c r="AS27"/>
  <c r="AT26"/>
  <c r="AS26"/>
  <c r="AT25"/>
  <c r="AS25"/>
  <c r="AT24"/>
  <c r="AS24"/>
  <c r="AT23"/>
  <c r="AS23"/>
  <c r="AT22"/>
  <c r="AS22"/>
  <c r="AT21"/>
  <c r="AS21"/>
  <c r="AT20"/>
  <c r="AS20"/>
  <c r="AT19"/>
  <c r="AS19"/>
  <c r="AT18"/>
  <c r="AS18"/>
  <c r="AT17"/>
  <c r="AS17"/>
  <c r="AT16"/>
  <c r="AS16"/>
  <c r="AT15"/>
  <c r="AS15"/>
  <c r="AT14"/>
  <c r="AS14"/>
  <c r="AT13"/>
  <c r="AS13"/>
  <c r="AT12"/>
  <c r="AS12"/>
  <c r="AT11"/>
  <c r="AS11"/>
  <c r="AT10"/>
  <c r="AS10"/>
  <c r="AO40" i="1"/>
  <c r="AT40"/>
  <c r="AS40"/>
  <c r="AT39"/>
  <c r="AS39"/>
  <c r="AT38"/>
  <c r="AS38"/>
  <c r="AT37"/>
  <c r="AS37"/>
  <c r="AT36"/>
  <c r="AS36"/>
  <c r="AT35"/>
  <c r="AS35"/>
  <c r="AT34"/>
  <c r="AS34"/>
  <c r="AT33"/>
  <c r="AS33"/>
  <c r="AT32"/>
  <c r="AS32"/>
  <c r="AT31"/>
  <c r="AS31"/>
  <c r="AT30"/>
  <c r="AS30"/>
  <c r="AT29"/>
  <c r="AS29"/>
  <c r="AT28"/>
  <c r="AS28"/>
  <c r="AT27"/>
  <c r="AS27"/>
  <c r="AT26"/>
  <c r="AS26"/>
  <c r="AT25"/>
  <c r="AS25"/>
  <c r="AT24"/>
  <c r="AS24"/>
  <c r="AT23"/>
  <c r="AS23"/>
  <c r="AT22"/>
  <c r="AS22"/>
  <c r="AT21"/>
  <c r="AS21"/>
  <c r="AT20"/>
  <c r="AS20"/>
  <c r="AT19"/>
  <c r="AS19"/>
  <c r="AT18"/>
  <c r="AS18"/>
  <c r="AT17"/>
  <c r="AS17"/>
  <c r="AT16"/>
  <c r="AS16"/>
  <c r="AT15"/>
  <c r="AS15"/>
  <c r="AT14"/>
  <c r="AS14"/>
  <c r="AT13"/>
  <c r="AS13"/>
  <c r="AT12"/>
  <c r="AS12"/>
  <c r="AT11"/>
  <c r="AS11"/>
  <c r="AT10"/>
  <c r="AS10"/>
  <c r="AM22"/>
  <c r="AJ22"/>
  <c r="AM21"/>
  <c r="AO20"/>
  <c r="Q36" i="17"/>
  <c r="AS29"/>
  <c r="AO29"/>
  <c r="AN29"/>
  <c r="AM29"/>
  <c r="AL29"/>
  <c r="BG28"/>
  <c r="BF28"/>
  <c r="BE28"/>
  <c r="BD28"/>
  <c r="BC28"/>
  <c r="BB28"/>
  <c r="BA28"/>
  <c r="AZ28"/>
  <c r="AY28"/>
  <c r="AX28"/>
  <c r="AW28"/>
  <c r="AV28"/>
  <c r="AJ28"/>
  <c r="AT28" s="1"/>
  <c r="E28"/>
  <c r="BH28" s="1"/>
  <c r="BG27"/>
  <c r="BF27"/>
  <c r="BE27"/>
  <c r="BD27"/>
  <c r="BC27"/>
  <c r="BB27"/>
  <c r="BA27"/>
  <c r="AZ27"/>
  <c r="AY27"/>
  <c r="AX27"/>
  <c r="AW27"/>
  <c r="AV27"/>
  <c r="AJ27"/>
  <c r="AT27" s="1"/>
  <c r="E27"/>
  <c r="AS27" s="1"/>
  <c r="BG26"/>
  <c r="BF26"/>
  <c r="BE26"/>
  <c r="BD26"/>
  <c r="BC26"/>
  <c r="BB26"/>
  <c r="BA26"/>
  <c r="AZ26"/>
  <c r="AY26"/>
  <c r="AX26"/>
  <c r="AW26"/>
  <c r="AV26"/>
  <c r="AJ26"/>
  <c r="AT26" s="1"/>
  <c r="E26"/>
  <c r="BH26" s="1"/>
  <c r="BG25"/>
  <c r="BF25"/>
  <c r="BE25"/>
  <c r="BD25"/>
  <c r="BC25"/>
  <c r="BB25"/>
  <c r="BA25"/>
  <c r="AZ25"/>
  <c r="AY25"/>
  <c r="AX25"/>
  <c r="AW25"/>
  <c r="AV25"/>
  <c r="AU25"/>
  <c r="AT25"/>
  <c r="E25"/>
  <c r="AS25" s="1"/>
  <c r="BG24"/>
  <c r="BF24"/>
  <c r="BE24"/>
  <c r="BD24"/>
  <c r="BC24"/>
  <c r="BB24"/>
  <c r="BA24"/>
  <c r="AZ24"/>
  <c r="AY24"/>
  <c r="AX24"/>
  <c r="AW24"/>
  <c r="AV24"/>
  <c r="AS24"/>
  <c r="AJ24"/>
  <c r="BH24" s="1"/>
  <c r="BG23"/>
  <c r="BF23"/>
  <c r="BE23"/>
  <c r="BD23"/>
  <c r="BC23"/>
  <c r="BB23"/>
  <c r="BA23"/>
  <c r="AZ23"/>
  <c r="AY23"/>
  <c r="AX23"/>
  <c r="AW23"/>
  <c r="AV23"/>
  <c r="AJ23"/>
  <c r="AT23" s="1"/>
  <c r="E23"/>
  <c r="BH23" s="1"/>
  <c r="BG22"/>
  <c r="BF22"/>
  <c r="BE22"/>
  <c r="BD22"/>
  <c r="BC22"/>
  <c r="BB22"/>
  <c r="BA22"/>
  <c r="AZ22"/>
  <c r="AY22"/>
  <c r="AX22"/>
  <c r="AW22"/>
  <c r="AV22"/>
  <c r="AJ22"/>
  <c r="AT22" s="1"/>
  <c r="E22"/>
  <c r="AS22" s="1"/>
  <c r="BP21"/>
  <c r="BO21"/>
  <c r="BN21"/>
  <c r="BL21"/>
  <c r="BK21"/>
  <c r="BJ21"/>
  <c r="BI21"/>
  <c r="BG21"/>
  <c r="BF21"/>
  <c r="BE21"/>
  <c r="BD21"/>
  <c r="BC21"/>
  <c r="BB21"/>
  <c r="BA21"/>
  <c r="AZ21"/>
  <c r="AY21"/>
  <c r="AX21"/>
  <c r="AW21"/>
  <c r="AV21"/>
  <c r="AJ21"/>
  <c r="AT21" s="1"/>
  <c r="E21"/>
  <c r="BH21" s="1"/>
  <c r="BP20"/>
  <c r="BO20"/>
  <c r="BN20"/>
  <c r="BL20"/>
  <c r="BK20"/>
  <c r="BJ20"/>
  <c r="BI20"/>
  <c r="BG20"/>
  <c r="BF20"/>
  <c r="BE20"/>
  <c r="BD20"/>
  <c r="BC20"/>
  <c r="BB20"/>
  <c r="BA20"/>
  <c r="AZ20"/>
  <c r="AY20"/>
  <c r="AX20"/>
  <c r="AW20"/>
  <c r="AV20"/>
  <c r="AJ20"/>
  <c r="AT20" s="1"/>
  <c r="E20"/>
  <c r="BM20" s="1"/>
  <c r="BP19"/>
  <c r="BO19"/>
  <c r="BN19"/>
  <c r="BL19"/>
  <c r="BK19"/>
  <c r="BJ19"/>
  <c r="BI19"/>
  <c r="BG19"/>
  <c r="BF19"/>
  <c r="BE19"/>
  <c r="BD19"/>
  <c r="BC19"/>
  <c r="BB19"/>
  <c r="BA19"/>
  <c r="AZ19"/>
  <c r="AY19"/>
  <c r="AX19"/>
  <c r="AW19"/>
  <c r="AV19"/>
  <c r="AJ19"/>
  <c r="AT19" s="1"/>
  <c r="E19"/>
  <c r="BH19" s="1"/>
  <c r="BP18"/>
  <c r="BO18"/>
  <c r="BN18"/>
  <c r="BL18"/>
  <c r="BK18"/>
  <c r="BJ18"/>
  <c r="BI18"/>
  <c r="BG18"/>
  <c r="BF18"/>
  <c r="BE18"/>
  <c r="BD18"/>
  <c r="BC18"/>
  <c r="BB18"/>
  <c r="BA18"/>
  <c r="AZ18"/>
  <c r="AY18"/>
  <c r="AX18"/>
  <c r="AW18"/>
  <c r="AV18"/>
  <c r="AJ18"/>
  <c r="AT18" s="1"/>
  <c r="E18"/>
  <c r="BM18" s="1"/>
  <c r="BP17"/>
  <c r="BO17"/>
  <c r="BN17"/>
  <c r="BL17"/>
  <c r="BK17"/>
  <c r="BJ17"/>
  <c r="BI17"/>
  <c r="BG17"/>
  <c r="BF17"/>
  <c r="BE17"/>
  <c r="BD17"/>
  <c r="BC17"/>
  <c r="BB17"/>
  <c r="BA17"/>
  <c r="AZ17"/>
  <c r="AY17"/>
  <c r="AX17"/>
  <c r="AW17"/>
  <c r="AV17"/>
  <c r="AJ17"/>
  <c r="AT17" s="1"/>
  <c r="E17"/>
  <c r="BH17" s="1"/>
  <c r="BP16"/>
  <c r="BO16"/>
  <c r="BN16"/>
  <c r="BL16"/>
  <c r="BK16"/>
  <c r="BJ16"/>
  <c r="BI16"/>
  <c r="BG16"/>
  <c r="BF16"/>
  <c r="BE16"/>
  <c r="BD16"/>
  <c r="BC16"/>
  <c r="BB16"/>
  <c r="BA16"/>
  <c r="AZ16"/>
  <c r="AY16"/>
  <c r="AX16"/>
  <c r="AW16"/>
  <c r="AV16"/>
  <c r="AJ16"/>
  <c r="AT16" s="1"/>
  <c r="E16"/>
  <c r="BM16" s="1"/>
  <c r="BP15"/>
  <c r="BO15"/>
  <c r="BN15"/>
  <c r="BL15"/>
  <c r="BK15"/>
  <c r="BJ15"/>
  <c r="BI15"/>
  <c r="BG15"/>
  <c r="BF15"/>
  <c r="BE15"/>
  <c r="BD15"/>
  <c r="BC15"/>
  <c r="BB15"/>
  <c r="BA15"/>
  <c r="AZ15"/>
  <c r="AY15"/>
  <c r="AX15"/>
  <c r="AW15"/>
  <c r="AV15"/>
  <c r="AJ15"/>
  <c r="AT15" s="1"/>
  <c r="E15"/>
  <c r="BH15" s="1"/>
  <c r="BP14"/>
  <c r="BO14"/>
  <c r="BN14"/>
  <c r="BL14"/>
  <c r="BK14"/>
  <c r="BJ14"/>
  <c r="BI14"/>
  <c r="BG14"/>
  <c r="BF14"/>
  <c r="BE14"/>
  <c r="BD14"/>
  <c r="BC14"/>
  <c r="BB14"/>
  <c r="BA14"/>
  <c r="AZ14"/>
  <c r="AY14"/>
  <c r="AX14"/>
  <c r="AW14"/>
  <c r="AV14"/>
  <c r="AJ14"/>
  <c r="AT14" s="1"/>
  <c r="E14"/>
  <c r="BM14" s="1"/>
  <c r="BP13"/>
  <c r="BO13"/>
  <c r="BN13"/>
  <c r="BL13"/>
  <c r="BK13"/>
  <c r="BJ13"/>
  <c r="BI13"/>
  <c r="BG13"/>
  <c r="BF13"/>
  <c r="BE13"/>
  <c r="BD13"/>
  <c r="BC13"/>
  <c r="BB13"/>
  <c r="BA13"/>
  <c r="AZ13"/>
  <c r="AY13"/>
  <c r="AX13"/>
  <c r="AW13"/>
  <c r="AV13"/>
  <c r="AJ13"/>
  <c r="AT13" s="1"/>
  <c r="E13"/>
  <c r="BH13" s="1"/>
  <c r="BP12"/>
  <c r="BO12"/>
  <c r="BN12"/>
  <c r="BM12"/>
  <c r="BL12"/>
  <c r="BK12"/>
  <c r="BJ12"/>
  <c r="BI12"/>
  <c r="AS12"/>
  <c r="AJ12"/>
  <c r="AK12" s="1"/>
  <c r="AU12" s="1"/>
  <c r="AI12"/>
  <c r="AI29" s="1"/>
  <c r="AH12"/>
  <c r="AH29" s="1"/>
  <c r="AG12"/>
  <c r="AG29" s="1"/>
  <c r="AC12"/>
  <c r="AC29" s="1"/>
  <c r="AB12"/>
  <c r="AA12"/>
  <c r="AA29" s="1"/>
  <c r="W12"/>
  <c r="W29" s="1"/>
  <c r="V12"/>
  <c r="V29" s="1"/>
  <c r="U12"/>
  <c r="U29" s="1"/>
  <c r="Q12"/>
  <c r="Q29" s="1"/>
  <c r="P12"/>
  <c r="P29" s="1"/>
  <c r="O12"/>
  <c r="AT12" s="1"/>
  <c r="BP11"/>
  <c r="BO11"/>
  <c r="BN11"/>
  <c r="BL11"/>
  <c r="BK11"/>
  <c r="BJ11"/>
  <c r="BI11"/>
  <c r="BG11"/>
  <c r="BF11"/>
  <c r="BE11"/>
  <c r="BD11"/>
  <c r="BC11"/>
  <c r="BB11"/>
  <c r="BA11"/>
  <c r="AZ11"/>
  <c r="AY11"/>
  <c r="AX11"/>
  <c r="AW11"/>
  <c r="AV11"/>
  <c r="AJ11"/>
  <c r="AT11" s="1"/>
  <c r="E11"/>
  <c r="BH11" s="1"/>
  <c r="BP10"/>
  <c r="BO10"/>
  <c r="BN10"/>
  <c r="BM10"/>
  <c r="BL10"/>
  <c r="BK10"/>
  <c r="BJ10"/>
  <c r="BI10"/>
  <c r="AS10"/>
  <c r="AJ10"/>
  <c r="AK10" s="1"/>
  <c r="AB10"/>
  <c r="AB29" s="1"/>
  <c r="AK29" l="1"/>
  <c r="AU10"/>
  <c r="I11"/>
  <c r="K11" s="1"/>
  <c r="AS11"/>
  <c r="BM11"/>
  <c r="AS13"/>
  <c r="BM13"/>
  <c r="AK14"/>
  <c r="AU14" s="1"/>
  <c r="BH14"/>
  <c r="AS15"/>
  <c r="BM15"/>
  <c r="AK16"/>
  <c r="AU16" s="1"/>
  <c r="BH16"/>
  <c r="AS17"/>
  <c r="BM17"/>
  <c r="AK18"/>
  <c r="AU18" s="1"/>
  <c r="BH18"/>
  <c r="AS19"/>
  <c r="BM19"/>
  <c r="AK20"/>
  <c r="AU20" s="1"/>
  <c r="BH20"/>
  <c r="AS21"/>
  <c r="BM21"/>
  <c r="AK22"/>
  <c r="AU22" s="1"/>
  <c r="BH22"/>
  <c r="AS23"/>
  <c r="BH25"/>
  <c r="AS26"/>
  <c r="AK27"/>
  <c r="AU27" s="1"/>
  <c r="BH27"/>
  <c r="AS28"/>
  <c r="O29"/>
  <c r="AT29" s="1"/>
  <c r="AJ29"/>
  <c r="I10"/>
  <c r="AT10"/>
  <c r="AK11"/>
  <c r="AU11" s="1"/>
  <c r="AK13"/>
  <c r="AU13" s="1"/>
  <c r="AS14"/>
  <c r="AK15"/>
  <c r="AU15" s="1"/>
  <c r="AS16"/>
  <c r="AK17"/>
  <c r="AU17" s="1"/>
  <c r="AS18"/>
  <c r="AK19"/>
  <c r="AU19" s="1"/>
  <c r="AS20"/>
  <c r="AK21"/>
  <c r="AU21" s="1"/>
  <c r="AK23"/>
  <c r="AU23" s="1"/>
  <c r="AK24"/>
  <c r="AU24" s="1"/>
  <c r="AT24"/>
  <c r="AK26"/>
  <c r="AU26" s="1"/>
  <c r="AK28"/>
  <c r="AU28" s="1"/>
  <c r="Q37" l="1"/>
  <c r="AU29"/>
  <c r="J12"/>
  <c r="I12"/>
  <c r="J10"/>
  <c r="AK14" i="16" l="1"/>
  <c r="AI14"/>
  <c r="AH14"/>
  <c r="AG14"/>
  <c r="AC14"/>
  <c r="AB14"/>
  <c r="AA14"/>
  <c r="W14"/>
  <c r="V14"/>
  <c r="U14"/>
  <c r="Q14"/>
  <c r="P14"/>
  <c r="O14"/>
  <c r="AJ13"/>
  <c r="E13"/>
  <c r="AJ12"/>
  <c r="E12"/>
  <c r="AJ11"/>
  <c r="AJ14" s="1"/>
  <c r="E11"/>
  <c r="AI10"/>
  <c r="AH10"/>
  <c r="AG10"/>
  <c r="AC10"/>
  <c r="AB10"/>
  <c r="AA10"/>
  <c r="W10"/>
  <c r="V10"/>
  <c r="U10"/>
  <c r="Q10"/>
  <c r="P10"/>
  <c r="O10"/>
  <c r="AJ10" s="1"/>
  <c r="I10"/>
  <c r="J45" i="15"/>
  <c r="AJ44"/>
  <c r="AJ43"/>
  <c r="AJ42"/>
  <c r="AK41"/>
  <c r="AK45" s="1"/>
  <c r="AJ41"/>
  <c r="AG41"/>
  <c r="AG45" s="1"/>
  <c r="AC41"/>
  <c r="AC45" s="1"/>
  <c r="AB41"/>
  <c r="AB45" s="1"/>
  <c r="AJ40"/>
  <c r="AJ39"/>
  <c r="I39" s="1"/>
  <c r="AJ38"/>
  <c r="AJ37"/>
  <c r="AJ36"/>
  <c r="AJ35"/>
  <c r="AM34"/>
  <c r="AM45" s="1"/>
  <c r="AK34"/>
  <c r="AJ34"/>
  <c r="I37" s="1"/>
  <c r="AI34"/>
  <c r="AI45" s="1"/>
  <c r="AH34"/>
  <c r="AH45" s="1"/>
  <c r="AG34"/>
  <c r="AC34"/>
  <c r="AB34"/>
  <c r="AA34"/>
  <c r="AA45" s="1"/>
  <c r="W34"/>
  <c r="W45" s="1"/>
  <c r="V34"/>
  <c r="V45" s="1"/>
  <c r="U34"/>
  <c r="U45" s="1"/>
  <c r="Q34"/>
  <c r="Q45" s="1"/>
  <c r="P34"/>
  <c r="P45" s="1"/>
  <c r="O34"/>
  <c r="O45" s="1"/>
  <c r="AJ32"/>
  <c r="AJ31"/>
  <c r="AJ30"/>
  <c r="AJ29"/>
  <c r="AK28"/>
  <c r="AJ28"/>
  <c r="AI28"/>
  <c r="AH28"/>
  <c r="AC28"/>
  <c r="AB28"/>
  <c r="AJ27"/>
  <c r="I27" s="1"/>
  <c r="AK26"/>
  <c r="AJ26"/>
  <c r="AH26"/>
  <c r="AC26"/>
  <c r="AJ25"/>
  <c r="AJ24"/>
  <c r="AJ23"/>
  <c r="AK22"/>
  <c r="AH22"/>
  <c r="AC22"/>
  <c r="AJ21"/>
  <c r="AJ20"/>
  <c r="AK19"/>
  <c r="AH19"/>
  <c r="AC19"/>
  <c r="AK17"/>
  <c r="AJ17"/>
  <c r="AJ16"/>
  <c r="AJ15"/>
  <c r="AK14"/>
  <c r="AJ14"/>
  <c r="AC14"/>
  <c r="W14"/>
  <c r="AK10"/>
  <c r="AJ10"/>
  <c r="AI10"/>
  <c r="AH10"/>
  <c r="AG10"/>
  <c r="AJ70" i="14"/>
  <c r="AK70" s="1"/>
  <c r="AK69" s="1"/>
  <c r="E70"/>
  <c r="AM69"/>
  <c r="AJ69"/>
  <c r="AI69"/>
  <c r="AC69"/>
  <c r="W69"/>
  <c r="Q69"/>
  <c r="AS69" s="1"/>
  <c r="AJ68"/>
  <c r="AK68" s="1"/>
  <c r="AK67" s="1"/>
  <c r="E68"/>
  <c r="AM67"/>
  <c r="AJ67"/>
  <c r="AI67"/>
  <c r="AC67"/>
  <c r="W67"/>
  <c r="Q67"/>
  <c r="AS67" s="1"/>
  <c r="AK66"/>
  <c r="AJ66"/>
  <c r="E66"/>
  <c r="AJ65"/>
  <c r="AK65" s="1"/>
  <c r="E65"/>
  <c r="AK64"/>
  <c r="AJ64"/>
  <c r="E64"/>
  <c r="AJ63"/>
  <c r="AK63" s="1"/>
  <c r="E63"/>
  <c r="AJ62"/>
  <c r="AK62" s="1"/>
  <c r="E62"/>
  <c r="AJ61"/>
  <c r="AK61" s="1"/>
  <c r="AK60" s="1"/>
  <c r="E61"/>
  <c r="AM60"/>
  <c r="AJ60"/>
  <c r="I64" s="1"/>
  <c r="AI60"/>
  <c r="AH60"/>
  <c r="AG60"/>
  <c r="AC60"/>
  <c r="AB60"/>
  <c r="AA60"/>
  <c r="W60"/>
  <c r="V60"/>
  <c r="U60"/>
  <c r="Q60"/>
  <c r="AS60" s="1"/>
  <c r="AJ59"/>
  <c r="AK59" s="1"/>
  <c r="AK58" s="1"/>
  <c r="AM58"/>
  <c r="AI58"/>
  <c r="AC58"/>
  <c r="W58"/>
  <c r="Q58"/>
  <c r="AS58" s="1"/>
  <c r="AJ57"/>
  <c r="AK57" s="1"/>
  <c r="E57"/>
  <c r="AJ56"/>
  <c r="AK56" s="1"/>
  <c r="AK55" s="1"/>
  <c r="E56"/>
  <c r="AM55"/>
  <c r="AJ55"/>
  <c r="U55"/>
  <c r="Q55"/>
  <c r="AS55" s="1"/>
  <c r="AK54"/>
  <c r="AJ54"/>
  <c r="E54"/>
  <c r="AJ53"/>
  <c r="AK53" s="1"/>
  <c r="E53"/>
  <c r="AJ52"/>
  <c r="AK52" s="1"/>
  <c r="E52"/>
  <c r="AJ51"/>
  <c r="AK51" s="1"/>
  <c r="AK50" s="1"/>
  <c r="E51"/>
  <c r="AM50"/>
  <c r="AJ50"/>
  <c r="I54" s="1"/>
  <c r="AI50"/>
  <c r="AC50"/>
  <c r="W50"/>
  <c r="Q50"/>
  <c r="AS50" s="1"/>
  <c r="AK49"/>
  <c r="AJ49"/>
  <c r="E49"/>
  <c r="AJ48"/>
  <c r="AK48" s="1"/>
  <c r="E48"/>
  <c r="AK47"/>
  <c r="AJ47"/>
  <c r="E47"/>
  <c r="AJ46"/>
  <c r="AK46" s="1"/>
  <c r="E46"/>
  <c r="AK45"/>
  <c r="AK44" s="1"/>
  <c r="AJ45"/>
  <c r="E45"/>
  <c r="AM44"/>
  <c r="AJ44"/>
  <c r="AI44"/>
  <c r="AH44"/>
  <c r="AG44"/>
  <c r="AC44"/>
  <c r="AB44"/>
  <c r="AA44"/>
  <c r="W44"/>
  <c r="V44"/>
  <c r="U44"/>
  <c r="Q44"/>
  <c r="P44"/>
  <c r="O44"/>
  <c r="AS44" s="1"/>
  <c r="AJ43"/>
  <c r="AK43" s="1"/>
  <c r="E43"/>
  <c r="AJ42"/>
  <c r="AK42" s="1"/>
  <c r="AK41" s="1"/>
  <c r="E42"/>
  <c r="AM41"/>
  <c r="AJ41"/>
  <c r="AG41"/>
  <c r="AC41"/>
  <c r="AB41"/>
  <c r="W41"/>
  <c r="V41"/>
  <c r="Q41"/>
  <c r="AS41" s="1"/>
  <c r="AJ40"/>
  <c r="AK40" s="1"/>
  <c r="E40"/>
  <c r="AJ39"/>
  <c r="AK39" s="1"/>
  <c r="E39"/>
  <c r="AJ38"/>
  <c r="AK38" s="1"/>
  <c r="E38"/>
  <c r="AJ37"/>
  <c r="AK37" s="1"/>
  <c r="E37"/>
  <c r="AJ36"/>
  <c r="AK36" s="1"/>
  <c r="E36"/>
  <c r="AK35"/>
  <c r="AJ35"/>
  <c r="E35"/>
  <c r="AJ34"/>
  <c r="AK34" s="1"/>
  <c r="E34"/>
  <c r="AJ33"/>
  <c r="AK33" s="1"/>
  <c r="E33"/>
  <c r="AK32"/>
  <c r="AJ32"/>
  <c r="E32"/>
  <c r="AJ31"/>
  <c r="AK31" s="1"/>
  <c r="E31"/>
  <c r="AK30"/>
  <c r="AJ30"/>
  <c r="E30"/>
  <c r="AM29"/>
  <c r="AJ29"/>
  <c r="I30" s="1"/>
  <c r="AI29"/>
  <c r="AH29"/>
  <c r="AG29"/>
  <c r="AC29"/>
  <c r="AB29"/>
  <c r="AA29"/>
  <c r="W29"/>
  <c r="V29"/>
  <c r="U29"/>
  <c r="Q29"/>
  <c r="P29"/>
  <c r="O29"/>
  <c r="AS29" s="1"/>
  <c r="AJ28"/>
  <c r="AK28" s="1"/>
  <c r="E28"/>
  <c r="AJ27"/>
  <c r="AK27" s="1"/>
  <c r="E27"/>
  <c r="AJ26"/>
  <c r="AK26" s="1"/>
  <c r="E26"/>
  <c r="AJ25"/>
  <c r="AK25" s="1"/>
  <c r="E25"/>
  <c r="AK24"/>
  <c r="AJ24"/>
  <c r="E24"/>
  <c r="AJ23"/>
  <c r="AK23" s="1"/>
  <c r="E23"/>
  <c r="AJ22"/>
  <c r="AK22" s="1"/>
  <c r="E22"/>
  <c r="AK21"/>
  <c r="AJ21"/>
  <c r="E21"/>
  <c r="AJ20"/>
  <c r="AK20" s="1"/>
  <c r="E20"/>
  <c r="AJ19"/>
  <c r="AK19" s="1"/>
  <c r="AK18" s="1"/>
  <c r="E19"/>
  <c r="AM18"/>
  <c r="AJ18"/>
  <c r="AI18"/>
  <c r="AH18"/>
  <c r="AC18"/>
  <c r="AA18"/>
  <c r="W18"/>
  <c r="V18"/>
  <c r="U18"/>
  <c r="Q18"/>
  <c r="AS18" s="1"/>
  <c r="AJ17"/>
  <c r="AK17" s="1"/>
  <c r="AV16"/>
  <c r="AJ16"/>
  <c r="AK16" s="1"/>
  <c r="AJ15"/>
  <c r="AK15" s="1"/>
  <c r="E15"/>
  <c r="AJ14"/>
  <c r="AK14" s="1"/>
  <c r="E14"/>
  <c r="AJ13"/>
  <c r="AK13" s="1"/>
  <c r="E13"/>
  <c r="AJ12"/>
  <c r="AK12" s="1"/>
  <c r="E12"/>
  <c r="AK11"/>
  <c r="AJ11"/>
  <c r="E11"/>
  <c r="AM10"/>
  <c r="AM71" s="1"/>
  <c r="AI10"/>
  <c r="AI71" s="1"/>
  <c r="AH10"/>
  <c r="AH71" s="1"/>
  <c r="AG10"/>
  <c r="AG71" s="1"/>
  <c r="AC10"/>
  <c r="AC71" s="1"/>
  <c r="AB10"/>
  <c r="AB71" s="1"/>
  <c r="AA10"/>
  <c r="AA71" s="1"/>
  <c r="W10"/>
  <c r="W71" s="1"/>
  <c r="V10"/>
  <c r="V71" s="1"/>
  <c r="U10"/>
  <c r="U71" s="1"/>
  <c r="Q10"/>
  <c r="Q71" s="1"/>
  <c r="P10"/>
  <c r="P71" s="1"/>
  <c r="O10"/>
  <c r="O71" s="1"/>
  <c r="AI24" i="13"/>
  <c r="AG24"/>
  <c r="AB24"/>
  <c r="W24"/>
  <c r="U24"/>
  <c r="P24"/>
  <c r="E22"/>
  <c r="E16" s="1"/>
  <c r="E21"/>
  <c r="E20"/>
  <c r="E19"/>
  <c r="E18"/>
  <c r="AJ17"/>
  <c r="E17"/>
  <c r="AJ16"/>
  <c r="AI16"/>
  <c r="AH16"/>
  <c r="AH24" s="1"/>
  <c r="AG16"/>
  <c r="AC16"/>
  <c r="AC24" s="1"/>
  <c r="AB16"/>
  <c r="AA16"/>
  <c r="AA24" s="1"/>
  <c r="W16"/>
  <c r="V16"/>
  <c r="V24" s="1"/>
  <c r="U16"/>
  <c r="Q16"/>
  <c r="P16"/>
  <c r="O16"/>
  <c r="O24" s="1"/>
  <c r="AJ24" s="1"/>
  <c r="K16"/>
  <c r="I16"/>
  <c r="AK15"/>
  <c r="AJ15"/>
  <c r="AK14"/>
  <c r="AJ14"/>
  <c r="K14"/>
  <c r="K24" s="1"/>
  <c r="I14"/>
  <c r="E14"/>
  <c r="AJ13"/>
  <c r="AK13" s="1"/>
  <c r="AK12" s="1"/>
  <c r="AJ12"/>
  <c r="K12"/>
  <c r="I12"/>
  <c r="E12"/>
  <c r="Q10"/>
  <c r="Q24" s="1"/>
  <c r="K10"/>
  <c r="I10"/>
  <c r="I24" s="1"/>
  <c r="E10"/>
  <c r="J80" i="12"/>
  <c r="AJ79"/>
  <c r="E79"/>
  <c r="AJ78"/>
  <c r="U78"/>
  <c r="E78"/>
  <c r="AJ77"/>
  <c r="E77"/>
  <c r="AJ76"/>
  <c r="E76"/>
  <c r="AJ75"/>
  <c r="E75"/>
  <c r="AJ74"/>
  <c r="E74"/>
  <c r="AJ73"/>
  <c r="E73"/>
  <c r="AJ72"/>
  <c r="E72"/>
  <c r="AI71"/>
  <c r="AH71"/>
  <c r="AG71"/>
  <c r="AC71"/>
  <c r="AB71"/>
  <c r="AA71"/>
  <c r="W71"/>
  <c r="V71"/>
  <c r="U71"/>
  <c r="Q71"/>
  <c r="P71"/>
  <c r="O71"/>
  <c r="AJ71" s="1"/>
  <c r="AJ70"/>
  <c r="AJ69"/>
  <c r="E69"/>
  <c r="AJ68"/>
  <c r="E68"/>
  <c r="AJ67"/>
  <c r="E67"/>
  <c r="AJ66"/>
  <c r="E66"/>
  <c r="AJ65"/>
  <c r="E65"/>
  <c r="AJ64"/>
  <c r="E64"/>
  <c r="AJ63"/>
  <c r="E63"/>
  <c r="AJ62"/>
  <c r="E62"/>
  <c r="AI61"/>
  <c r="AH61"/>
  <c r="AG61"/>
  <c r="AJ61" s="1"/>
  <c r="E61"/>
  <c r="AJ60"/>
  <c r="E60"/>
  <c r="AJ59"/>
  <c r="E59"/>
  <c r="AJ58"/>
  <c r="E58"/>
  <c r="AJ57"/>
  <c r="E57"/>
  <c r="AJ56"/>
  <c r="E56"/>
  <c r="AI55"/>
  <c r="AH55"/>
  <c r="AG55"/>
  <c r="AC55"/>
  <c r="AB55"/>
  <c r="AA55"/>
  <c r="W55"/>
  <c r="V55"/>
  <c r="U55"/>
  <c r="Q55"/>
  <c r="P55"/>
  <c r="O55"/>
  <c r="AJ54"/>
  <c r="E54"/>
  <c r="AJ53"/>
  <c r="E53"/>
  <c r="AJ52"/>
  <c r="E52"/>
  <c r="AJ51"/>
  <c r="E51"/>
  <c r="AJ50"/>
  <c r="E50"/>
  <c r="AJ49"/>
  <c r="E49"/>
  <c r="AI48"/>
  <c r="AH48"/>
  <c r="AG48"/>
  <c r="AC48"/>
  <c r="AB48"/>
  <c r="AA48"/>
  <c r="W48"/>
  <c r="V48"/>
  <c r="U48"/>
  <c r="Q48"/>
  <c r="P48"/>
  <c r="O48"/>
  <c r="AJ47"/>
  <c r="AJ46"/>
  <c r="AJ45"/>
  <c r="E45"/>
  <c r="AJ44"/>
  <c r="E44"/>
  <c r="AJ43"/>
  <c r="E43"/>
  <c r="AJ42"/>
  <c r="AJ38"/>
  <c r="AJ41"/>
  <c r="AJ40"/>
  <c r="AJ39"/>
  <c r="AI37"/>
  <c r="AH37"/>
  <c r="AG37"/>
  <c r="AC37"/>
  <c r="AB37"/>
  <c r="AA37"/>
  <c r="W37"/>
  <c r="V37"/>
  <c r="U37"/>
  <c r="Q37"/>
  <c r="P37"/>
  <c r="O37"/>
  <c r="AJ37" s="1"/>
  <c r="AJ36"/>
  <c r="AJ35"/>
  <c r="AH34"/>
  <c r="AG34"/>
  <c r="AC34"/>
  <c r="AB34"/>
  <c r="AA34"/>
  <c r="W34"/>
  <c r="V34"/>
  <c r="U34"/>
  <c r="Q34"/>
  <c r="P34"/>
  <c r="O34"/>
  <c r="AU33"/>
  <c r="AJ33"/>
  <c r="AG32"/>
  <c r="AC32"/>
  <c r="AA32"/>
  <c r="W32"/>
  <c r="V32"/>
  <c r="U32"/>
  <c r="Q32"/>
  <c r="P32"/>
  <c r="AJ32" s="1"/>
  <c r="AJ31"/>
  <c r="AJ30"/>
  <c r="AJ29"/>
  <c r="E29"/>
  <c r="AJ28"/>
  <c r="AJ27"/>
  <c r="AJ26"/>
  <c r="AJ25"/>
  <c r="AI25"/>
  <c r="AH25"/>
  <c r="AG25"/>
  <c r="AC25"/>
  <c r="AB25"/>
  <c r="AA25"/>
  <c r="W25"/>
  <c r="V25"/>
  <c r="U25"/>
  <c r="Q25"/>
  <c r="P25"/>
  <c r="O25"/>
  <c r="AJ24"/>
  <c r="AJ23"/>
  <c r="AJ22"/>
  <c r="AJ21"/>
  <c r="AH20"/>
  <c r="AG20"/>
  <c r="AG80" s="1"/>
  <c r="AC20"/>
  <c r="AB20"/>
  <c r="AA20"/>
  <c r="W20"/>
  <c r="V20"/>
  <c r="U20"/>
  <c r="Q20"/>
  <c r="P20"/>
  <c r="P80" s="1"/>
  <c r="O20"/>
  <c r="AJ19"/>
  <c r="AJ18"/>
  <c r="AJ17"/>
  <c r="AJ16"/>
  <c r="AI15"/>
  <c r="AH15"/>
  <c r="AC15"/>
  <c r="AB15"/>
  <c r="AA15"/>
  <c r="AA80" s="1"/>
  <c r="W15"/>
  <c r="V15"/>
  <c r="V80" s="1"/>
  <c r="U15"/>
  <c r="Q15"/>
  <c r="AJ14"/>
  <c r="E14"/>
  <c r="AI13"/>
  <c r="AI80" s="1"/>
  <c r="AC13"/>
  <c r="W13"/>
  <c r="W80" s="1"/>
  <c r="Q13"/>
  <c r="AJ12"/>
  <c r="AJ11"/>
  <c r="AJ10"/>
  <c r="AS16" i="13" l="1"/>
  <c r="AT16"/>
  <c r="AS10" i="12"/>
  <c r="AK12"/>
  <c r="AT12" s="1"/>
  <c r="AS12"/>
  <c r="AS14"/>
  <c r="AK17"/>
  <c r="AT17"/>
  <c r="AS17"/>
  <c r="AK19"/>
  <c r="AT19" s="1"/>
  <c r="AS19"/>
  <c r="AK21"/>
  <c r="AT21"/>
  <c r="AS21"/>
  <c r="AK23"/>
  <c r="AT23" s="1"/>
  <c r="AS23"/>
  <c r="AS25"/>
  <c r="AS27"/>
  <c r="AS28"/>
  <c r="AK30"/>
  <c r="AT30"/>
  <c r="AS30"/>
  <c r="AS32"/>
  <c r="AK33"/>
  <c r="AK32" s="1"/>
  <c r="AT32" s="1"/>
  <c r="AS33"/>
  <c r="AK35"/>
  <c r="AT35"/>
  <c r="AS35"/>
  <c r="AK37"/>
  <c r="AT37" s="1"/>
  <c r="AS37"/>
  <c r="AK39"/>
  <c r="AT39"/>
  <c r="AS39"/>
  <c r="AK41"/>
  <c r="AT41" s="1"/>
  <c r="AS41"/>
  <c r="AK42"/>
  <c r="AT42"/>
  <c r="AS42"/>
  <c r="AK43"/>
  <c r="AT43" s="1"/>
  <c r="AS43"/>
  <c r="AK44"/>
  <c r="AT44"/>
  <c r="AS44"/>
  <c r="AK45"/>
  <c r="AT45" s="1"/>
  <c r="AS45"/>
  <c r="AK47"/>
  <c r="AT47"/>
  <c r="AS47"/>
  <c r="AK49"/>
  <c r="AS49"/>
  <c r="AK50"/>
  <c r="AT50"/>
  <c r="AS50"/>
  <c r="AK51"/>
  <c r="AT51" s="1"/>
  <c r="AS51"/>
  <c r="AK52"/>
  <c r="AT52"/>
  <c r="AS52"/>
  <c r="AK53"/>
  <c r="AT53" s="1"/>
  <c r="AS53"/>
  <c r="AK54"/>
  <c r="AT54"/>
  <c r="AS54"/>
  <c r="AK56"/>
  <c r="AS56"/>
  <c r="AK57"/>
  <c r="AT57"/>
  <c r="AS57"/>
  <c r="AK58"/>
  <c r="AT58" s="1"/>
  <c r="AS58"/>
  <c r="AK59"/>
  <c r="AT59"/>
  <c r="AS59"/>
  <c r="AK60"/>
  <c r="AT60" s="1"/>
  <c r="AS60"/>
  <c r="AK61"/>
  <c r="AT61"/>
  <c r="AS61"/>
  <c r="AK62"/>
  <c r="AT62" s="1"/>
  <c r="AS62"/>
  <c r="AK63"/>
  <c r="AT63"/>
  <c r="AS63"/>
  <c r="AK64"/>
  <c r="AT64" s="1"/>
  <c r="AS64"/>
  <c r="AK65"/>
  <c r="AT65"/>
  <c r="AS65"/>
  <c r="AK66"/>
  <c r="AT66" s="1"/>
  <c r="AS66"/>
  <c r="AK67"/>
  <c r="AT67"/>
  <c r="AS67"/>
  <c r="AK68"/>
  <c r="AT68" s="1"/>
  <c r="AS68"/>
  <c r="AK69"/>
  <c r="AT69"/>
  <c r="AS69"/>
  <c r="AS71"/>
  <c r="AK78"/>
  <c r="AT78" s="1"/>
  <c r="AS78"/>
  <c r="AK79"/>
  <c r="AT79"/>
  <c r="AS79"/>
  <c r="AK11"/>
  <c r="AT11" s="1"/>
  <c r="AS11"/>
  <c r="AK16"/>
  <c r="AT16"/>
  <c r="AS16"/>
  <c r="AK18"/>
  <c r="AT18" s="1"/>
  <c r="AS18"/>
  <c r="AK22"/>
  <c r="AT22"/>
  <c r="AS22"/>
  <c r="AK24"/>
  <c r="AT24" s="1"/>
  <c r="AS24"/>
  <c r="AK26"/>
  <c r="AT26"/>
  <c r="AS26"/>
  <c r="AK29"/>
  <c r="AT29" s="1"/>
  <c r="AS29"/>
  <c r="AK31"/>
  <c r="AT31"/>
  <c r="AS31"/>
  <c r="AK36"/>
  <c r="AT36" s="1"/>
  <c r="AS36"/>
  <c r="AK40"/>
  <c r="AT40"/>
  <c r="AS40"/>
  <c r="AK38"/>
  <c r="AT38" s="1"/>
  <c r="AS38"/>
  <c r="AK46"/>
  <c r="AT46"/>
  <c r="AS46"/>
  <c r="AK70"/>
  <c r="AT70" s="1"/>
  <c r="AS70"/>
  <c r="AK72"/>
  <c r="AT72"/>
  <c r="AS72"/>
  <c r="AK73"/>
  <c r="AT73" s="1"/>
  <c r="AS73"/>
  <c r="AK74"/>
  <c r="AT74"/>
  <c r="AS74"/>
  <c r="AK75"/>
  <c r="AT75" s="1"/>
  <c r="AS75"/>
  <c r="AK76"/>
  <c r="AT76"/>
  <c r="AS76"/>
  <c r="AK77"/>
  <c r="AT77" s="1"/>
  <c r="AS77"/>
  <c r="Q80"/>
  <c r="AC80"/>
  <c r="AK14"/>
  <c r="AK13" s="1"/>
  <c r="AJ15"/>
  <c r="AB80"/>
  <c r="AH80"/>
  <c r="O80"/>
  <c r="AK27"/>
  <c r="AT27" s="1"/>
  <c r="AK28"/>
  <c r="AT28" s="1"/>
  <c r="AJ34"/>
  <c r="AJ48"/>
  <c r="AJ55"/>
  <c r="I35" i="15"/>
  <c r="AJ19"/>
  <c r="I20" s="1"/>
  <c r="AJ22"/>
  <c r="I24" s="1"/>
  <c r="AK10" i="14"/>
  <c r="AK71" s="1"/>
  <c r="AK29"/>
  <c r="AS10"/>
  <c r="I42"/>
  <c r="I56"/>
  <c r="I57"/>
  <c r="I61"/>
  <c r="AJ10"/>
  <c r="I13"/>
  <c r="I14"/>
  <c r="I15"/>
  <c r="I23"/>
  <c r="I26"/>
  <c r="I34"/>
  <c r="I37"/>
  <c r="I38"/>
  <c r="I51"/>
  <c r="I52"/>
  <c r="I53"/>
  <c r="AJ58"/>
  <c r="I59" s="1"/>
  <c r="I68"/>
  <c r="I70"/>
  <c r="AJ10" i="13"/>
  <c r="AK10" s="1"/>
  <c r="AK24" s="1"/>
  <c r="AK25" i="12"/>
  <c r="AT25" s="1"/>
  <c r="AJ20"/>
  <c r="U80"/>
  <c r="AJ13"/>
  <c r="AT55" l="1"/>
  <c r="AS55"/>
  <c r="AS34"/>
  <c r="AT15"/>
  <c r="AS15"/>
  <c r="AJ80"/>
  <c r="AS80" s="1"/>
  <c r="AT13"/>
  <c r="AS13"/>
  <c r="AS20"/>
  <c r="AS48"/>
  <c r="AK55"/>
  <c r="AK48"/>
  <c r="AT48" s="1"/>
  <c r="AK10"/>
  <c r="AK71"/>
  <c r="AT71" s="1"/>
  <c r="AK15"/>
  <c r="AT56"/>
  <c r="AT49"/>
  <c r="AK34"/>
  <c r="AT34" s="1"/>
  <c r="AT33"/>
  <c r="AK20"/>
  <c r="AT20" s="1"/>
  <c r="AT14"/>
  <c r="I25" i="15"/>
  <c r="I21"/>
  <c r="AJ45"/>
  <c r="I23"/>
  <c r="AJ71" i="14"/>
  <c r="I11"/>
  <c r="AW16" s="1"/>
  <c r="I10"/>
  <c r="AJ25" i="11"/>
  <c r="AK25" s="1"/>
  <c r="E25"/>
  <c r="AJ24"/>
  <c r="AK24" s="1"/>
  <c r="E24"/>
  <c r="AJ23"/>
  <c r="AK23" s="1"/>
  <c r="K23"/>
  <c r="E23"/>
  <c r="AJ22"/>
  <c r="AK22" s="1"/>
  <c r="K22"/>
  <c r="E22"/>
  <c r="AJ21"/>
  <c r="AI21"/>
  <c r="AI26" s="1"/>
  <c r="AH21"/>
  <c r="AH26" s="1"/>
  <c r="AG21"/>
  <c r="AG26" s="1"/>
  <c r="AC21"/>
  <c r="AC26" s="1"/>
  <c r="AB21"/>
  <c r="AB26" s="1"/>
  <c r="AA21"/>
  <c r="AA26" s="1"/>
  <c r="W21"/>
  <c r="W26" s="1"/>
  <c r="V21"/>
  <c r="V26" s="1"/>
  <c r="U21"/>
  <c r="U26" s="1"/>
  <c r="Q21"/>
  <c r="Q26" s="1"/>
  <c r="P21"/>
  <c r="P26" s="1"/>
  <c r="O21"/>
  <c r="O26" s="1"/>
  <c r="AJ26" s="1"/>
  <c r="J21"/>
  <c r="J26" s="1"/>
  <c r="AJ20"/>
  <c r="AK20" s="1"/>
  <c r="K20"/>
  <c r="E20"/>
  <c r="AJ19"/>
  <c r="AK19" s="1"/>
  <c r="E19"/>
  <c r="AJ18"/>
  <c r="AK18" s="1"/>
  <c r="E18"/>
  <c r="AJ17"/>
  <c r="AI17"/>
  <c r="AH17"/>
  <c r="AG17"/>
  <c r="AC17"/>
  <c r="AB17"/>
  <c r="AA17"/>
  <c r="W17"/>
  <c r="V17"/>
  <c r="U17"/>
  <c r="Q17"/>
  <c r="P17"/>
  <c r="O17"/>
  <c r="J17"/>
  <c r="AI16"/>
  <c r="AH16"/>
  <c r="AG16"/>
  <c r="AC16"/>
  <c r="AB16"/>
  <c r="AA16"/>
  <c r="W16"/>
  <c r="V16"/>
  <c r="U16"/>
  <c r="Q16"/>
  <c r="P16"/>
  <c r="O16"/>
  <c r="AJ16" s="1"/>
  <c r="AK16" s="1"/>
  <c r="E16"/>
  <c r="AI15"/>
  <c r="AH15"/>
  <c r="AG15"/>
  <c r="AC15"/>
  <c r="AB15"/>
  <c r="AA15"/>
  <c r="W15"/>
  <c r="V15"/>
  <c r="U15"/>
  <c r="Q15"/>
  <c r="P15"/>
  <c r="O15"/>
  <c r="AJ15" s="1"/>
  <c r="AK15" s="1"/>
  <c r="E15"/>
  <c r="AI14"/>
  <c r="AH14"/>
  <c r="AG14"/>
  <c r="AC14"/>
  <c r="AB14"/>
  <c r="AA14"/>
  <c r="W14"/>
  <c r="V14"/>
  <c r="U14"/>
  <c r="Q14"/>
  <c r="P14"/>
  <c r="O14"/>
  <c r="AJ14" s="1"/>
  <c r="AK14" s="1"/>
  <c r="E14"/>
  <c r="AI13"/>
  <c r="AH13"/>
  <c r="AG13"/>
  <c r="AC13"/>
  <c r="AB13"/>
  <c r="AA13"/>
  <c r="W13"/>
  <c r="V13"/>
  <c r="U13"/>
  <c r="Q13"/>
  <c r="P13"/>
  <c r="O13"/>
  <c r="AJ13" s="1"/>
  <c r="E13"/>
  <c r="AJ12"/>
  <c r="AK12" s="1"/>
  <c r="K12"/>
  <c r="E12"/>
  <c r="AJ11"/>
  <c r="AK11" s="1"/>
  <c r="K11"/>
  <c r="E11"/>
  <c r="AI10"/>
  <c r="AH10"/>
  <c r="AG10"/>
  <c r="AC10"/>
  <c r="AB10"/>
  <c r="AA10"/>
  <c r="W10"/>
  <c r="V10"/>
  <c r="U10"/>
  <c r="Q10"/>
  <c r="P10"/>
  <c r="O10"/>
  <c r="J10"/>
  <c r="I20" i="10"/>
  <c r="AJ19"/>
  <c r="AK19" s="1"/>
  <c r="E19"/>
  <c r="AJ18"/>
  <c r="AI18"/>
  <c r="AI20" s="1"/>
  <c r="AH18"/>
  <c r="AH20" s="1"/>
  <c r="AG18"/>
  <c r="AG20" s="1"/>
  <c r="AC18"/>
  <c r="AC20" s="1"/>
  <c r="AB18"/>
  <c r="AB20" s="1"/>
  <c r="AA18"/>
  <c r="AA20" s="1"/>
  <c r="W18"/>
  <c r="W20" s="1"/>
  <c r="V18"/>
  <c r="V20" s="1"/>
  <c r="U18"/>
  <c r="U20" s="1"/>
  <c r="Q18"/>
  <c r="Q20" s="1"/>
  <c r="P18"/>
  <c r="P20" s="1"/>
  <c r="O18"/>
  <c r="O20" s="1"/>
  <c r="AK17"/>
  <c r="AJ17"/>
  <c r="K17"/>
  <c r="E17"/>
  <c r="AK16"/>
  <c r="AJ16"/>
  <c r="V16"/>
  <c r="AJ15"/>
  <c r="AK15" s="1"/>
  <c r="E15"/>
  <c r="AJ14"/>
  <c r="K15" s="1"/>
  <c r="AC14"/>
  <c r="AJ13"/>
  <c r="AK13" s="1"/>
  <c r="E13"/>
  <c r="AJ12"/>
  <c r="AK12" s="1"/>
  <c r="AI12"/>
  <c r="AJ11"/>
  <c r="AK11" s="1"/>
  <c r="AI10"/>
  <c r="AH10"/>
  <c r="AG10"/>
  <c r="AC10"/>
  <c r="AB10"/>
  <c r="AA10"/>
  <c r="W10"/>
  <c r="V10"/>
  <c r="U10"/>
  <c r="Q10"/>
  <c r="P10"/>
  <c r="O10"/>
  <c r="AH17" i="9"/>
  <c r="AG17"/>
  <c r="AC17"/>
  <c r="AB17"/>
  <c r="AA17"/>
  <c r="W17"/>
  <c r="V17"/>
  <c r="U17"/>
  <c r="Q17"/>
  <c r="P17"/>
  <c r="O17"/>
  <c r="K17"/>
  <c r="I17"/>
  <c r="AK16"/>
  <c r="AJ16"/>
  <c r="E16"/>
  <c r="AJ15"/>
  <c r="AK15" s="1"/>
  <c r="AI15"/>
  <c r="E15"/>
  <c r="AJ14"/>
  <c r="AK14" s="1"/>
  <c r="AI14"/>
  <c r="E14"/>
  <c r="AJ13"/>
  <c r="AK13" s="1"/>
  <c r="AI13"/>
  <c r="E13"/>
  <c r="AJ12"/>
  <c r="AK12" s="1"/>
  <c r="AI12"/>
  <c r="AI17" s="1"/>
  <c r="E12"/>
  <c r="AJ11"/>
  <c r="AJ17" s="1"/>
  <c r="E11"/>
  <c r="AI10"/>
  <c r="AH10"/>
  <c r="AG10"/>
  <c r="AC10"/>
  <c r="AB10"/>
  <c r="AA10"/>
  <c r="W10"/>
  <c r="V10"/>
  <c r="U10"/>
  <c r="Q10"/>
  <c r="P10"/>
  <c r="O10"/>
  <c r="AK80" i="12" l="1"/>
  <c r="AT80" s="1"/>
  <c r="AT10"/>
  <c r="I60" i="14"/>
  <c r="I41"/>
  <c r="I29"/>
  <c r="I67"/>
  <c r="I55"/>
  <c r="I50"/>
  <c r="AK13" i="11"/>
  <c r="AK10" s="1"/>
  <c r="AJ10"/>
  <c r="AK21"/>
  <c r="I22" s="1"/>
  <c r="AK17"/>
  <c r="I20" s="1"/>
  <c r="AK18" i="10"/>
  <c r="K19"/>
  <c r="AJ10"/>
  <c r="K13"/>
  <c r="AK14"/>
  <c r="AJ10" i="9"/>
  <c r="AK11"/>
  <c r="I11" i="11" l="1"/>
  <c r="I12"/>
  <c r="AK26"/>
  <c r="I21" s="1"/>
  <c r="I23"/>
  <c r="AK10" i="10"/>
  <c r="AK20"/>
  <c r="AJ20"/>
  <c r="K11"/>
  <c r="AK17" i="9"/>
  <c r="AK10"/>
  <c r="I47" i="8"/>
  <c r="AI46"/>
  <c r="AH46"/>
  <c r="AG46"/>
  <c r="AC46"/>
  <c r="AB46"/>
  <c r="AA46"/>
  <c r="V46"/>
  <c r="U46"/>
  <c r="AJ46" s="1"/>
  <c r="E46"/>
  <c r="AG45"/>
  <c r="AC45"/>
  <c r="V45"/>
  <c r="U45"/>
  <c r="Q45"/>
  <c r="AJ45" s="1"/>
  <c r="E45"/>
  <c r="AC44"/>
  <c r="AB44"/>
  <c r="AA44"/>
  <c r="W44"/>
  <c r="V44"/>
  <c r="U44"/>
  <c r="Q44"/>
  <c r="P44"/>
  <c r="O44"/>
  <c r="AJ44" s="1"/>
  <c r="AJ43" s="1"/>
  <c r="E44"/>
  <c r="AM43"/>
  <c r="AM47" s="1"/>
  <c r="AL43"/>
  <c r="AL47" s="1"/>
  <c r="AK43"/>
  <c r="AI43"/>
  <c r="AI47" s="1"/>
  <c r="AH43"/>
  <c r="AH47" s="1"/>
  <c r="AG43"/>
  <c r="AG47" s="1"/>
  <c r="AC43"/>
  <c r="AC47" s="1"/>
  <c r="AB43"/>
  <c r="AB47" s="1"/>
  <c r="AA43"/>
  <c r="AA47" s="1"/>
  <c r="W43"/>
  <c r="W47" s="1"/>
  <c r="V43"/>
  <c r="V47" s="1"/>
  <c r="U43"/>
  <c r="U47" s="1"/>
  <c r="Q43"/>
  <c r="Q47" s="1"/>
  <c r="P43"/>
  <c r="P47" s="1"/>
  <c r="O43"/>
  <c r="O47" s="1"/>
  <c r="AJ42"/>
  <c r="E42"/>
  <c r="AJ41"/>
  <c r="E41"/>
  <c r="AO40"/>
  <c r="AJ40"/>
  <c r="W40"/>
  <c r="U40"/>
  <c r="AJ39"/>
  <c r="AK39" s="1"/>
  <c r="E39"/>
  <c r="AJ38"/>
  <c r="AK38" s="1"/>
  <c r="AK37" s="1"/>
  <c r="AI37"/>
  <c r="AH37"/>
  <c r="AG37"/>
  <c r="AC37"/>
  <c r="AB37"/>
  <c r="AA37"/>
  <c r="W37"/>
  <c r="V37"/>
  <c r="U37"/>
  <c r="Q37"/>
  <c r="P37"/>
  <c r="AG36"/>
  <c r="W36"/>
  <c r="AJ36" s="1"/>
  <c r="AK35"/>
  <c r="AJ35"/>
  <c r="E35"/>
  <c r="AI34"/>
  <c r="AH34"/>
  <c r="AG34"/>
  <c r="AC34"/>
  <c r="AB34"/>
  <c r="AA34"/>
  <c r="W34"/>
  <c r="V34"/>
  <c r="U34"/>
  <c r="Q34"/>
  <c r="P34"/>
  <c r="O34"/>
  <c r="AJ33"/>
  <c r="AI33"/>
  <c r="AJ32"/>
  <c r="AG32"/>
  <c r="AO31"/>
  <c r="AK31"/>
  <c r="AJ31"/>
  <c r="AI31"/>
  <c r="AG31"/>
  <c r="AJ30"/>
  <c r="AK30" s="1"/>
  <c r="AK28" s="1"/>
  <c r="AK29"/>
  <c r="AJ29"/>
  <c r="W28"/>
  <c r="U28"/>
  <c r="AJ27"/>
  <c r="AJ26"/>
  <c r="AK26" s="1"/>
  <c r="E26"/>
  <c r="AK25"/>
  <c r="AJ25"/>
  <c r="E25"/>
  <c r="AO24"/>
  <c r="AJ24"/>
  <c r="E24"/>
  <c r="AJ23"/>
  <c r="AO23" s="1"/>
  <c r="AO19" s="1"/>
  <c r="E23"/>
  <c r="AO22"/>
  <c r="AG22"/>
  <c r="AC22"/>
  <c r="AB22"/>
  <c r="AA22"/>
  <c r="Z22"/>
  <c r="Y22"/>
  <c r="X22"/>
  <c r="W22"/>
  <c r="V22"/>
  <c r="U22"/>
  <c r="AJ22" s="1"/>
  <c r="E22"/>
  <c r="AJ21"/>
  <c r="AK21" s="1"/>
  <c r="E21"/>
  <c r="AK20"/>
  <c r="AJ20"/>
  <c r="E20"/>
  <c r="AI19"/>
  <c r="AH19"/>
  <c r="AG19"/>
  <c r="AC19"/>
  <c r="AB19"/>
  <c r="AA19"/>
  <c r="W19"/>
  <c r="V19"/>
  <c r="U19"/>
  <c r="Q19"/>
  <c r="P19"/>
  <c r="O19"/>
  <c r="AJ18"/>
  <c r="AK18" s="1"/>
  <c r="E18"/>
  <c r="AJ17"/>
  <c r="AK17" s="1"/>
  <c r="E17"/>
  <c r="AJ16"/>
  <c r="E16"/>
  <c r="AH15"/>
  <c r="AG15"/>
  <c r="W15"/>
  <c r="V15"/>
  <c r="U15"/>
  <c r="T15"/>
  <c r="S15"/>
  <c r="R15"/>
  <c r="Q15"/>
  <c r="P15"/>
  <c r="AJ15" s="1"/>
  <c r="N15"/>
  <c r="M15"/>
  <c r="E15"/>
  <c r="AO14"/>
  <c r="AN14"/>
  <c r="AM14"/>
  <c r="AL14"/>
  <c r="AI14"/>
  <c r="AH14"/>
  <c r="AG14"/>
  <c r="AC14"/>
  <c r="AB14"/>
  <c r="AA14"/>
  <c r="W14"/>
  <c r="V14"/>
  <c r="U14"/>
  <c r="Q14"/>
  <c r="P14"/>
  <c r="O14"/>
  <c r="AJ13"/>
  <c r="AK13" s="1"/>
  <c r="E13"/>
  <c r="AJ12"/>
  <c r="AK12" s="1"/>
  <c r="AJ11"/>
  <c r="AK11" s="1"/>
  <c r="AK10" s="1"/>
  <c r="E11"/>
  <c r="AI10"/>
  <c r="AH10"/>
  <c r="AG10"/>
  <c r="AC10"/>
  <c r="AB10"/>
  <c r="AA10"/>
  <c r="W10"/>
  <c r="V10"/>
  <c r="U10"/>
  <c r="P10"/>
  <c r="O10"/>
  <c r="I10" i="11" l="1"/>
  <c r="I17"/>
  <c r="I26" s="1"/>
  <c r="J16" i="10"/>
  <c r="J14"/>
  <c r="J12"/>
  <c r="J18"/>
  <c r="J10"/>
  <c r="AK36" i="8"/>
  <c r="AK34" s="1"/>
  <c r="AK47" s="1"/>
  <c r="AJ34"/>
  <c r="I35" s="1"/>
  <c r="AJ14"/>
  <c r="AK15"/>
  <c r="AK14" s="1"/>
  <c r="I15"/>
  <c r="AJ19"/>
  <c r="AK22"/>
  <c r="AK19"/>
  <c r="AO47"/>
  <c r="AJ28"/>
  <c r="I30" s="1"/>
  <c r="AJ37"/>
  <c r="I38" s="1"/>
  <c r="I39"/>
  <c r="AJ10"/>
  <c r="J20" i="10" l="1"/>
  <c r="I25" i="8"/>
  <c r="I20"/>
  <c r="I22"/>
  <c r="AJ47"/>
  <c r="AJ49" s="1"/>
  <c r="I17"/>
  <c r="I16"/>
  <c r="J10"/>
  <c r="J47" s="1"/>
  <c r="I36"/>
  <c r="AM97" i="7" l="1"/>
  <c r="AK97"/>
  <c r="AM96"/>
  <c r="AK96"/>
  <c r="AK95"/>
  <c r="AM93"/>
  <c r="AK93"/>
  <c r="AM91"/>
  <c r="AK91"/>
  <c r="AM90"/>
  <c r="AK90"/>
  <c r="J88"/>
  <c r="AJ87"/>
  <c r="E87"/>
  <c r="AJ86"/>
  <c r="E86"/>
  <c r="AJ85"/>
  <c r="E85"/>
  <c r="AJ84"/>
  <c r="E84"/>
  <c r="AJ83"/>
  <c r="E83"/>
  <c r="AJ82"/>
  <c r="E82"/>
  <c r="AJ81"/>
  <c r="M81"/>
  <c r="E81"/>
  <c r="AJ80"/>
  <c r="E80"/>
  <c r="AJ79"/>
  <c r="E79"/>
  <c r="AJ78"/>
  <c r="E78"/>
  <c r="AJ77"/>
  <c r="E77"/>
  <c r="AI76"/>
  <c r="AJ76" s="1"/>
  <c r="AJ73" s="1"/>
  <c r="E76"/>
  <c r="AJ75"/>
  <c r="E75"/>
  <c r="AJ74"/>
  <c r="E74"/>
  <c r="AM73"/>
  <c r="AK73"/>
  <c r="AH73"/>
  <c r="AG73"/>
  <c r="AC73"/>
  <c r="AB73"/>
  <c r="AA73"/>
  <c r="W73"/>
  <c r="V73"/>
  <c r="U73"/>
  <c r="Q73"/>
  <c r="P73"/>
  <c r="O73"/>
  <c r="AJ72"/>
  <c r="E72"/>
  <c r="AJ71"/>
  <c r="E71"/>
  <c r="AJ70"/>
  <c r="E70"/>
  <c r="AM69"/>
  <c r="AK69"/>
  <c r="AJ69"/>
  <c r="AI69"/>
  <c r="AG69"/>
  <c r="AC69"/>
  <c r="W69"/>
  <c r="U69"/>
  <c r="Q69"/>
  <c r="AJ68"/>
  <c r="E68"/>
  <c r="AM67"/>
  <c r="AK67"/>
  <c r="AJ67"/>
  <c r="AI67"/>
  <c r="AH67"/>
  <c r="AG67"/>
  <c r="AC67"/>
  <c r="AB67"/>
  <c r="AA67"/>
  <c r="W67"/>
  <c r="V67"/>
  <c r="Q67"/>
  <c r="P67"/>
  <c r="AJ66"/>
  <c r="E66"/>
  <c r="AJ65"/>
  <c r="AO65" s="1"/>
  <c r="AO64" s="1"/>
  <c r="E65"/>
  <c r="AM64"/>
  <c r="AK64"/>
  <c r="AI64"/>
  <c r="AH64"/>
  <c r="AG64"/>
  <c r="AJ63"/>
  <c r="E63"/>
  <c r="AJ62"/>
  <c r="AO62" s="1"/>
  <c r="AO61" s="1"/>
  <c r="E62"/>
  <c r="AM61"/>
  <c r="AK61"/>
  <c r="AI61"/>
  <c r="AG61"/>
  <c r="AC61"/>
  <c r="AB61"/>
  <c r="AA61"/>
  <c r="AM60"/>
  <c r="AM92" s="1"/>
  <c r="AJ60"/>
  <c r="E60"/>
  <c r="AK59"/>
  <c r="AH59" s="1"/>
  <c r="AH56" s="1"/>
  <c r="AI59"/>
  <c r="AG59"/>
  <c r="AB59"/>
  <c r="W59"/>
  <c r="U59"/>
  <c r="P59"/>
  <c r="E59"/>
  <c r="AJ58"/>
  <c r="E58"/>
  <c r="AJ57"/>
  <c r="E57"/>
  <c r="AM56"/>
  <c r="AK56"/>
  <c r="AI56"/>
  <c r="AG56"/>
  <c r="AB56"/>
  <c r="W56"/>
  <c r="U56"/>
  <c r="P56"/>
  <c r="AJ55"/>
  <c r="E55"/>
  <c r="AJ54"/>
  <c r="E54"/>
  <c r="AM53"/>
  <c r="AK53"/>
  <c r="AJ53"/>
  <c r="AI53"/>
  <c r="AH53"/>
  <c r="AG53"/>
  <c r="AC53"/>
  <c r="AB53"/>
  <c r="AA53"/>
  <c r="W53"/>
  <c r="V53"/>
  <c r="U53"/>
  <c r="Q53"/>
  <c r="P53"/>
  <c r="O53"/>
  <c r="AJ52"/>
  <c r="E52"/>
  <c r="AJ51"/>
  <c r="E51"/>
  <c r="AM50"/>
  <c r="AK50"/>
  <c r="AJ50"/>
  <c r="AI50"/>
  <c r="AH50"/>
  <c r="AG50"/>
  <c r="AC50"/>
  <c r="AB50"/>
  <c r="AA50"/>
  <c r="W50"/>
  <c r="V50"/>
  <c r="U50"/>
  <c r="Q50"/>
  <c r="P50"/>
  <c r="O50"/>
  <c r="AJ49"/>
  <c r="E49"/>
  <c r="AJ48"/>
  <c r="E48"/>
  <c r="AM47"/>
  <c r="AK47"/>
  <c r="AJ47"/>
  <c r="U47"/>
  <c r="Q47"/>
  <c r="P47"/>
  <c r="AJ46"/>
  <c r="E46"/>
  <c r="AJ45"/>
  <c r="E45"/>
  <c r="AJ44"/>
  <c r="E44"/>
  <c r="AJ43"/>
  <c r="E43"/>
  <c r="AJ42"/>
  <c r="E42"/>
  <c r="AO41"/>
  <c r="AO37" s="1"/>
  <c r="AO88" s="1"/>
  <c r="AJ41"/>
  <c r="E41"/>
  <c r="AJ40"/>
  <c r="E40"/>
  <c r="AJ39"/>
  <c r="E39"/>
  <c r="AJ38"/>
  <c r="E38"/>
  <c r="AM37"/>
  <c r="AK37"/>
  <c r="AJ37"/>
  <c r="AI37"/>
  <c r="AH37"/>
  <c r="AG37"/>
  <c r="AC37"/>
  <c r="AB37"/>
  <c r="AA37"/>
  <c r="W37"/>
  <c r="V37"/>
  <c r="U37"/>
  <c r="Q37"/>
  <c r="P37"/>
  <c r="O37"/>
  <c r="AJ36"/>
  <c r="E36"/>
  <c r="AJ35"/>
  <c r="E35"/>
  <c r="AJ34"/>
  <c r="E34"/>
  <c r="AJ33"/>
  <c r="E33"/>
  <c r="AJ32"/>
  <c r="E32"/>
  <c r="AJ31"/>
  <c r="E31"/>
  <c r="AI30"/>
  <c r="AG30"/>
  <c r="AB30"/>
  <c r="V30"/>
  <c r="V10" s="1"/>
  <c r="Q30"/>
  <c r="Q10" s="1"/>
  <c r="O30"/>
  <c r="E30"/>
  <c r="AH30" s="1"/>
  <c r="AH10" s="1"/>
  <c r="AH88" s="1"/>
  <c r="AJ29"/>
  <c r="E29"/>
  <c r="AJ28"/>
  <c r="E28"/>
  <c r="AJ27"/>
  <c r="E27"/>
  <c r="AJ26"/>
  <c r="E26"/>
  <c r="AJ25"/>
  <c r="E25"/>
  <c r="AJ24"/>
  <c r="E24"/>
  <c r="AJ23"/>
  <c r="E23"/>
  <c r="AJ22"/>
  <c r="E22"/>
  <c r="AJ21"/>
  <c r="E21"/>
  <c r="AJ20"/>
  <c r="E20"/>
  <c r="AJ19"/>
  <c r="E19"/>
  <c r="AM18"/>
  <c r="AM95" s="1"/>
  <c r="AJ18"/>
  <c r="E18"/>
  <c r="AJ17"/>
  <c r="E17"/>
  <c r="AJ16"/>
  <c r="E16"/>
  <c r="AM15"/>
  <c r="AM94" s="1"/>
  <c r="AK15"/>
  <c r="AK94" s="1"/>
  <c r="AJ15"/>
  <c r="E15"/>
  <c r="AJ14"/>
  <c r="E14"/>
  <c r="AJ13"/>
  <c r="E13"/>
  <c r="AJ12"/>
  <c r="E12"/>
  <c r="AJ11"/>
  <c r="E11"/>
  <c r="AK10"/>
  <c r="AK88" s="1"/>
  <c r="AI10"/>
  <c r="AG10"/>
  <c r="AG88" s="1"/>
  <c r="AB10"/>
  <c r="AB88" s="1"/>
  <c r="AA10"/>
  <c r="AM98" l="1"/>
  <c r="AK98"/>
  <c r="AK92"/>
  <c r="O10"/>
  <c r="AM10"/>
  <c r="AM88" s="1"/>
  <c r="P30"/>
  <c r="P10" s="1"/>
  <c r="P88" s="1"/>
  <c r="U30"/>
  <c r="U10" s="1"/>
  <c r="U88" s="1"/>
  <c r="W30"/>
  <c r="W10" s="1"/>
  <c r="W88" s="1"/>
  <c r="AC30"/>
  <c r="AC10" s="1"/>
  <c r="O59"/>
  <c r="Q59"/>
  <c r="Q56" s="1"/>
  <c r="Q88" s="1"/>
  <c r="V59"/>
  <c r="V56" s="1"/>
  <c r="V88" s="1"/>
  <c r="AA59"/>
  <c r="AA56" s="1"/>
  <c r="AA88" s="1"/>
  <c r="AC59"/>
  <c r="AC56" s="1"/>
  <c r="AJ61"/>
  <c r="AJ64"/>
  <c r="AI73"/>
  <c r="AI88" s="1"/>
  <c r="AJ59" l="1"/>
  <c r="AJ56" s="1"/>
  <c r="O56"/>
  <c r="O88" s="1"/>
  <c r="AC88"/>
  <c r="AJ30"/>
  <c r="AJ10" s="1"/>
  <c r="AJ88" s="1"/>
  <c r="W64" i="6" l="1"/>
  <c r="V64"/>
  <c r="AA63"/>
  <c r="AA62"/>
  <c r="H62"/>
  <c r="AJ57"/>
  <c r="AK57" s="1"/>
  <c r="K57"/>
  <c r="E57"/>
  <c r="U56"/>
  <c r="AJ56" s="1"/>
  <c r="R56"/>
  <c r="K56"/>
  <c r="E56"/>
  <c r="AJ55"/>
  <c r="AK55" s="1"/>
  <c r="U55"/>
  <c r="R55"/>
  <c r="E55" s="1"/>
  <c r="K55"/>
  <c r="AJ54"/>
  <c r="AK54" s="1"/>
  <c r="K54"/>
  <c r="E54"/>
  <c r="AH53"/>
  <c r="W53"/>
  <c r="U53"/>
  <c r="K53"/>
  <c r="J53"/>
  <c r="AJ52"/>
  <c r="AK52" s="1"/>
  <c r="AI52"/>
  <c r="K52"/>
  <c r="E52"/>
  <c r="AJ51"/>
  <c r="AK51" s="1"/>
  <c r="K51"/>
  <c r="E51"/>
  <c r="AI50"/>
  <c r="AJ50" s="1"/>
  <c r="K50"/>
  <c r="E50"/>
  <c r="AI49"/>
  <c r="AH49"/>
  <c r="AG49"/>
  <c r="AC49"/>
  <c r="AB49"/>
  <c r="AA49"/>
  <c r="W49"/>
  <c r="V49"/>
  <c r="U49"/>
  <c r="Q49"/>
  <c r="P49"/>
  <c r="O49"/>
  <c r="J49"/>
  <c r="AJ48"/>
  <c r="AO48" s="1"/>
  <c r="AO46" s="1"/>
  <c r="E48"/>
  <c r="AJ47"/>
  <c r="AK47" s="1"/>
  <c r="AK46" s="1"/>
  <c r="E47"/>
  <c r="AC46"/>
  <c r="AB46"/>
  <c r="W46"/>
  <c r="U46"/>
  <c r="K46"/>
  <c r="J46"/>
  <c r="AK45"/>
  <c r="AJ45"/>
  <c r="K45"/>
  <c r="E45"/>
  <c r="AJ44"/>
  <c r="AK44" s="1"/>
  <c r="K44"/>
  <c r="E44"/>
  <c r="AI43"/>
  <c r="AJ43" s="1"/>
  <c r="K43"/>
  <c r="E43"/>
  <c r="AI42"/>
  <c r="AH42"/>
  <c r="AG42"/>
  <c r="AC42"/>
  <c r="AB42"/>
  <c r="AA42"/>
  <c r="W42"/>
  <c r="V42"/>
  <c r="U42"/>
  <c r="Q42"/>
  <c r="P42"/>
  <c r="O42"/>
  <c r="K42"/>
  <c r="J42"/>
  <c r="AJ41"/>
  <c r="AK41" s="1"/>
  <c r="E41"/>
  <c r="AK40"/>
  <c r="AJ40"/>
  <c r="E40"/>
  <c r="AJ39"/>
  <c r="AK39" s="1"/>
  <c r="E39"/>
  <c r="AJ38"/>
  <c r="AK38" s="1"/>
  <c r="E38"/>
  <c r="AJ37"/>
  <c r="AK37" s="1"/>
  <c r="AI37"/>
  <c r="AH37"/>
  <c r="AG37"/>
  <c r="AC37"/>
  <c r="AB37"/>
  <c r="AA37"/>
  <c r="W37"/>
  <c r="V37"/>
  <c r="U37"/>
  <c r="Q37"/>
  <c r="P37"/>
  <c r="O37"/>
  <c r="K37"/>
  <c r="AJ36"/>
  <c r="AK36" s="1"/>
  <c r="AK28" s="1"/>
  <c r="E36"/>
  <c r="AJ35"/>
  <c r="AO35" s="1"/>
  <c r="E35"/>
  <c r="AJ34"/>
  <c r="AO34" s="1"/>
  <c r="E34"/>
  <c r="AJ33"/>
  <c r="AO33" s="1"/>
  <c r="E33"/>
  <c r="AJ32"/>
  <c r="AO32" s="1"/>
  <c r="E32"/>
  <c r="AJ31"/>
  <c r="AO31" s="1"/>
  <c r="E31"/>
  <c r="AJ30"/>
  <c r="AO30" s="1"/>
  <c r="E30"/>
  <c r="AJ29"/>
  <c r="AO29" s="1"/>
  <c r="AO28" s="1"/>
  <c r="E29"/>
  <c r="AI28"/>
  <c r="AG28"/>
  <c r="AC28"/>
  <c r="W28"/>
  <c r="U28"/>
  <c r="Q28"/>
  <c r="K28"/>
  <c r="J28"/>
  <c r="AJ27"/>
  <c r="AK27" s="1"/>
  <c r="K27"/>
  <c r="E27"/>
  <c r="AK26"/>
  <c r="AJ26"/>
  <c r="K26"/>
  <c r="E26"/>
  <c r="AJ25"/>
  <c r="AK25" s="1"/>
  <c r="K25"/>
  <c r="E25"/>
  <c r="AK24"/>
  <c r="AJ24"/>
  <c r="K24"/>
  <c r="K23" s="1"/>
  <c r="E24"/>
  <c r="AJ23"/>
  <c r="AK23" s="1"/>
  <c r="AI23"/>
  <c r="AH23"/>
  <c r="AG23"/>
  <c r="AC23"/>
  <c r="AB23"/>
  <c r="AA23"/>
  <c r="W23"/>
  <c r="V23"/>
  <c r="U23"/>
  <c r="Q23"/>
  <c r="P23"/>
  <c r="O23"/>
  <c r="J23"/>
  <c r="AK22"/>
  <c r="AJ22"/>
  <c r="E22"/>
  <c r="AK21"/>
  <c r="AJ21"/>
  <c r="E21"/>
  <c r="AK20"/>
  <c r="AJ20"/>
  <c r="K20"/>
  <c r="E20"/>
  <c r="AJ19"/>
  <c r="AK19" s="1"/>
  <c r="AH19"/>
  <c r="AG19"/>
  <c r="AC19"/>
  <c r="AB19"/>
  <c r="AA19"/>
  <c r="W19"/>
  <c r="V19"/>
  <c r="U19"/>
  <c r="Q19"/>
  <c r="P19"/>
  <c r="O19"/>
  <c r="K19"/>
  <c r="J19"/>
  <c r="AJ18"/>
  <c r="AL18" s="1"/>
  <c r="AL10" s="1"/>
  <c r="AL58" s="1"/>
  <c r="E18"/>
  <c r="AJ17"/>
  <c r="AK17" s="1"/>
  <c r="E17"/>
  <c r="AJ16"/>
  <c r="AK16" s="1"/>
  <c r="AB16"/>
  <c r="E16"/>
  <c r="AK15"/>
  <c r="AJ15"/>
  <c r="E15"/>
  <c r="Z14"/>
  <c r="Y14"/>
  <c r="X14"/>
  <c r="T14"/>
  <c r="S14"/>
  <c r="R14"/>
  <c r="Q14"/>
  <c r="P14"/>
  <c r="O14"/>
  <c r="AJ14" s="1"/>
  <c r="M14"/>
  <c r="L14"/>
  <c r="E14"/>
  <c r="AJ13"/>
  <c r="AK13" s="1"/>
  <c r="E13"/>
  <c r="AJ12"/>
  <c r="AK12" s="1"/>
  <c r="E12"/>
  <c r="AI11"/>
  <c r="AC11"/>
  <c r="AA11"/>
  <c r="U11"/>
  <c r="U10" s="1"/>
  <c r="U58" s="1"/>
  <c r="O11"/>
  <c r="E11"/>
  <c r="AI10"/>
  <c r="AI58" s="1"/>
  <c r="AH10"/>
  <c r="AH58" s="1"/>
  <c r="AG10"/>
  <c r="AG58" s="1"/>
  <c r="AC10"/>
  <c r="AC58" s="1"/>
  <c r="AB10"/>
  <c r="AB58" s="1"/>
  <c r="AA10"/>
  <c r="AA58" s="1"/>
  <c r="W10"/>
  <c r="W58" s="1"/>
  <c r="V10"/>
  <c r="V58" s="1"/>
  <c r="Q10"/>
  <c r="Q58" s="1"/>
  <c r="P10"/>
  <c r="P58" s="1"/>
  <c r="O10"/>
  <c r="O58" s="1"/>
  <c r="K10"/>
  <c r="J10"/>
  <c r="J58" s="1"/>
  <c r="AK43" l="1"/>
  <c r="AJ42"/>
  <c r="AK42" s="1"/>
  <c r="AK56"/>
  <c r="AJ53"/>
  <c r="AK53"/>
  <c r="AK14"/>
  <c r="AJ49"/>
  <c r="AK49" s="1"/>
  <c r="AK50"/>
  <c r="AO58"/>
  <c r="AJ11"/>
  <c r="AJ46"/>
  <c r="AJ28"/>
  <c r="AK11" l="1"/>
  <c r="AK10" s="1"/>
  <c r="AK58" s="1"/>
  <c r="AJ10"/>
  <c r="AJ58" s="1"/>
  <c r="I11"/>
  <c r="I54" l="1"/>
  <c r="I44"/>
  <c r="I40"/>
  <c r="I26"/>
  <c r="I24"/>
  <c r="I20"/>
  <c r="I57"/>
  <c r="I55"/>
  <c r="I51"/>
  <c r="I45"/>
  <c r="I37"/>
  <c r="I27"/>
  <c r="I25"/>
  <c r="I22"/>
  <c r="I21"/>
  <c r="I16"/>
  <c r="I15"/>
  <c r="I43"/>
  <c r="I42" s="1"/>
  <c r="I56"/>
  <c r="I14"/>
  <c r="I50"/>
  <c r="I47"/>
  <c r="I12"/>
  <c r="I10" s="1"/>
  <c r="I17"/>
  <c r="I30"/>
  <c r="I32"/>
  <c r="I34"/>
  <c r="I36"/>
  <c r="I39"/>
  <c r="I48"/>
  <c r="I13"/>
  <c r="I18"/>
  <c r="I29"/>
  <c r="I31"/>
  <c r="I33"/>
  <c r="I35"/>
  <c r="I38"/>
  <c r="I52"/>
  <c r="I19" l="1"/>
  <c r="I28"/>
  <c r="I49"/>
  <c r="I23"/>
  <c r="I58" s="1"/>
  <c r="I53"/>
  <c r="AJ94" i="5" l="1"/>
  <c r="J93"/>
  <c r="I93"/>
  <c r="AJ92"/>
  <c r="AO92" s="1"/>
  <c r="AO91" s="1"/>
  <c r="E92"/>
  <c r="AK91"/>
  <c r="AK93" s="1"/>
  <c r="AI91"/>
  <c r="AH91"/>
  <c r="AG91"/>
  <c r="AC91"/>
  <c r="AB91"/>
  <c r="AA91"/>
  <c r="W91"/>
  <c r="V91"/>
  <c r="U91"/>
  <c r="Q91"/>
  <c r="P91"/>
  <c r="O91"/>
  <c r="AJ90"/>
  <c r="AO90" s="1"/>
  <c r="AO89" s="1"/>
  <c r="E90"/>
  <c r="AJ89"/>
  <c r="AA89"/>
  <c r="W89"/>
  <c r="V89"/>
  <c r="U89"/>
  <c r="Q89"/>
  <c r="AO88"/>
  <c r="AO87" s="1"/>
  <c r="AJ88"/>
  <c r="E88"/>
  <c r="AJ87"/>
  <c r="AG87"/>
  <c r="AC87"/>
  <c r="AB87"/>
  <c r="AA87"/>
  <c r="W87"/>
  <c r="V87"/>
  <c r="U87"/>
  <c r="Q87"/>
  <c r="AJ86"/>
  <c r="E86"/>
  <c r="AJ85"/>
  <c r="AG85"/>
  <c r="W85"/>
  <c r="U85"/>
  <c r="Q85"/>
  <c r="AJ84"/>
  <c r="AO84" s="1"/>
  <c r="AO83" s="1"/>
  <c r="E84"/>
  <c r="AJ83"/>
  <c r="AG83"/>
  <c r="AC83"/>
  <c r="AB83"/>
  <c r="AA83"/>
  <c r="W83"/>
  <c r="V83"/>
  <c r="U83"/>
  <c r="Q83"/>
  <c r="AJ82"/>
  <c r="E82"/>
  <c r="AJ81"/>
  <c r="AH81"/>
  <c r="AG81"/>
  <c r="AC81"/>
  <c r="AB81"/>
  <c r="AA81"/>
  <c r="W81"/>
  <c r="V81"/>
  <c r="U81"/>
  <c r="Q81"/>
  <c r="P81"/>
  <c r="AJ80"/>
  <c r="AO80" s="1"/>
  <c r="E80"/>
  <c r="AJ79"/>
  <c r="AO79" s="1"/>
  <c r="AO78" s="1"/>
  <c r="E79"/>
  <c r="AJ78"/>
  <c r="AI78"/>
  <c r="AH78"/>
  <c r="AG78"/>
  <c r="AC78"/>
  <c r="AB78"/>
  <c r="AA78"/>
  <c r="W78"/>
  <c r="V78"/>
  <c r="U78"/>
  <c r="Q78"/>
  <c r="P78"/>
  <c r="O78"/>
  <c r="AJ77"/>
  <c r="E77"/>
  <c r="AJ76"/>
  <c r="E76"/>
  <c r="AJ75"/>
  <c r="E75"/>
  <c r="AJ74"/>
  <c r="E74"/>
  <c r="AJ73"/>
  <c r="AH73"/>
  <c r="AG73"/>
  <c r="AC73"/>
  <c r="AB73"/>
  <c r="AA73"/>
  <c r="W73"/>
  <c r="V73"/>
  <c r="U73"/>
  <c r="Q73"/>
  <c r="P73"/>
  <c r="AJ72"/>
  <c r="AO72" s="1"/>
  <c r="E72"/>
  <c r="AJ71"/>
  <c r="AO71" s="1"/>
  <c r="E71"/>
  <c r="AJ70"/>
  <c r="AO70" s="1"/>
  <c r="E70"/>
  <c r="AJ69"/>
  <c r="AO69" s="1"/>
  <c r="E69"/>
  <c r="AJ68"/>
  <c r="AO68" s="1"/>
  <c r="AO67" s="1"/>
  <c r="E68"/>
  <c r="AJ67"/>
  <c r="AI67"/>
  <c r="AH67"/>
  <c r="AG67"/>
  <c r="AC67"/>
  <c r="AB67"/>
  <c r="AA67"/>
  <c r="W67"/>
  <c r="V67"/>
  <c r="U67"/>
  <c r="P67"/>
  <c r="AJ66"/>
  <c r="E66"/>
  <c r="AJ65"/>
  <c r="AG65"/>
  <c r="AC65"/>
  <c r="AB65"/>
  <c r="W65"/>
  <c r="U65"/>
  <c r="AJ64"/>
  <c r="E64"/>
  <c r="AJ63"/>
  <c r="AB63"/>
  <c r="W63"/>
  <c r="Q63"/>
  <c r="AJ62"/>
  <c r="E62"/>
  <c r="AJ61"/>
  <c r="E61"/>
  <c r="AJ60"/>
  <c r="E60"/>
  <c r="AJ59"/>
  <c r="E59"/>
  <c r="AJ58"/>
  <c r="E58"/>
  <c r="AJ57"/>
  <c r="AI57"/>
  <c r="AH57"/>
  <c r="AG57"/>
  <c r="AC57"/>
  <c r="AB57"/>
  <c r="AA57"/>
  <c r="W57"/>
  <c r="V57"/>
  <c r="U57"/>
  <c r="Q57"/>
  <c r="P57"/>
  <c r="AJ56"/>
  <c r="AO56" s="1"/>
  <c r="AO55" s="1"/>
  <c r="E56"/>
  <c r="AJ55"/>
  <c r="AB55"/>
  <c r="AA55"/>
  <c r="W55"/>
  <c r="U55"/>
  <c r="AJ54"/>
  <c r="E54"/>
  <c r="AJ53"/>
  <c r="AC53"/>
  <c r="W53"/>
  <c r="V53"/>
  <c r="U53"/>
  <c r="P53"/>
  <c r="AJ52"/>
  <c r="E52"/>
  <c r="AJ51"/>
  <c r="E51"/>
  <c r="AJ50"/>
  <c r="W50"/>
  <c r="U50"/>
  <c r="P50"/>
  <c r="AJ49"/>
  <c r="E49"/>
  <c r="AJ48"/>
  <c r="E48"/>
  <c r="AJ47"/>
  <c r="AH47"/>
  <c r="AG47"/>
  <c r="AC47"/>
  <c r="AB47"/>
  <c r="AA47"/>
  <c r="W47"/>
  <c r="V47"/>
  <c r="U47"/>
  <c r="Q47"/>
  <c r="P47"/>
  <c r="AJ46"/>
  <c r="AO46" s="1"/>
  <c r="E46"/>
  <c r="AJ45"/>
  <c r="AO45" s="1"/>
  <c r="AO44" s="1"/>
  <c r="E45"/>
  <c r="AJ44"/>
  <c r="AG44"/>
  <c r="AC44"/>
  <c r="AB44"/>
  <c r="AA44"/>
  <c r="W44"/>
  <c r="V44"/>
  <c r="U44"/>
  <c r="Q44"/>
  <c r="P44"/>
  <c r="AJ43"/>
  <c r="AO43" s="1"/>
  <c r="E43"/>
  <c r="AJ42"/>
  <c r="AO42" s="1"/>
  <c r="E42"/>
  <c r="AJ41"/>
  <c r="AO41" s="1"/>
  <c r="E41"/>
  <c r="AJ40"/>
  <c r="AO40" s="1"/>
  <c r="E40"/>
  <c r="AJ39"/>
  <c r="AO39" s="1"/>
  <c r="E39"/>
  <c r="AJ38"/>
  <c r="AO38" s="1"/>
  <c r="AO37" s="1"/>
  <c r="E38"/>
  <c r="AJ37"/>
  <c r="AH37"/>
  <c r="AG37"/>
  <c r="AC37"/>
  <c r="AB37"/>
  <c r="AA37"/>
  <c r="W37"/>
  <c r="V37"/>
  <c r="U37"/>
  <c r="Q37"/>
  <c r="P37"/>
  <c r="AJ36"/>
  <c r="E36"/>
  <c r="AJ35"/>
  <c r="E35"/>
  <c r="AJ34"/>
  <c r="E34"/>
  <c r="AJ33"/>
  <c r="E33"/>
  <c r="AJ32"/>
  <c r="E32"/>
  <c r="AJ31"/>
  <c r="AA31"/>
  <c r="W31"/>
  <c r="V31"/>
  <c r="U31"/>
  <c r="P31"/>
  <c r="AJ30"/>
  <c r="E30"/>
  <c r="AJ29"/>
  <c r="E29"/>
  <c r="AJ28"/>
  <c r="W28"/>
  <c r="U28"/>
  <c r="P28"/>
  <c r="AJ27"/>
  <c r="E27"/>
  <c r="AJ26"/>
  <c r="E26"/>
  <c r="AJ25"/>
  <c r="E25"/>
  <c r="AJ24"/>
  <c r="E24"/>
  <c r="AJ23"/>
  <c r="E23"/>
  <c r="AJ22"/>
  <c r="AC22"/>
  <c r="AB22"/>
  <c r="U22"/>
  <c r="P22"/>
  <c r="AJ21"/>
  <c r="AO21" s="1"/>
  <c r="E21"/>
  <c r="AJ20"/>
  <c r="AO20" s="1"/>
  <c r="AO19" s="1"/>
  <c r="E20"/>
  <c r="AJ19"/>
  <c r="AG19"/>
  <c r="AC19"/>
  <c r="AA19"/>
  <c r="W19"/>
  <c r="U19"/>
  <c r="Q19"/>
  <c r="AJ18"/>
  <c r="E18"/>
  <c r="AJ17"/>
  <c r="E17"/>
  <c r="AJ16"/>
  <c r="AI16"/>
  <c r="AH16"/>
  <c r="AG16"/>
  <c r="AC16"/>
  <c r="AB16"/>
  <c r="AA16"/>
  <c r="W16"/>
  <c r="V16"/>
  <c r="U16"/>
  <c r="Q16"/>
  <c r="P16"/>
  <c r="AJ15"/>
  <c r="E15"/>
  <c r="AJ14"/>
  <c r="E14"/>
  <c r="AJ13"/>
  <c r="AI13"/>
  <c r="AG13"/>
  <c r="AC13"/>
  <c r="W13"/>
  <c r="V13"/>
  <c r="AJ12"/>
  <c r="E12"/>
  <c r="AJ11"/>
  <c r="E11"/>
  <c r="AJ10"/>
  <c r="AI10"/>
  <c r="AH10"/>
  <c r="AG10"/>
  <c r="AC10"/>
  <c r="AB10"/>
  <c r="AA10"/>
  <c r="W10"/>
  <c r="V10"/>
  <c r="U10"/>
  <c r="Q10"/>
  <c r="P10"/>
  <c r="AJ91" l="1"/>
  <c r="O93"/>
  <c r="Q93"/>
  <c r="V93"/>
  <c r="AA93"/>
  <c r="AC93"/>
  <c r="AH93"/>
  <c r="P93"/>
  <c r="U93"/>
  <c r="W93"/>
  <c r="AB93"/>
  <c r="AG93"/>
  <c r="AI93"/>
  <c r="AO11"/>
  <c r="AO12"/>
  <c r="AO14"/>
  <c r="AO15"/>
  <c r="AO17"/>
  <c r="AO18"/>
  <c r="AO23"/>
  <c r="AO24"/>
  <c r="AO25"/>
  <c r="AO26"/>
  <c r="AO27"/>
  <c r="AO29"/>
  <c r="AO30"/>
  <c r="AO32"/>
  <c r="AO33"/>
  <c r="AO34"/>
  <c r="AO35"/>
  <c r="AO36"/>
  <c r="AO48"/>
  <c r="AO49"/>
  <c r="AO51"/>
  <c r="AO52"/>
  <c r="AO54"/>
  <c r="AO53" s="1"/>
  <c r="AJ93"/>
  <c r="AO58"/>
  <c r="AO59"/>
  <c r="AO60"/>
  <c r="AO61"/>
  <c r="AO62"/>
  <c r="AO64"/>
  <c r="AO63" s="1"/>
  <c r="AO66"/>
  <c r="AO65" s="1"/>
  <c r="AO74"/>
  <c r="AO75"/>
  <c r="AO76"/>
  <c r="AO77"/>
  <c r="AO82"/>
  <c r="AO81" s="1"/>
  <c r="AO86"/>
  <c r="AO85" s="1"/>
  <c r="AO28" l="1"/>
  <c r="AO73"/>
  <c r="AO31"/>
  <c r="AO57"/>
  <c r="AO50"/>
  <c r="AO47"/>
  <c r="AO22"/>
  <c r="AO16"/>
  <c r="AO13"/>
  <c r="AO10"/>
  <c r="AO93" l="1"/>
  <c r="AJ69" i="3" l="1"/>
  <c r="AJ68"/>
  <c r="AJ67"/>
  <c r="AJ66"/>
  <c r="AJ65"/>
  <c r="AJ64"/>
  <c r="AJ63"/>
  <c r="AJ62"/>
  <c r="AJ61"/>
  <c r="AJ60"/>
  <c r="AJ59"/>
  <c r="AJ58"/>
  <c r="AJ57"/>
  <c r="AJ56"/>
  <c r="AJ55"/>
  <c r="AJ54"/>
  <c r="AN53"/>
  <c r="AM53"/>
  <c r="AM70" s="1"/>
  <c r="AL53"/>
  <c r="AL70" s="1"/>
  <c r="AK53"/>
  <c r="AJ53"/>
  <c r="AI53"/>
  <c r="AH53"/>
  <c r="AG53"/>
  <c r="AC53"/>
  <c r="AB53"/>
  <c r="AA53"/>
  <c r="W53"/>
  <c r="V53"/>
  <c r="U53"/>
  <c r="P53"/>
  <c r="O53"/>
  <c r="AJ52"/>
  <c r="AJ51"/>
  <c r="AJ50"/>
  <c r="AJ49"/>
  <c r="AO48"/>
  <c r="AO70" s="1"/>
  <c r="AN48"/>
  <c r="AJ48"/>
  <c r="AI48"/>
  <c r="AH48"/>
  <c r="AG48"/>
  <c r="AC48"/>
  <c r="AB48"/>
  <c r="AA48"/>
  <c r="W48"/>
  <c r="V48"/>
  <c r="U48"/>
  <c r="Q48"/>
  <c r="P48"/>
  <c r="O48"/>
  <c r="AJ47"/>
  <c r="AK46"/>
  <c r="AJ46"/>
  <c r="AI46"/>
  <c r="AH46"/>
  <c r="AG46"/>
  <c r="AC46"/>
  <c r="AB46"/>
  <c r="AA46"/>
  <c r="W46"/>
  <c r="V46"/>
  <c r="U46"/>
  <c r="Q46"/>
  <c r="P46"/>
  <c r="O46"/>
  <c r="AJ45"/>
  <c r="AJ44"/>
  <c r="AK43"/>
  <c r="AI43"/>
  <c r="AH43"/>
  <c r="AG43"/>
  <c r="AC43"/>
  <c r="AB43"/>
  <c r="AA43"/>
  <c r="W43"/>
  <c r="V43"/>
  <c r="U43"/>
  <c r="Q43"/>
  <c r="P43"/>
  <c r="O43"/>
  <c r="AJ42"/>
  <c r="AK41"/>
  <c r="AJ41"/>
  <c r="AI41"/>
  <c r="AH41"/>
  <c r="AG41"/>
  <c r="AC41"/>
  <c r="AB41"/>
  <c r="AA41"/>
  <c r="W41"/>
  <c r="V41"/>
  <c r="U41"/>
  <c r="Q41"/>
  <c r="P41"/>
  <c r="O41"/>
  <c r="AJ40"/>
  <c r="AK39"/>
  <c r="AJ39"/>
  <c r="AI39"/>
  <c r="AH39"/>
  <c r="AG39"/>
  <c r="AC39"/>
  <c r="AB39"/>
  <c r="AA39"/>
  <c r="W39"/>
  <c r="V39"/>
  <c r="U39"/>
  <c r="Q39"/>
  <c r="P39"/>
  <c r="O39"/>
  <c r="AJ38"/>
  <c r="AJ37"/>
  <c r="AK36"/>
  <c r="AJ36"/>
  <c r="AI36"/>
  <c r="AH36"/>
  <c r="AG36"/>
  <c r="AC36"/>
  <c r="AB36"/>
  <c r="AA36"/>
  <c r="W36"/>
  <c r="V36"/>
  <c r="U36"/>
  <c r="Q36"/>
  <c r="P36"/>
  <c r="O36"/>
  <c r="AJ32"/>
  <c r="AJ31"/>
  <c r="AH30"/>
  <c r="AG30"/>
  <c r="AB30"/>
  <c r="AA30"/>
  <c r="V30"/>
  <c r="U30"/>
  <c r="P30"/>
  <c r="O30"/>
  <c r="AJ29"/>
  <c r="AJ28"/>
  <c r="AJ27"/>
  <c r="AK26"/>
  <c r="AJ26"/>
  <c r="AI26"/>
  <c r="AH26"/>
  <c r="AG26"/>
  <c r="AC26"/>
  <c r="AB26"/>
  <c r="AA26"/>
  <c r="W26"/>
  <c r="V26"/>
  <c r="U26"/>
  <c r="Q26"/>
  <c r="P26"/>
  <c r="O26"/>
  <c r="AJ25"/>
  <c r="AJ24"/>
  <c r="AJ23"/>
  <c r="AJ22"/>
  <c r="AK21"/>
  <c r="AJ21"/>
  <c r="AI21"/>
  <c r="AH21"/>
  <c r="AG21"/>
  <c r="AC21"/>
  <c r="AB21"/>
  <c r="AA21"/>
  <c r="W21"/>
  <c r="V21"/>
  <c r="U21"/>
  <c r="Q21"/>
  <c r="P21"/>
  <c r="O21"/>
  <c r="AJ20"/>
  <c r="AJ19"/>
  <c r="AJ18"/>
  <c r="AK17"/>
  <c r="AJ17"/>
  <c r="AI17"/>
  <c r="AH17"/>
  <c r="AG17"/>
  <c r="AC17"/>
  <c r="AB17"/>
  <c r="AA17"/>
  <c r="W17"/>
  <c r="V17"/>
  <c r="U17"/>
  <c r="Q17"/>
  <c r="P17"/>
  <c r="O17"/>
  <c r="AI15"/>
  <c r="AJ15" s="1"/>
  <c r="AI14"/>
  <c r="AJ14" s="1"/>
  <c r="AJ13"/>
  <c r="AJ12"/>
  <c r="AH11"/>
  <c r="AG11"/>
  <c r="AC11"/>
  <c r="AB11"/>
  <c r="AA11"/>
  <c r="W11"/>
  <c r="V11"/>
  <c r="U11"/>
  <c r="Q11"/>
  <c r="P11"/>
  <c r="O11"/>
  <c r="Q70" l="1"/>
  <c r="P70"/>
  <c r="V70"/>
  <c r="AA70"/>
  <c r="AC70"/>
  <c r="AH70"/>
  <c r="AN70"/>
  <c r="O70"/>
  <c r="U70"/>
  <c r="W70"/>
  <c r="AB70"/>
  <c r="AG70"/>
  <c r="AI70"/>
  <c r="AJ43"/>
  <c r="AJ70" s="1"/>
  <c r="J76" i="2" l="1"/>
  <c r="I76"/>
  <c r="AJ75"/>
  <c r="AK75" s="1"/>
  <c r="E75"/>
  <c r="AJ74"/>
  <c r="AK74" s="1"/>
  <c r="E74"/>
  <c r="AK73"/>
  <c r="AJ73"/>
  <c r="E73"/>
  <c r="AJ72"/>
  <c r="E72"/>
  <c r="AJ71"/>
  <c r="AK71" s="1"/>
  <c r="E71"/>
  <c r="AJ70"/>
  <c r="E70"/>
  <c r="AK69"/>
  <c r="AJ69"/>
  <c r="E69"/>
  <c r="AJ68"/>
  <c r="E68"/>
  <c r="AJ67"/>
  <c r="AK67" s="1"/>
  <c r="E67"/>
  <c r="AI66"/>
  <c r="AH66"/>
  <c r="AG66"/>
  <c r="AC66"/>
  <c r="AB66"/>
  <c r="AA66"/>
  <c r="W66"/>
  <c r="V66"/>
  <c r="U66"/>
  <c r="Q66"/>
  <c r="P66"/>
  <c r="O66"/>
  <c r="AK65"/>
  <c r="AJ65"/>
  <c r="E65"/>
  <c r="AJ64"/>
  <c r="E64"/>
  <c r="AJ63"/>
  <c r="AK63" s="1"/>
  <c r="E63"/>
  <c r="AJ62"/>
  <c r="E62"/>
  <c r="AK61"/>
  <c r="AJ61"/>
  <c r="E61"/>
  <c r="AJ60"/>
  <c r="E60"/>
  <c r="AJ59"/>
  <c r="AK59" s="1"/>
  <c r="E59"/>
  <c r="AJ58"/>
  <c r="AJ55" s="1"/>
  <c r="E58"/>
  <c r="AK57"/>
  <c r="AJ57"/>
  <c r="E57"/>
  <c r="AJ56"/>
  <c r="E56"/>
  <c r="AI55"/>
  <c r="AG55"/>
  <c r="AA55"/>
  <c r="U55"/>
  <c r="P55"/>
  <c r="AJ54"/>
  <c r="AK54" s="1"/>
  <c r="E54"/>
  <c r="AJ53"/>
  <c r="E53"/>
  <c r="AK52"/>
  <c r="AJ52"/>
  <c r="E52"/>
  <c r="AJ51"/>
  <c r="E51"/>
  <c r="AJ50"/>
  <c r="AK50" s="1"/>
  <c r="E50"/>
  <c r="AJ49"/>
  <c r="E49"/>
  <c r="AK48"/>
  <c r="AJ48"/>
  <c r="E48"/>
  <c r="AI47"/>
  <c r="AH47"/>
  <c r="AG47"/>
  <c r="AC47"/>
  <c r="AB47"/>
  <c r="AA47"/>
  <c r="W47"/>
  <c r="V47"/>
  <c r="U47"/>
  <c r="Q47"/>
  <c r="P47"/>
  <c r="O47"/>
  <c r="AJ46"/>
  <c r="AK46" s="1"/>
  <c r="E46"/>
  <c r="AJ45"/>
  <c r="E45"/>
  <c r="AJ44"/>
  <c r="W44"/>
  <c r="AK43"/>
  <c r="AJ43"/>
  <c r="E43"/>
  <c r="AJ42"/>
  <c r="E42"/>
  <c r="AJ41"/>
  <c r="AK41" s="1"/>
  <c r="E41"/>
  <c r="AJ40"/>
  <c r="E40"/>
  <c r="AK39"/>
  <c r="AJ39"/>
  <c r="E39"/>
  <c r="AJ38"/>
  <c r="E38"/>
  <c r="AJ37"/>
  <c r="AK37" s="1"/>
  <c r="E37"/>
  <c r="AJ36"/>
  <c r="E36"/>
  <c r="AK35"/>
  <c r="AJ35"/>
  <c r="E35"/>
  <c r="W34"/>
  <c r="AJ34" s="1"/>
  <c r="E34"/>
  <c r="AJ33"/>
  <c r="E33"/>
  <c r="AK32"/>
  <c r="AJ32"/>
  <c r="E32"/>
  <c r="AJ31"/>
  <c r="AK31" s="1"/>
  <c r="E31"/>
  <c r="AJ30"/>
  <c r="AK30" s="1"/>
  <c r="E30"/>
  <c r="AJ29"/>
  <c r="E29"/>
  <c r="AI28"/>
  <c r="AH28"/>
  <c r="AH76" s="1"/>
  <c r="AG28"/>
  <c r="AC28"/>
  <c r="AB28"/>
  <c r="AA28"/>
  <c r="V28"/>
  <c r="U28"/>
  <c r="Q28"/>
  <c r="P28"/>
  <c r="O28"/>
  <c r="O76" s="1"/>
  <c r="AJ27"/>
  <c r="E27"/>
  <c r="AJ26"/>
  <c r="AK26" s="1"/>
  <c r="E26"/>
  <c r="AJ25"/>
  <c r="AJ22" s="1"/>
  <c r="E25"/>
  <c r="AK24"/>
  <c r="AJ24"/>
  <c r="E24"/>
  <c r="AJ23"/>
  <c r="E23"/>
  <c r="AI22"/>
  <c r="AC22"/>
  <c r="AB22"/>
  <c r="AB76" s="1"/>
  <c r="W22"/>
  <c r="V22"/>
  <c r="V76" s="1"/>
  <c r="U22"/>
  <c r="Q22"/>
  <c r="Q76" s="1"/>
  <c r="AJ21"/>
  <c r="AK21" s="1"/>
  <c r="E21"/>
  <c r="AJ20"/>
  <c r="E20"/>
  <c r="AK19"/>
  <c r="AJ19"/>
  <c r="E19"/>
  <c r="AJ18"/>
  <c r="E18"/>
  <c r="AJ17"/>
  <c r="AK17" s="1"/>
  <c r="E17"/>
  <c r="AI16"/>
  <c r="AC16"/>
  <c r="AA16"/>
  <c r="AA76" s="1"/>
  <c r="W16"/>
  <c r="U16"/>
  <c r="U76" s="1"/>
  <c r="AJ15"/>
  <c r="E15"/>
  <c r="AJ14"/>
  <c r="AK14" s="1"/>
  <c r="E14"/>
  <c r="AI13"/>
  <c r="AC13"/>
  <c r="AK12"/>
  <c r="AJ12"/>
  <c r="E12"/>
  <c r="AJ11"/>
  <c r="E11"/>
  <c r="AJ10"/>
  <c r="AI10"/>
  <c r="AI76" s="1"/>
  <c r="W10"/>
  <c r="AJ39" i="1"/>
  <c r="AM38"/>
  <c r="AK38"/>
  <c r="V38"/>
  <c r="U38"/>
  <c r="Q38"/>
  <c r="P38"/>
  <c r="O38"/>
  <c r="AJ37"/>
  <c r="E37"/>
  <c r="AG36"/>
  <c r="AC36"/>
  <c r="AA36"/>
  <c r="V36"/>
  <c r="Q36"/>
  <c r="AJ35"/>
  <c r="E35"/>
  <c r="AJ34"/>
  <c r="AJ33"/>
  <c r="E33"/>
  <c r="AJ32"/>
  <c r="E32"/>
  <c r="AI31"/>
  <c r="AH31"/>
  <c r="AG31"/>
  <c r="AC31"/>
  <c r="AB31"/>
  <c r="AA31"/>
  <c r="W31"/>
  <c r="V31"/>
  <c r="U31"/>
  <c r="Q31"/>
  <c r="P31"/>
  <c r="O31"/>
  <c r="AJ30"/>
  <c r="AI29"/>
  <c r="AH29"/>
  <c r="AG29"/>
  <c r="AC29"/>
  <c r="AB29"/>
  <c r="AA29"/>
  <c r="AJ28"/>
  <c r="E28"/>
  <c r="AJ27"/>
  <c r="E27"/>
  <c r="AJ26"/>
  <c r="AI25"/>
  <c r="AH25"/>
  <c r="AG25"/>
  <c r="AC25"/>
  <c r="AB25"/>
  <c r="AA25"/>
  <c r="W25"/>
  <c r="V25"/>
  <c r="U25"/>
  <c r="Q25"/>
  <c r="P25"/>
  <c r="O25"/>
  <c r="AJ24"/>
  <c r="AJ23"/>
  <c r="E23"/>
  <c r="BD21"/>
  <c r="AV21"/>
  <c r="AU21"/>
  <c r="AK21"/>
  <c r="U21"/>
  <c r="Q21"/>
  <c r="P21"/>
  <c r="O21"/>
  <c r="E21"/>
  <c r="AI20"/>
  <c r="AH20"/>
  <c r="AG20"/>
  <c r="AC20"/>
  <c r="AB20"/>
  <c r="AA20"/>
  <c r="W20"/>
  <c r="V20"/>
  <c r="U20"/>
  <c r="Q20"/>
  <c r="P20"/>
  <c r="O20"/>
  <c r="AM19"/>
  <c r="AK19"/>
  <c r="AI19"/>
  <c r="AH19"/>
  <c r="AG19"/>
  <c r="AC19"/>
  <c r="AB19"/>
  <c r="AA19"/>
  <c r="W19"/>
  <c r="V19"/>
  <c r="U19"/>
  <c r="Q19"/>
  <c r="P19"/>
  <c r="O19"/>
  <c r="E19"/>
  <c r="AJ18"/>
  <c r="AM17"/>
  <c r="AM40" s="1"/>
  <c r="AK17"/>
  <c r="AH17"/>
  <c r="AC17"/>
  <c r="AA17"/>
  <c r="V17"/>
  <c r="Q17"/>
  <c r="O17"/>
  <c r="AJ16"/>
  <c r="E16"/>
  <c r="AJ15"/>
  <c r="E15"/>
  <c r="AI14"/>
  <c r="AH14"/>
  <c r="AG14"/>
  <c r="AC14"/>
  <c r="AB14"/>
  <c r="AA14"/>
  <c r="W14"/>
  <c r="V14"/>
  <c r="U14"/>
  <c r="Q14"/>
  <c r="P14"/>
  <c r="O14"/>
  <c r="AJ13"/>
  <c r="AJ12"/>
  <c r="E12"/>
  <c r="AJ11"/>
  <c r="E11"/>
  <c r="AI10"/>
  <c r="AH10"/>
  <c r="AH40" s="1"/>
  <c r="AG10"/>
  <c r="AC10"/>
  <c r="AC40" s="1"/>
  <c r="AB10"/>
  <c r="AA10"/>
  <c r="AA40" s="1"/>
  <c r="W10"/>
  <c r="V10"/>
  <c r="V40" s="1"/>
  <c r="U10"/>
  <c r="Q10"/>
  <c r="Q40" s="1"/>
  <c r="P10"/>
  <c r="O10"/>
  <c r="O40" s="1"/>
  <c r="AJ14" l="1"/>
  <c r="BB22"/>
  <c r="AJ29"/>
  <c r="P17"/>
  <c r="U17"/>
  <c r="W17"/>
  <c r="AB17"/>
  <c r="AG17"/>
  <c r="AI17"/>
  <c r="AJ21"/>
  <c r="AW21"/>
  <c r="AJ25"/>
  <c r="AJ31"/>
  <c r="AJ36"/>
  <c r="AJ38"/>
  <c r="AJ17"/>
  <c r="AJ19"/>
  <c r="AJ20"/>
  <c r="AO17" s="1"/>
  <c r="AK40"/>
  <c r="AK34" i="2"/>
  <c r="AJ28"/>
  <c r="AC76"/>
  <c r="P76"/>
  <c r="W28"/>
  <c r="AG76"/>
  <c r="W76"/>
  <c r="AK11"/>
  <c r="AJ13"/>
  <c r="AK15"/>
  <c r="AJ16"/>
  <c r="AK18"/>
  <c r="AK20"/>
  <c r="AK23"/>
  <c r="AK25"/>
  <c r="AK27"/>
  <c r="AK29"/>
  <c r="AK33"/>
  <c r="AK36"/>
  <c r="AK38"/>
  <c r="AK40"/>
  <c r="AK42"/>
  <c r="AK45"/>
  <c r="AJ47"/>
  <c r="AK49"/>
  <c r="AK51"/>
  <c r="AK53"/>
  <c r="AK56"/>
  <c r="AK58"/>
  <c r="AK60"/>
  <c r="AK62"/>
  <c r="AK64"/>
  <c r="AJ66"/>
  <c r="AK68"/>
  <c r="AK70"/>
  <c r="AK72"/>
  <c r="AX21" i="1"/>
  <c r="P40"/>
  <c r="U40"/>
  <c r="W40"/>
  <c r="AB40"/>
  <c r="AG40"/>
  <c r="AI40"/>
  <c r="AJ10"/>
  <c r="AJ40" s="1"/>
  <c r="AK66" i="2" l="1"/>
  <c r="AK55"/>
  <c r="AK16"/>
  <c r="AK13"/>
  <c r="AK10"/>
  <c r="AJ76"/>
  <c r="AK47"/>
  <c r="AK44"/>
  <c r="AK28"/>
  <c r="AK22"/>
  <c r="AZ21" i="1"/>
  <c r="BA21"/>
  <c r="AK76" i="2" l="1"/>
  <c r="AK78" l="1"/>
</calcChain>
</file>

<file path=xl/comments1.xml><?xml version="1.0" encoding="utf-8"?>
<comments xmlns="http://schemas.openxmlformats.org/spreadsheetml/2006/main">
  <authors>
    <author>Sara Lazo</author>
  </authors>
  <commentList>
    <comment ref="M81" authorId="0">
      <text>
        <r>
          <rPr>
            <b/>
            <sz val="9"/>
            <color indexed="81"/>
            <rFont val="Tahoma"/>
            <family val="2"/>
          </rPr>
          <t>Sara Lazo:</t>
        </r>
        <r>
          <rPr>
            <sz val="9"/>
            <color indexed="81"/>
            <rFont val="Tahoma"/>
            <family val="2"/>
          </rPr>
          <t xml:space="preserve">
DZA =50
SV= 50
</t>
        </r>
      </text>
    </comment>
    <comment ref="N81" authorId="0">
      <text>
        <r>
          <rPr>
            <b/>
            <sz val="9"/>
            <color indexed="81"/>
            <rFont val="Tahoma"/>
            <family val="2"/>
          </rPr>
          <t>Sara Lazo:</t>
        </r>
        <r>
          <rPr>
            <sz val="9"/>
            <color indexed="81"/>
            <rFont val="Tahoma"/>
            <family val="2"/>
          </rPr>
          <t xml:space="preserve">
DZA =50
SV= 50</t>
        </r>
      </text>
    </comment>
    <comment ref="R81" authorId="0">
      <text>
        <r>
          <rPr>
            <b/>
            <sz val="9"/>
            <color indexed="81"/>
            <rFont val="Tahoma"/>
            <family val="2"/>
          </rPr>
          <t>Sara Lazo:</t>
        </r>
        <r>
          <rPr>
            <sz val="9"/>
            <color indexed="81"/>
            <rFont val="Tahoma"/>
            <family val="2"/>
          </rPr>
          <t xml:space="preserve">
DZA =50
SV= 50</t>
        </r>
      </text>
    </comment>
    <comment ref="S81" authorId="0">
      <text>
        <r>
          <rPr>
            <b/>
            <sz val="9"/>
            <color indexed="81"/>
            <rFont val="Tahoma"/>
            <family val="2"/>
          </rPr>
          <t>Sara Lazo:</t>
        </r>
        <r>
          <rPr>
            <sz val="9"/>
            <color indexed="81"/>
            <rFont val="Tahoma"/>
            <family val="2"/>
          </rPr>
          <t xml:space="preserve">
DZA =50
SV= 50</t>
        </r>
      </text>
    </comment>
    <comment ref="T81" authorId="0">
      <text>
        <r>
          <rPr>
            <b/>
            <sz val="9"/>
            <color indexed="81"/>
            <rFont val="Tahoma"/>
            <family val="2"/>
          </rPr>
          <t>Sara Lazo:</t>
        </r>
        <r>
          <rPr>
            <sz val="9"/>
            <color indexed="81"/>
            <rFont val="Tahoma"/>
            <family val="2"/>
          </rPr>
          <t xml:space="preserve">
DZA =50
SV= 50</t>
        </r>
      </text>
    </comment>
    <comment ref="X81" authorId="0">
      <text>
        <r>
          <rPr>
            <b/>
            <sz val="9"/>
            <color indexed="81"/>
            <rFont val="Tahoma"/>
            <family val="2"/>
          </rPr>
          <t>Sara Lazo:</t>
        </r>
        <r>
          <rPr>
            <sz val="9"/>
            <color indexed="81"/>
            <rFont val="Tahoma"/>
            <family val="2"/>
          </rPr>
          <t xml:space="preserve">
DZA =50
SV= 50</t>
        </r>
      </text>
    </comment>
    <comment ref="Y81" authorId="0">
      <text>
        <r>
          <rPr>
            <b/>
            <sz val="9"/>
            <color indexed="81"/>
            <rFont val="Tahoma"/>
            <family val="2"/>
          </rPr>
          <t>Sara Lazo:</t>
        </r>
        <r>
          <rPr>
            <sz val="9"/>
            <color indexed="81"/>
            <rFont val="Tahoma"/>
            <family val="2"/>
          </rPr>
          <t xml:space="preserve">
DZA =50
SV= 50</t>
        </r>
      </text>
    </comment>
    <comment ref="Z81" authorId="0">
      <text>
        <r>
          <rPr>
            <b/>
            <sz val="9"/>
            <color indexed="81"/>
            <rFont val="Tahoma"/>
            <family val="2"/>
          </rPr>
          <t>Sara Lazo:</t>
        </r>
        <r>
          <rPr>
            <sz val="9"/>
            <color indexed="81"/>
            <rFont val="Tahoma"/>
            <family val="2"/>
          </rPr>
          <t xml:space="preserve">
DZA =50
SV= 50</t>
        </r>
      </text>
    </comment>
    <comment ref="AD81" authorId="0">
      <text>
        <r>
          <rPr>
            <b/>
            <sz val="9"/>
            <color indexed="81"/>
            <rFont val="Tahoma"/>
            <family val="2"/>
          </rPr>
          <t>Sara Lazo:</t>
        </r>
        <r>
          <rPr>
            <sz val="9"/>
            <color indexed="81"/>
            <rFont val="Tahoma"/>
            <family val="2"/>
          </rPr>
          <t xml:space="preserve">
DZA =50
SV= 50</t>
        </r>
      </text>
    </comment>
    <comment ref="AE81" authorId="0">
      <text>
        <r>
          <rPr>
            <b/>
            <sz val="9"/>
            <color indexed="81"/>
            <rFont val="Tahoma"/>
            <family val="2"/>
          </rPr>
          <t>Sara Lazo:</t>
        </r>
        <r>
          <rPr>
            <sz val="9"/>
            <color indexed="81"/>
            <rFont val="Tahoma"/>
            <family val="2"/>
          </rPr>
          <t xml:space="preserve">
DZA =50
SV= 50</t>
        </r>
      </text>
    </comment>
    <comment ref="AF81" authorId="0">
      <text>
        <r>
          <rPr>
            <b/>
            <sz val="9"/>
            <color indexed="81"/>
            <rFont val="Tahoma"/>
            <family val="2"/>
          </rPr>
          <t>Sara Lazo:</t>
        </r>
        <r>
          <rPr>
            <sz val="9"/>
            <color indexed="81"/>
            <rFont val="Tahoma"/>
            <family val="2"/>
          </rPr>
          <t xml:space="preserve">
DZA =50
SV= 50</t>
        </r>
      </text>
    </comment>
  </commentList>
</comments>
</file>

<file path=xl/sharedStrings.xml><?xml version="1.0" encoding="utf-8"?>
<sst xmlns="http://schemas.openxmlformats.org/spreadsheetml/2006/main" count="5466" uniqueCount="2346">
  <si>
    <t>MINISTERIO DE AGRICULTURA Y GANADERIA</t>
  </si>
  <si>
    <t>PROGRAMACION DE METAS FISICAS Y FINANCIERAS</t>
  </si>
  <si>
    <t>Área Ministerial: Dependencia Centralizada</t>
  </si>
  <si>
    <t>Dirección / Oficina: Dirección General de Sanidad Vegetal (DGSV)</t>
  </si>
  <si>
    <r>
      <t xml:space="preserve">Periodo de Ejecución: </t>
    </r>
    <r>
      <rPr>
        <sz val="12"/>
        <rFont val="Calibri"/>
        <family val="2"/>
        <scheme val="minor"/>
      </rPr>
      <t>2016</t>
    </r>
  </si>
  <si>
    <t>(1) Código</t>
  </si>
  <si>
    <t>(2) Resultado / Acción Estratégica</t>
  </si>
  <si>
    <t>(3)
 Meta</t>
  </si>
  <si>
    <t>(4) Unidad 
de Medida</t>
  </si>
  <si>
    <t>(5) Indicador de resultados</t>
  </si>
  <si>
    <t>(6) Medio de Verificación</t>
  </si>
  <si>
    <t>(7) Costo
Porcentual</t>
  </si>
  <si>
    <t>(8) Peso
ponderado
Resultado</t>
  </si>
  <si>
    <t>(9) Peso
ponderado
acción</t>
  </si>
  <si>
    <t>(10) Distribución de Metas</t>
  </si>
  <si>
    <t>(11) Fuente de Financiamiento ($)</t>
  </si>
  <si>
    <t>(12) Ubicación Geográfica</t>
  </si>
  <si>
    <t>(13) Responsable</t>
  </si>
  <si>
    <t>(14) Observación</t>
  </si>
  <si>
    <t>(14) Observaciones</t>
  </si>
  <si>
    <t>E.E.</t>
  </si>
  <si>
    <t>L.E.</t>
  </si>
  <si>
    <t>No.</t>
  </si>
  <si>
    <t>Trimestre 1</t>
  </si>
  <si>
    <t>Trimestre 2</t>
  </si>
  <si>
    <t>Trimestre 3</t>
  </si>
  <si>
    <t>Trimestre 4</t>
  </si>
  <si>
    <t>Costo
Total</t>
  </si>
  <si>
    <t>Ppto. 
Ord.</t>
  </si>
  <si>
    <t>Ppto.
Eord.</t>
  </si>
  <si>
    <t>F.A.E.
 F.P.</t>
  </si>
  <si>
    <t>Fideicomiso</t>
  </si>
  <si>
    <t>F. 
Ext.</t>
  </si>
  <si>
    <t>físico</t>
  </si>
  <si>
    <t>financiero</t>
  </si>
  <si>
    <t>E</t>
  </si>
  <si>
    <t>F</t>
  </si>
  <si>
    <t>M</t>
  </si>
  <si>
    <t>A</t>
  </si>
  <si>
    <t>J</t>
  </si>
  <si>
    <t>S</t>
  </si>
  <si>
    <t>O</t>
  </si>
  <si>
    <t>N</t>
  </si>
  <si>
    <t>D</t>
  </si>
  <si>
    <t>E.01</t>
  </si>
  <si>
    <t>L.01.01.02</t>
  </si>
  <si>
    <t>R.01.01.02.18.00-E</t>
  </si>
  <si>
    <t>Garantizar la calidad de la semilla y material vegetativo que se comercializa en el país</t>
  </si>
  <si>
    <t>Carlos Murga</t>
  </si>
  <si>
    <t>A.01.01.02.18.01-E</t>
  </si>
  <si>
    <t>Efectuar visitas a campo de producción de semillas y material vegetativo y realizar análisis en laboratorio</t>
  </si>
  <si>
    <t>Visita</t>
  </si>
  <si>
    <t>Visitas a campo de producción de semillas y análisis en laboratorio, realizadas</t>
  </si>
  <si>
    <t>A Nivel Nacional</t>
  </si>
  <si>
    <t>E.01.</t>
  </si>
  <si>
    <t>L.01.01.02.</t>
  </si>
  <si>
    <t>Análisis</t>
  </si>
  <si>
    <t>Hoja de resultados de análisis, físico y digital</t>
  </si>
  <si>
    <t>A.01.01.02.18.02-E</t>
  </si>
  <si>
    <t>Fortalecer el proceso de certificación de semillas y material vegetativo efectuando  visitas a campo de producción y análisis en laboratorio</t>
  </si>
  <si>
    <t xml:space="preserve">
10%</t>
  </si>
  <si>
    <t xml:space="preserve">
Proceso</t>
  </si>
  <si>
    <t>Gestión de fondos para mejorar  proceso de certificación de semillas efectuando visitas a campo de producción y análisis en laboratorio, Realizado</t>
  </si>
  <si>
    <t>Documentos de Gestión</t>
  </si>
  <si>
    <t xml:space="preserve">Se cumple con el porcentaje anual programado </t>
  </si>
  <si>
    <t>R.01.01.02.19.00-E</t>
  </si>
  <si>
    <t>Reducción de los riesgos de contaminación de frutas y hortalizas de consumo humano</t>
  </si>
  <si>
    <t>Douglas Navarro</t>
  </si>
  <si>
    <t>Implementar el Sistema de Inocuidad de Frutas y Hortalizas (SIFHO)</t>
  </si>
  <si>
    <t>Inspección</t>
  </si>
  <si>
    <t>Sistema de Inocuidad de Frutas y Hortalizas (SIFHO), implementado</t>
  </si>
  <si>
    <t>Bitácora de inspecciones y hoja de acciones correctivas, físico y digital.</t>
  </si>
  <si>
    <t>Muestra</t>
  </si>
  <si>
    <t>Resultado de análisis de las muestras, físico y digital.</t>
  </si>
  <si>
    <t>R.01.01.02.20.00-E</t>
  </si>
  <si>
    <t>Protección del Patrimonio agrícola del país contra plagas y enfermedades de importancia económica y cuarentenaria.</t>
  </si>
  <si>
    <t>Meta no es acumulativa</t>
  </si>
  <si>
    <t>A.01.01.02.20.01-E</t>
  </si>
  <si>
    <t>Implementar un sistema de Vigilancia Fitosanitaria.</t>
  </si>
  <si>
    <t>Proceso</t>
  </si>
  <si>
    <t>Gestión de fondos para la implementación de un sistema de Vigilancia, Realizada</t>
  </si>
  <si>
    <t>Douglas Escobar</t>
  </si>
  <si>
    <t>Visitas de vigilancia fitosanitaria establecidas</t>
  </si>
  <si>
    <t>Reporte de visitas, fisco y digital.</t>
  </si>
  <si>
    <t>Douglas Escobar, Benjamín Meléndez; Jorge Díaz</t>
  </si>
  <si>
    <t>Visitas de muestreo y trampeo en cultivo del sorgo y hospederos alternos para el control de pulgón amarillo, implementadas.</t>
  </si>
  <si>
    <t>financiado con fondos OIRSA</t>
  </si>
  <si>
    <t>Autorización</t>
  </si>
  <si>
    <t xml:space="preserve">Pre certificado fitosanitario Autorizado </t>
  </si>
  <si>
    <t>Hoja de autorización de pre certificación fitosanitaria, fisco y digital</t>
  </si>
  <si>
    <t>Raúl Pérez</t>
  </si>
  <si>
    <t xml:space="preserve">Sujeto a demanda </t>
  </si>
  <si>
    <t>Planta</t>
  </si>
  <si>
    <t>Lotes de plantas de viveros de café, certificadas fitosanitariamente</t>
  </si>
  <si>
    <t>Certificado fitosanitario</t>
  </si>
  <si>
    <t>Millón</t>
  </si>
  <si>
    <t>Parasitoides para el control de las moscas de la fruta, producidos</t>
  </si>
  <si>
    <t>Registro de parasitoides producidos, físico y digital.</t>
  </si>
  <si>
    <t>Sistema</t>
  </si>
  <si>
    <t>Modulo de Sistema de Análisis de Riesgos de Plagas, implementado</t>
  </si>
  <si>
    <t>Sistema implementado</t>
  </si>
  <si>
    <t>Santa Tecla, La Libertad</t>
  </si>
  <si>
    <t>Luis Hueso</t>
  </si>
  <si>
    <t>L.01.01.03</t>
  </si>
  <si>
    <t>R.01.01.03.04.00-E</t>
  </si>
  <si>
    <t>Aplicación del marco legal para garantizar la protección fitosanitaria del sector agrícola y la inocuidad de los alimentos producidos</t>
  </si>
  <si>
    <t>A.01.01.03.04.01-E</t>
  </si>
  <si>
    <t>Fortalecer a la DGSV con recurso financiero, humano, equipo, infraestructura y capacitaciones</t>
  </si>
  <si>
    <t>Fortalecimiento a la DGSV con recurso financiero, humano, equipo, infraestructura y capacitaciones, Gestionado</t>
  </si>
  <si>
    <t>San Salvador, Santa Ana, San Miguel</t>
  </si>
  <si>
    <t>A.01.01.03.04.02-E</t>
  </si>
  <si>
    <t>Registrar y fiscalizar los establecimientos que comercializan insumos de uso agrícola</t>
  </si>
  <si>
    <t>Establecimientos que comercializan insumos de uso agrícola, registrados y fiscalizados</t>
  </si>
  <si>
    <t>Hoja de supervisión</t>
  </si>
  <si>
    <t>René Santamaría</t>
  </si>
  <si>
    <t>A.01.01.03.04.03-E</t>
  </si>
  <si>
    <t xml:space="preserve">Realizar el control de calidad de insumos agrícolas </t>
  </si>
  <si>
    <t>Diagnósticos de control de calidad de insumos agrícolas, realizados</t>
  </si>
  <si>
    <t>Hoja de resultado</t>
  </si>
  <si>
    <t>R.01.01.03.05.00-E</t>
  </si>
  <si>
    <t>Actualización y elaboración de la legislación aplicable para Sanidad Vegetal.</t>
  </si>
  <si>
    <t>Danilo Guzmán</t>
  </si>
  <si>
    <t>A.01.01.03.05.01-E</t>
  </si>
  <si>
    <t>Fortalecimiento del departamento Jurídico de la DGSV</t>
  </si>
  <si>
    <t>Gestión  fondos para capacitación  y  contratación de  personal  del  Departamento Jurídico  de la DGSV, Realizada</t>
  </si>
  <si>
    <t>San Salvador, Soyapango</t>
  </si>
  <si>
    <t>L.01.03.04</t>
  </si>
  <si>
    <t>R.01.03.04.01.00-E</t>
  </si>
  <si>
    <t xml:space="preserve">Reducción de las pérdidas postcosecha de granos básicos en fase de almacenamiento </t>
  </si>
  <si>
    <t>A.01.03.04.01.01-E</t>
  </si>
  <si>
    <t>Formar artesanos para la fabricación de silos metálicos mediante una estrategia de implementación territorial</t>
  </si>
  <si>
    <t>Hombre</t>
  </si>
  <si>
    <t xml:space="preserve">Artesanos para la fabricación de silos, Formados </t>
  </si>
  <si>
    <t>Registro de participantes</t>
  </si>
  <si>
    <t>Mujer</t>
  </si>
  <si>
    <t>A.01.03.04.01.02-E</t>
  </si>
  <si>
    <t xml:space="preserve">Impartir capacitaciones a agricultores en temas de Inocuidad y almacenamiento apropiado de granos básicos </t>
  </si>
  <si>
    <t>Capacitaciones a agricultores en temas de Inocuidad y almacenamiento apropiado de granos básicos, Impartidos</t>
  </si>
  <si>
    <t>E.07</t>
  </si>
  <si>
    <t>L.07.04.06</t>
  </si>
  <si>
    <t>R.07.04.06.07.00-E</t>
  </si>
  <si>
    <t>Vigilancia de la producción Orgánica Agrícola</t>
  </si>
  <si>
    <t>A.07.04.06.07.02-E</t>
  </si>
  <si>
    <t>Implementación de Sistema de  Vigilancia de Agricultura Orgánica</t>
  </si>
  <si>
    <t>Registro</t>
  </si>
  <si>
    <t>Productores orgánicos, registrados</t>
  </si>
  <si>
    <t>Listado de productores registrados, físico y digital.</t>
  </si>
  <si>
    <t>E.11</t>
  </si>
  <si>
    <t>L.11.03.05</t>
  </si>
  <si>
    <t>R.11.03.05.01.00-E</t>
  </si>
  <si>
    <t>Mayor cobertura de usuarios con servicios que brinda la DGSV</t>
  </si>
  <si>
    <t>A.11.03.05.01.02-E</t>
  </si>
  <si>
    <t>Fortalecimiento de oficinas regionales de Occidente y Oriente con recurso financiero, humano, equipo, infraestructura y capacitaciones</t>
  </si>
  <si>
    <t>Oficinas regionales de Occidente y Oriente con recurso financiero, humano, equipo, infraestructura y capacitaciones, fortalecidas</t>
  </si>
  <si>
    <t>Santa Ana y San Miguel</t>
  </si>
  <si>
    <t xml:space="preserve">Douglas Escobar, Benjamín Meléndez; Jorge Díaz </t>
  </si>
  <si>
    <t>TOTAL</t>
  </si>
  <si>
    <r>
      <rPr>
        <b/>
        <sz val="12"/>
        <rFont val="Calibri"/>
        <family val="2"/>
        <scheme val="minor"/>
      </rPr>
      <t>NOTA</t>
    </r>
    <r>
      <rPr>
        <sz val="12"/>
        <rFont val="Calibri"/>
        <family val="2"/>
        <scheme val="minor"/>
      </rPr>
      <t>: Todas las metas Estratégicas serán las primeras programadas en el Plan Anual de Trabajo.</t>
    </r>
  </si>
  <si>
    <t>Área Ministerial: Dependencias Centralizadas</t>
  </si>
  <si>
    <t>Dirección / Oficina: Oficina de Políticas y Planificación Sectorial (OPPS)</t>
  </si>
  <si>
    <t>Periodo de Ejecución: Enero a diciembre 2016</t>
  </si>
  <si>
    <t>(3) Meta</t>
  </si>
  <si>
    <t>Costo Total</t>
  </si>
  <si>
    <r>
      <t>Fideic</t>
    </r>
    <r>
      <rPr>
        <b/>
        <u/>
        <sz val="12"/>
        <rFont val="Calibri"/>
        <family val="2"/>
        <scheme val="minor"/>
      </rPr>
      <t>o</t>
    </r>
    <r>
      <rPr>
        <b/>
        <sz val="12"/>
        <rFont val="Calibri"/>
        <family val="2"/>
        <scheme val="minor"/>
      </rPr>
      <t>miso</t>
    </r>
  </si>
  <si>
    <t>R.01.01.02.21.00-E</t>
  </si>
  <si>
    <t>Administrar los Convenios de Comercialización entre productores e industriales de las cadenas de Maíz Blanco, Arroz Granza y Sorgo</t>
  </si>
  <si>
    <t>A.01.01.02.21.01-E</t>
  </si>
  <si>
    <t>Coordinar las acciones derivadas de los Convenios de comercialización de granos básicos</t>
  </si>
  <si>
    <t>Informe</t>
  </si>
  <si>
    <t>Informe de comercialización de granos básicos</t>
  </si>
  <si>
    <t>Willians Alfredo Vásquez</t>
  </si>
  <si>
    <t>Documento</t>
  </si>
  <si>
    <t>Documento de análisis de abastecimiento de granos básicos, elaborados</t>
  </si>
  <si>
    <t>Documentos de análisis de abastecimiento de granos básicos</t>
  </si>
  <si>
    <t>R.01.01.02.22.00-E</t>
  </si>
  <si>
    <t>Administrar el Convenios de Comercialización entre productores e industrias procesadoras de carne de cerdo</t>
  </si>
  <si>
    <t>A.01.01.02.22.01-E</t>
  </si>
  <si>
    <t>Coordinar las acciones derivadas de los Convenios de comercialización de cerdo</t>
  </si>
  <si>
    <t>Acuerdo</t>
  </si>
  <si>
    <t>Acta de negociación conteniendo acuerdos sobre precio y volumen, elaborada</t>
  </si>
  <si>
    <t>Acta de comercialización de cerdo</t>
  </si>
  <si>
    <t>Propuesta</t>
  </si>
  <si>
    <t>Propuesta de mejora del contenido del Convenio de carne de cerdo, elaborada</t>
  </si>
  <si>
    <t>Documento de propuesta de convenio de carne de cerdo</t>
  </si>
  <si>
    <t>E.05</t>
  </si>
  <si>
    <t>L.05.03.01</t>
  </si>
  <si>
    <t>R.05.03.01.04.00-E</t>
  </si>
  <si>
    <t>Institucionalización del enfoque de género</t>
  </si>
  <si>
    <t>A.05.03.01.04.01-E</t>
  </si>
  <si>
    <t>Realizar el seguimiento a la Política Nacional de la Mujer MAG-ISDEMU</t>
  </si>
  <si>
    <t>Informe de seguimiento a la Política Nacional de la Mujer MAG-ISDEMU, realizado</t>
  </si>
  <si>
    <t>Informe de seguimiento de la Política Nacional de la Mujer</t>
  </si>
  <si>
    <t>Política institucional de genero, actualizada</t>
  </si>
  <si>
    <t>Documento Institucional  de Política de genero</t>
  </si>
  <si>
    <t>Personal del MAG en tema de equidad de genero e inclusión de población vulnerable, sensibilizada</t>
  </si>
  <si>
    <t>Lista de asistencia a evento de equidad de genero</t>
  </si>
  <si>
    <t>Evento</t>
  </si>
  <si>
    <t>L.07.01.03</t>
  </si>
  <si>
    <t>R.07.01.03.01.00-E</t>
  </si>
  <si>
    <t>Cumplimiento de la normativa ambiental</t>
  </si>
  <si>
    <t>A.07.01.03.01.01-E</t>
  </si>
  <si>
    <t>Gestionar opinión técnica de obras y proyectos del MAG que requieren permiso ambiental</t>
  </si>
  <si>
    <t>Opinion</t>
  </si>
  <si>
    <t>Opinión técnica de obras y proyectos del MAG que requieren permiso ambiental, Elaborado</t>
  </si>
  <si>
    <t>Informe de opinión técnica de obras y proyectos del MAG</t>
  </si>
  <si>
    <t>Permiso</t>
  </si>
  <si>
    <t>Permisos ambientales de proyectos del MAG, gestionados</t>
  </si>
  <si>
    <t>Informe de gestión de permiso ambiental</t>
  </si>
  <si>
    <t>Informe de verificación de la incorporación de la dimensión ambiental en las Políticas Sectoriales, planes, programas, proyectos y acciones elaborado</t>
  </si>
  <si>
    <t>Informe de verificación de la incorporación de la dimensión ambiental</t>
  </si>
  <si>
    <t>Comité</t>
  </si>
  <si>
    <t>Comité de gestión ambiental institucional, funcionando</t>
  </si>
  <si>
    <t>Informe de acciones realizadas</t>
  </si>
  <si>
    <t>Plan</t>
  </si>
  <si>
    <t>Plan  de reducción, reutilización y reciclaje de desechos sólidos, diseñado</t>
  </si>
  <si>
    <t>Documento del Plan  de reducción, reutilización y reciclaje de desechos sólidos</t>
  </si>
  <si>
    <t>L.11.02.01</t>
  </si>
  <si>
    <t>R.11.02.01.01.00-E</t>
  </si>
  <si>
    <t>Fortalecimiento del Sistema de Planificación Sectorial</t>
  </si>
  <si>
    <t>A.11.02.01.01.03-E</t>
  </si>
  <si>
    <t>Asesorar e integrar los Planes Anuales Operativos de todas las dependencias del MAG</t>
  </si>
  <si>
    <t>Planes anuales Operativos, asesorados</t>
  </si>
  <si>
    <t>Documentos de Planes anuales operativos</t>
  </si>
  <si>
    <t>La Libertad, Santa Tecla</t>
  </si>
  <si>
    <t>Juan Santos Quintanilla</t>
  </si>
  <si>
    <t>Plan Operativo Sectorial (POS), elaborado</t>
  </si>
  <si>
    <t>Documento del Plan Operativo Sectorial</t>
  </si>
  <si>
    <t>Planes de trabajo del Presupuesto anual, asesorados</t>
  </si>
  <si>
    <t>Documentos de Planes del presupuesto 2017</t>
  </si>
  <si>
    <t>A.11.02.01.01.04-E</t>
  </si>
  <si>
    <t>Asesorar para la elaboración de proyectos Institucionales</t>
  </si>
  <si>
    <t>Proyecto</t>
  </si>
  <si>
    <t>Proyectos Institucionales, asesorado</t>
  </si>
  <si>
    <t>Documentos de Proyectos Institucionales</t>
  </si>
  <si>
    <t>Porcentaje</t>
  </si>
  <si>
    <t>Banco de Proyectos Institucionales, elaborado</t>
  </si>
  <si>
    <t>Informe del Banco de Proyectos Institucionales, elaborado</t>
  </si>
  <si>
    <t>A.11.02.01.01.05-E</t>
  </si>
  <si>
    <t>Asesorar a las Direcciones o unidades organizativas en el uso del Sistema de Planificación en el área de Planificación</t>
  </si>
  <si>
    <t>Unidad</t>
  </si>
  <si>
    <t>Unidades organizativas en el uso del  Sistema de Planificación en el área de Planificación, asesoradas</t>
  </si>
  <si>
    <t>Cuadro de control de asesorías para el uso del  Sistema en el área Planificación</t>
  </si>
  <si>
    <t>A.11.02.01.01.06-E</t>
  </si>
  <si>
    <t>Asesorar a las Direcciones o unidades organizativas en el uso del  Sistema de Planificación en el área de monitoreo y evaluación</t>
  </si>
  <si>
    <t>Unidades organizativas en el uso del  Sistema de Planificación en el área de monitoreo y evaluación, asesoradas</t>
  </si>
  <si>
    <t>Cuadro de control de asesorías para el uso del  Sistema de Planificación en el área de monitoreo y evaluación</t>
  </si>
  <si>
    <t>Amílcar Landaverde</t>
  </si>
  <si>
    <t>A.11.02.01.01.07-E</t>
  </si>
  <si>
    <t>Realizar seguimiento  a  los Planes Operativos Anuales de las Direcciones o unidades organizativas del MAG</t>
  </si>
  <si>
    <t xml:space="preserve"> Informe</t>
  </si>
  <si>
    <t>Informe de seguimiento a los Planes Operativos Anuales, elaborado</t>
  </si>
  <si>
    <t>Documento de informe de seguimiento a Planes Anuales Operativos Institucionales</t>
  </si>
  <si>
    <t>Informe de Verificación de productos, elaborado</t>
  </si>
  <si>
    <t>Documento de informe de verificación de productos</t>
  </si>
  <si>
    <t>Informe  de las principales acciones del MAG, elaborado</t>
  </si>
  <si>
    <t>Documento de informe de las principales acciones  del MAG, físico y digital.</t>
  </si>
  <si>
    <t>A.11.02.01.01.08-E</t>
  </si>
  <si>
    <t>Realizar seguimiento al Plan Estratégico Institucional (PEI)</t>
  </si>
  <si>
    <t>Informe de Seguimiento al PEI, elaborado</t>
  </si>
  <si>
    <t>Documento de informe de seguimiento al Plan Estratégico Institucional</t>
  </si>
  <si>
    <t>A.11.02.01.01.09-E</t>
  </si>
  <si>
    <t>Realizar seguimiento al Plan Operativo Sectorial (POS) del MAG</t>
  </si>
  <si>
    <t>Informe de Seguimiento al Plan Operativo Sectorial del MAG, elaborado</t>
  </si>
  <si>
    <t>Documento de Informe de seguimiento al Plan Operativo Sectorial del MAG</t>
  </si>
  <si>
    <t>A.11.02.01.01.11-E</t>
  </si>
  <si>
    <t>Realizar la Evaluación Continua de los Planes Operativos Anuales del MAG</t>
  </si>
  <si>
    <t>Informe de Evaluación continua de los Planes Operativos Anuales, elaborado</t>
  </si>
  <si>
    <t>Documento de informe de evaluación continua del POA´s</t>
  </si>
  <si>
    <t>Lineamientos y metodologías para la evaluación continua, elaborado</t>
  </si>
  <si>
    <t>Documento de lineamientos y metodologías para la evaluación continua de los POA´s</t>
  </si>
  <si>
    <t>A.11.02.01.01.12-E</t>
  </si>
  <si>
    <t>Realizar acompañamiento a la evaluación de productos y efectos de programas y proyectos sectoriales</t>
  </si>
  <si>
    <t>Informe de acompañamiento a la evaluación de productos y efectos de programas y proyectos sectoriales, elaborado</t>
  </si>
  <si>
    <t>Informe de acompañamiento en Evaluación de productos efectos de programas y proyectos</t>
  </si>
  <si>
    <t>L.11.05.03</t>
  </si>
  <si>
    <t>R.11.05.03.01.00-E</t>
  </si>
  <si>
    <t>Rendición de cuentas de la gestión del MAG</t>
  </si>
  <si>
    <t>A.11.05.03.01.01-E</t>
  </si>
  <si>
    <t>Elaborar el Informe de rendición de cuentas</t>
  </si>
  <si>
    <t>Informe de rendición de cuentas del MAG, elaborado</t>
  </si>
  <si>
    <t>Informe de Rendición de Cuentas del MAG</t>
  </si>
  <si>
    <t>A.11.05.03.01.02-E</t>
  </si>
  <si>
    <t>Elaborar la Memoria de Labores del MAG</t>
  </si>
  <si>
    <t>Documento de Memoria de Labores del MAG, elaborado</t>
  </si>
  <si>
    <t>Documento de Memoria de Labores del MAG</t>
  </si>
  <si>
    <t>E.12</t>
  </si>
  <si>
    <t>L.12.06.01</t>
  </si>
  <si>
    <t>R.12.06.01.00-O</t>
  </si>
  <si>
    <t>Programación y Control de la inversión pública</t>
  </si>
  <si>
    <t>A.12.06.01.01-O</t>
  </si>
  <si>
    <t>Realizar seguimiento a la inversión Publica  (PAIP, PAP) del MAG</t>
  </si>
  <si>
    <t>Informe de Seguimiento al Programa Anual de Inversión Pública (PAIP), elaborado</t>
  </si>
  <si>
    <t>Documento de Informe de seguimiento del PAIP</t>
  </si>
  <si>
    <t>Informe de Seguimiento al Programa de Preinversión  Pública (PAP), elaborado</t>
  </si>
  <si>
    <t>Documento de Informe de seguimiento del PAP</t>
  </si>
  <si>
    <t>A.12.06.01.02-O</t>
  </si>
  <si>
    <t>Análisis y Gestión de proyectos de inversión/ no inversión</t>
  </si>
  <si>
    <t>Opinión</t>
  </si>
  <si>
    <t>Análisis para opinión técnica de proyectos, elaborado</t>
  </si>
  <si>
    <t>Documento de opinión tecnica, físico y digital</t>
  </si>
  <si>
    <t>Código</t>
  </si>
  <si>
    <t>Código de Proyectos,  gestionado</t>
  </si>
  <si>
    <t>Nota de  asignación de código</t>
  </si>
  <si>
    <t>Opinión técnica de Proyectos,  gestionado</t>
  </si>
  <si>
    <t>Nota de opinión técnica</t>
  </si>
  <si>
    <t>A.12.06.01.03-O</t>
  </si>
  <si>
    <t>Asesorar  las programaciones correspondientes al proceso de inversión pública (PAP, PRIPME y PAIP) del MAG</t>
  </si>
  <si>
    <t>Programa</t>
  </si>
  <si>
    <t>Programación  de inversión pública (PAP, PRIPME y PAIP), integrada</t>
  </si>
  <si>
    <t>Documentos del PAP, PRIPME y PAIP</t>
  </si>
  <si>
    <t>A.12.06.01.04-O</t>
  </si>
  <si>
    <t>Gestionar la autorización de crédito para estudios de preinversión</t>
  </si>
  <si>
    <t>Autorización de crédito para estudio de preinversión a proyecto, gestionada</t>
  </si>
  <si>
    <t>Memorándum de remisión a la OFI del perfil del proyecto recibido</t>
  </si>
  <si>
    <t>L.12.06.02</t>
  </si>
  <si>
    <t>R.12.06.02.00-O</t>
  </si>
  <si>
    <t>Planificación y seguimiento de Programas especiales</t>
  </si>
  <si>
    <t>A.12.06.02.01-O</t>
  </si>
  <si>
    <t>Asesorar e integrar el Plan de trabajo de  Erradicación del trabajo infantil OIT/MT/MAG.</t>
  </si>
  <si>
    <t>Plan de Trabajo de  Erradicación del Trabajo Infantil OIT/MT/MAG, elaborado</t>
  </si>
  <si>
    <t xml:space="preserve">Documento del Plan de Erradicación del Trabajo Infantil </t>
  </si>
  <si>
    <t>A.12.06.02.02-O</t>
  </si>
  <si>
    <t>Realizar seguimiento al Plan de Erradicación del Trabajo Infantil OIT/MT/MAG</t>
  </si>
  <si>
    <t>Informe de seguimiento al Plan de Erradicación del Trabajo Infantil OIT/MT/MAG, realizado</t>
  </si>
  <si>
    <t>Informe de seguimiento al Plan de Erradicación del Trabajo Infantil</t>
  </si>
  <si>
    <t>A.12.06.02.03-O</t>
  </si>
  <si>
    <t>Asesorar e integrar el Plan de trabajo del MAG para el Desarrollo Social Integral para la Zona del Mozote y Lugares Aledaños</t>
  </si>
  <si>
    <t>Plan de trabajo del MAG para el Desarrollo Social Integral para la Zona del Mozote y Lugares Aledaños, elaborado</t>
  </si>
  <si>
    <t>Documento del Plan de trabajo para el Desarrollo Social Integral para la Zona del Mozote y Lugares Aledaños</t>
  </si>
  <si>
    <t>A.12.06.02.04-O</t>
  </si>
  <si>
    <t>Realizar seguimiento al Plan de trabajo del MAG para el Desarrollo Social Integral para la Zona del Mozote y Lugares Aledaños</t>
  </si>
  <si>
    <t>Informe de Seguimiento al Plan de trabajo del MAG para el Desarrollo Social Integral para la Zona del Mozote y Lugares Aledaños, ralizado</t>
  </si>
  <si>
    <t>Documento de informe de seguimiento al Plan de trabajo para el Desarrollo Social Integral para la Zona del Mozote y Lugares Aledaños</t>
  </si>
  <si>
    <t>A.12.06.02.05.O</t>
  </si>
  <si>
    <t>Asesorar e integrar el Plan de trabajo de  igualdad de género MAG/ISDEMU.</t>
  </si>
  <si>
    <t>Plan de trabajo del MAG de igualdad de género, elaborado</t>
  </si>
  <si>
    <t>Documento del Plan de trabajo de igualdad de género</t>
  </si>
  <si>
    <t>A.12.06.02.06-O</t>
  </si>
  <si>
    <t>Realizar seguimiento al Plan de igualdad de género</t>
  </si>
  <si>
    <t>Informe de Seguimiento al Plan de Trabajo de igualdad de género, elaborado</t>
  </si>
  <si>
    <t>Informe de seguimiento al Plan de trabajo de igualdad de género</t>
  </si>
  <si>
    <t>A.12.06.02.07.O</t>
  </si>
  <si>
    <t>Asesorar e integrar el Plan de trabajo de atención de víctimas del conflicto armado MAG/SIS</t>
  </si>
  <si>
    <t>Plan de trabajo del MAG de atención a víctimas del conflicto armado, elaborado</t>
  </si>
  <si>
    <t>Documento del Plan de trabajo de atención a victimas del conflicto armado</t>
  </si>
  <si>
    <t>A.12.06.02.08-O</t>
  </si>
  <si>
    <t>Realizar seguimiento al Plan de atención de víctimas del conflicto armado MAG/SIS</t>
  </si>
  <si>
    <t>Informe de Seguimiento al Plan de trabajo del MAG de atención a víctimas del conflicto armado, elaborado</t>
  </si>
  <si>
    <t>Informe de seguimiento al  Plan de atención de víctimas del conflicto armado MAG/SIS</t>
  </si>
  <si>
    <t>A.12.06.02.09.O</t>
  </si>
  <si>
    <t>Asesorar e integrar el Plan de trabajo desarrollo agropecuario de la Región del Trifinio MAG/SNT</t>
  </si>
  <si>
    <t>Plan de trabajo del MAG de desarrollo agropecuario de la Región del Trifinio, elaborado</t>
  </si>
  <si>
    <t>Documento del Plan de trabajo de desarrollo agropecuario de la Región del Trifinio</t>
  </si>
  <si>
    <t>A.12.06.02.10-O</t>
  </si>
  <si>
    <t>Realizar seguimiento al Plan de desarrollo de la Región del Trifinio MAG-Plan Trifinio</t>
  </si>
  <si>
    <t>Informe Seguimiento al Plan de desarrollo de la Región del Trifinio MAG-Plan Trifinio, elaborado</t>
  </si>
  <si>
    <t>Informe de seguimiento al Plan de desarrollo de la Región del Trifinio MAG</t>
  </si>
  <si>
    <t>L.12.06.03</t>
  </si>
  <si>
    <t>R.12.06.03.00-O</t>
  </si>
  <si>
    <t>Fortalecimiento del direccionamiento estratégico sectorial</t>
  </si>
  <si>
    <t>A.12.06.03.01-O</t>
  </si>
  <si>
    <t>Elaborar reporte sobre el monitoreo de los principales mercados y precios internacionales de granos básicos e insumos agropecuarios</t>
  </si>
  <si>
    <t>Reporte sobre el monitoreo de los principales mercados y precios internacionales de granos básicos e insumos agropecuarios, elaborado</t>
  </si>
  <si>
    <t>Reporte de precios e insumos</t>
  </si>
  <si>
    <t>A.12.06.03.02-O</t>
  </si>
  <si>
    <t>Actualizar las Hojas de Balance de granos básicos de El Salvador</t>
  </si>
  <si>
    <t>Hoja</t>
  </si>
  <si>
    <t>Hojas de Balance de granos básicos de El Salvador, Actualizada</t>
  </si>
  <si>
    <t>Hojas de Balance de granos básicos de El Salvador</t>
  </si>
  <si>
    <t>A.12.06.03.03-O</t>
  </si>
  <si>
    <t>Dar opinión técnica sobre aperturas arancelarias y desgravaciones de productos agrícolas y pesqueros en tratados comerciales bilaterales, Unión Aduanera y OMC</t>
  </si>
  <si>
    <t>Informe de opinión técnica sobre aperturas arancelarias, desgravaciones de productos agrícolas y pesqueros en tratados comerciales bilaterales, Unión Aduanera y OMC, elaborado</t>
  </si>
  <si>
    <t>Informe de opinión técnica sobre aperturas arancelarias</t>
  </si>
  <si>
    <t>A.12.06.03.04-O</t>
  </si>
  <si>
    <t>Elaborar propuestas de políticas sectoriales</t>
  </si>
  <si>
    <t>Política</t>
  </si>
  <si>
    <t>Propuesta de política sub sectorial, elaborada</t>
  </si>
  <si>
    <t>Documento de  Propuesta de Política sub sectorial</t>
  </si>
  <si>
    <t>A.12.06.03.05-O</t>
  </si>
  <si>
    <t>Participación en las negociaciones de productos agrícolas y pesqueros en tratados comerciales bilaterales, Unión Aduanera y OMC</t>
  </si>
  <si>
    <t>informe</t>
  </si>
  <si>
    <t>Listado de productos agropecuarios sugetos a desgravación o continguentes arancelarios, definidos</t>
  </si>
  <si>
    <t>Listado de productos agropecuarios</t>
  </si>
  <si>
    <t>A.12.06.03.06-O</t>
  </si>
  <si>
    <t>Recopilación de políticas sectoriales</t>
  </si>
  <si>
    <t>Lineamientos sectoriales de la Política Agropecuaria, elaborados</t>
  </si>
  <si>
    <t>Documento publicado</t>
  </si>
  <si>
    <t>A.12.06.03.07-O</t>
  </si>
  <si>
    <t>Elaborar propuesta de Creación de un fondo de fomento prductivo (Check Off) para producto a gropecaurios</t>
  </si>
  <si>
    <t>Propuesta de Creación  de  un  fondo 
de fomento prductivo (Check Off) para productoa gropecaurios , elaborada</t>
  </si>
  <si>
    <t>Docuemtno de propuesta</t>
  </si>
  <si>
    <t>A.12.06.03.08-O</t>
  </si>
  <si>
    <t>Elaborar informe de seguimiento a acuerdos del Consejo Nacional de Desarrollo Agropecuario</t>
  </si>
  <si>
    <t>Informe de seguimiento a acuerdos del Consejo Nacional de Desarrollo Agropecuario, elaborado</t>
  </si>
  <si>
    <t>Documento de informe</t>
  </si>
  <si>
    <t>A.12.06.03.09-O</t>
  </si>
  <si>
    <t>Elaborar Informe de seguimiento sobre coordinaciones en el acceso a financiamiento agropecuarios (BFA, BH, BANDESAL; etc.)</t>
  </si>
  <si>
    <t>Informe de seguimiento sobre coordianciones en el acceso a financiamiento agropecuarios (BFA, BH, BANDESAL; etc.), elaborado</t>
  </si>
  <si>
    <t>MINISTERIO DE AGRICULTURA Y GANADERÍA</t>
  </si>
  <si>
    <t>PROGRAMACION DE METAS FISICAS Y FNANANCIERAS</t>
  </si>
  <si>
    <t>Área Ministerial: Dependencias Descentralizadas</t>
  </si>
  <si>
    <t>Dirección / Oficna: Centro Nacional de Tecnología Agropecuaria y Forestal (CENTA)</t>
  </si>
  <si>
    <t>Periodo de Ejecución: 2016</t>
  </si>
  <si>
    <t>(2) Resultado/Acciòn Estratègica</t>
  </si>
  <si>
    <t>(4) Unidad de Medida</t>
  </si>
  <si>
    <t>(5) Indicador de Resultados</t>
  </si>
  <si>
    <t>(7) Costo Porcentual</t>
  </si>
  <si>
    <t>(8) Peso ponderado Resultado</t>
  </si>
  <si>
    <t>(9) Peso 
ponderado 
Acción 
Estratégica</t>
  </si>
  <si>
    <t xml:space="preserve">(10) Distribución de Metas y Actividades </t>
  </si>
  <si>
    <t>EE</t>
  </si>
  <si>
    <t>LE</t>
  </si>
  <si>
    <t>Ppto Ord.</t>
  </si>
  <si>
    <t>Ppto. E ord.</t>
  </si>
  <si>
    <t>FAE F.P.</t>
  </si>
  <si>
    <t>Fideicomisos</t>
  </si>
  <si>
    <t xml:space="preserve">F. Ext </t>
  </si>
  <si>
    <t>Fìsico</t>
  </si>
  <si>
    <t>Financiero</t>
  </si>
  <si>
    <t>R.01.01.02.02.00-E</t>
  </si>
  <si>
    <t>Aumento de la producción y productividad de los granos básicos</t>
  </si>
  <si>
    <t>A.01.01.02.02.01-E</t>
  </si>
  <si>
    <t>Incrementar las áreas de siembra de granos básicos</t>
  </si>
  <si>
    <t>Manzana</t>
  </si>
  <si>
    <t>Área asistida técnicamente</t>
  </si>
  <si>
    <t>M/ Ciudad Arce, D/ La Libertad</t>
  </si>
  <si>
    <t>Rolando Ventura-Tecnología Semillas</t>
  </si>
  <si>
    <t>A.01.01.02.02.02-E</t>
  </si>
  <si>
    <t>Incrementar la disponibilidad de semilla de granos básicos</t>
  </si>
  <si>
    <t>Quintal</t>
  </si>
  <si>
    <t>Quintales de semilla de granos básicos producida</t>
  </si>
  <si>
    <t>Mario Garcìa-Unidad Tecnología Semillas</t>
  </si>
  <si>
    <t>A.01.01.02.02.03-E</t>
  </si>
  <si>
    <t>Transferir tecnologìa a productores en la producciòn comercial de granos bàsicos</t>
  </si>
  <si>
    <t>Productores de granos básicos asistidos técnicamente</t>
  </si>
  <si>
    <t xml:space="preserve">Nivel Nacional </t>
  </si>
  <si>
    <t>Napoelòn Mejìa-Gerencia transferencia</t>
  </si>
  <si>
    <t>*Meta física no acumulable 
 *  b,c,e,f,g</t>
  </si>
  <si>
    <t>A.01.01.02.02.04-E</t>
  </si>
  <si>
    <t>Generar y validar tecnología en granos bàsicos</t>
  </si>
  <si>
    <t>Tecnologìa</t>
  </si>
  <si>
    <t>Tecnologías generadas y disponibles</t>
  </si>
  <si>
    <t>Informe y Ficha Técnica de cada tecnología</t>
  </si>
  <si>
    <t>Lauro Alarcòn- Programa Granos bàsicos</t>
  </si>
  <si>
    <t>R.01.01.02.03.00-E</t>
  </si>
  <si>
    <t>Aumento de la producción y productividad de las hortalizas</t>
  </si>
  <si>
    <t>A.01.01.02.03.03-E</t>
  </si>
  <si>
    <t>Transferir tecnologìa en la producciòn de hortalizas</t>
  </si>
  <si>
    <t>Productores de hortalizas asistidos tècnicamente</t>
  </si>
  <si>
    <t xml:space="preserve">Informe y 
Registro de productores asistidos </t>
  </si>
  <si>
    <t>Nivel Nacional</t>
  </si>
  <si>
    <t>Napoleòn Mejìa-Gerencia transferencia</t>
  </si>
  <si>
    <t>Meta física no acumulable   
* b, c, d, e, f, i</t>
  </si>
  <si>
    <t>A.01.01.02.03.04-E</t>
  </si>
  <si>
    <t>Generar y validar tecnología en hortalizas</t>
  </si>
  <si>
    <t>Tecnología</t>
  </si>
  <si>
    <t>Marco Aurelio Larìn-Programa Hortalizas</t>
  </si>
  <si>
    <t>R.01.01.02.04.00-E</t>
  </si>
  <si>
    <t>Aumento de la producción y productividad de frutales</t>
  </si>
  <si>
    <t>A.01.01.02.04.02-E</t>
  </si>
  <si>
    <t>Producir yemas y plantas sanas</t>
  </si>
  <si>
    <t>Plantas producidas</t>
  </si>
  <si>
    <t>Informes</t>
  </si>
  <si>
    <t>Josè Marìa Garcìa-Programa Frutales</t>
  </si>
  <si>
    <t>Esta actividad a nivel operativo incluye   plantas de hortalizas, medicinales, forestales y otras; reportadas por diferentes unidades organizativas</t>
  </si>
  <si>
    <t>A.01.01.02.04.03-E</t>
  </si>
  <si>
    <t>Transferir tecnologìas para mejorar la productividad de frutales</t>
  </si>
  <si>
    <t>Productores de frutas asistidos tècnicamente</t>
  </si>
  <si>
    <t>Nivel nacional</t>
  </si>
  <si>
    <t>Meta fìsica no acumulable
 * c, e, d, f, g</t>
  </si>
  <si>
    <t>A.01.01.02.04.04-E</t>
  </si>
  <si>
    <t>Generar y validar tecnología en frutales</t>
  </si>
  <si>
    <t>R.01.01.02.06.00-E</t>
  </si>
  <si>
    <t>Reactivación de la actividad pecuaria</t>
  </si>
  <si>
    <t>A.01.01.02.06.02-E</t>
  </si>
  <si>
    <t>Generar y validar tecnologías y genéticas pecuarias</t>
  </si>
  <si>
    <t>Domingo Palacios-Programa Producción Animal</t>
  </si>
  <si>
    <t>Ganaderos y apicultores asistidos técnicamente</t>
  </si>
  <si>
    <t>Nacional</t>
  </si>
  <si>
    <t>La meta total incluye productores ganaderos y apicultores
Meta física no acumulable</t>
  </si>
  <si>
    <t>L.01.03.01</t>
  </si>
  <si>
    <t>R.01.03.01.01.00-E</t>
  </si>
  <si>
    <t>Autoabastecimiento de alimentos</t>
  </si>
  <si>
    <t>A.01.03.01.01.01-E</t>
  </si>
  <si>
    <t>Transferir tecnología en la producción de alimentos</t>
  </si>
  <si>
    <t>Productores rurales en técnicas y prácticas agropecuarias, capacitados</t>
  </si>
  <si>
    <t xml:space="preserve">Informe y 
Registro de productores capacitados </t>
  </si>
  <si>
    <t>Programa de agricultura urbana ejecutado</t>
  </si>
  <si>
    <t>Informe trimestral</t>
  </si>
  <si>
    <t>L.01.03.02</t>
  </si>
  <si>
    <t>R.01.03.02.01</t>
  </si>
  <si>
    <t>Ampliaciòn de la cobertura y calidad de los servicios de extensiòn e investigaciòn</t>
  </si>
  <si>
    <t>R.01.03.02.01.01</t>
  </si>
  <si>
    <t>Aperturar nuevas agencias</t>
  </si>
  <si>
    <t>Agencia</t>
  </si>
  <si>
    <t>Agencia de extensiòn aperturada</t>
  </si>
  <si>
    <t>M/ Metapàn, D/Santa Ana y M/ Quezaltepeque, D/ La Libertad</t>
  </si>
  <si>
    <t>L.01.03.05</t>
  </si>
  <si>
    <t>R.01.03.05.01-E</t>
  </si>
  <si>
    <t>Ampliación de la agricultura bajo riego</t>
  </si>
  <si>
    <t>A.01.03.05.01.01-E</t>
  </si>
  <si>
    <t>Transferir tecnología en agricultura bajo riego</t>
  </si>
  <si>
    <t>Productores   asistidos técnicamente en agricultura bajo riego</t>
  </si>
  <si>
    <t>Meta mensual no acumulable 
* b, d, e, f</t>
  </si>
  <si>
    <t>L.01.05.04</t>
  </si>
  <si>
    <t>R.01.05.04.02.00-E</t>
  </si>
  <si>
    <t>Dinamización del sector agroproductivo en el territorio del Trifinio</t>
  </si>
  <si>
    <t>A.01.05.04.02.01-E</t>
  </si>
  <si>
    <t>Usar y conservar recursos genéticos</t>
  </si>
  <si>
    <t>Accesión</t>
  </si>
  <si>
    <t>Bancos de germoplasma y colecciones vivas de especies frutícolas fortalecidas</t>
  </si>
  <si>
    <t>Aura Jazmín de Borja-Unidad Banco Germoplasma</t>
  </si>
  <si>
    <t>Esta actividad a nivel operativo incluye accesiones y colecciones variadas, a nivel institucional y para diferentes usos y destinos geogràficos</t>
  </si>
  <si>
    <t>E.05.</t>
  </si>
  <si>
    <t>R.05.03.01.01-E</t>
  </si>
  <si>
    <t>Mayor participación de la mujer en actividades productivas</t>
  </si>
  <si>
    <t>A.05.03.01.01.02-E</t>
  </si>
  <si>
    <t>Atención técnica agropecuaria a mujeres beneficiarias del programa Ciudad Mujer</t>
  </si>
  <si>
    <t>Mujeres capacitadas en tècnicas y pràcticas agropecuarias</t>
  </si>
  <si>
    <t>San Miguel, Usulután, San Martín y Santa Ana</t>
  </si>
  <si>
    <t>* c
La meta está referida únicamente a las 4 Sedes de Ciudad Mujer</t>
  </si>
  <si>
    <t>L.05.03.02</t>
  </si>
  <si>
    <t>R.05.03.02.01-E</t>
  </si>
  <si>
    <t>Disminución del trabajo infantil agropecuario</t>
  </si>
  <si>
    <t>A.05.03.02.01.01-E</t>
  </si>
  <si>
    <t>Mejorar el conocimiento de los productores sobre la reducción del trabajo infantil</t>
  </si>
  <si>
    <t>Productores capacitados en tècnicas y pràcticas agropecuarias</t>
  </si>
  <si>
    <t>* j</t>
  </si>
  <si>
    <t>L.05.03.08</t>
  </si>
  <si>
    <t>R.05.03.08.01-E</t>
  </si>
  <si>
    <t>Disponibilidad y acceso a materiales genéticos originarios (nativos)</t>
  </si>
  <si>
    <t>A.05.03.08.01.01-E</t>
  </si>
  <si>
    <t>Implementar colecciones de germoplasma nativo</t>
  </si>
  <si>
    <t>Colección</t>
  </si>
  <si>
    <t>Bancos de germoplasma y colecciones vivas de especies frutícolas fortalecidas.</t>
  </si>
  <si>
    <t>Aura Jazmín de Borja-Banco de germoplasma</t>
  </si>
  <si>
    <t>* b,d, k</t>
  </si>
  <si>
    <t>E.07.</t>
  </si>
  <si>
    <t>R.07.04.06.01-E</t>
  </si>
  <si>
    <t>Sistemas productivos agroecológicos mejorados</t>
  </si>
  <si>
    <t>A.07.04.06.01.04-E</t>
  </si>
  <si>
    <t>Generar y transferir tecnología en manejo de agricultura agroecológica</t>
  </si>
  <si>
    <t>Porcentaje de avance</t>
  </si>
  <si>
    <t>Proyecto de fortalecimiento de la agricultura familiar aplicando tecnología sostenible ante el cambio climático ejecutado</t>
  </si>
  <si>
    <t>Nacional (33 municipios, 5 departamentos)</t>
  </si>
  <si>
    <t>Eléazar Torres-Coordinador del Proyecto</t>
  </si>
  <si>
    <t>Coordinador del Proyecto del Componente 4
b, d. También aplica al EE-07:Sustentabilidad ambiental y resiliencia al cambio climático</t>
  </si>
  <si>
    <t>Proyecto de biofertilizantes en cultivos de maíz, frijol y café como alternativa agroecológica para una producción sostenible en El Salvador</t>
  </si>
  <si>
    <t>Nivel nacional (30 municipios, 10 departamentos</t>
  </si>
  <si>
    <t>Alfredo Alarcón- Coordinador del Proyecto</t>
  </si>
  <si>
    <t>Proyecto centro de propagaciòn de plantas sanas de frutas  y hortalizas tropicales en El Salvador</t>
  </si>
  <si>
    <t>Lesser Linares- coordinador del Proyecto</t>
  </si>
  <si>
    <t>Proyecto desarrollo tecnològico y fortalecimiento de la base productiva y agroindustrial para la cacaocultura con enfoque agroecològica en El Salvador</t>
  </si>
  <si>
    <t>Josè Marìa Garcìa- Coordinador del Proyecto</t>
  </si>
  <si>
    <t>L.12.08</t>
  </si>
  <si>
    <t>R.12.08.01.00-O</t>
  </si>
  <si>
    <t>Servicios de asesoría y apoyo administrativo-financiero institucional</t>
  </si>
  <si>
    <t>A.12.01.08.01.01-O</t>
  </si>
  <si>
    <t>Conducir el proceso de planificación Institucional.</t>
  </si>
  <si>
    <t>Documentos de Planificación  y seguimiento elaborados</t>
  </si>
  <si>
    <t>Informe y Plan</t>
  </si>
  <si>
    <t>Ciudad Arce, La Libertad</t>
  </si>
  <si>
    <t>Mario Alarcón Viscarra-División de Planificación</t>
  </si>
  <si>
    <t>A.12.01.08.01.02-O</t>
  </si>
  <si>
    <t>Informar periódicamente a la Junta Directiva del avance de la gestión institucional</t>
  </si>
  <si>
    <t>Junta Directiva  sobre gestion institucional, informada</t>
  </si>
  <si>
    <t>Rafael Alemàn-Direccion Ejecutiva</t>
  </si>
  <si>
    <t>A.12.01.08.01.03-O</t>
  </si>
  <si>
    <t>Fortalecer la capacidad logística de la OIR y  del archivo Institucional</t>
  </si>
  <si>
    <t xml:space="preserve">Informe               </t>
  </si>
  <si>
    <t>Capacidad logística de la OIR y  del archivo Institucional, fortalecida</t>
  </si>
  <si>
    <t>Silvia Margoth Mejía-OIR</t>
  </si>
  <si>
    <t>A.12.01.08.01.04-O</t>
  </si>
  <si>
    <t>Apoyar los procesos de investigación y transferencia de tecnología mediante un proceso oportuno de comunicación.</t>
  </si>
  <si>
    <t>Documentos de comunicación, producidos</t>
  </si>
  <si>
    <t>Karen Arèvalo-División de Comunicaciones</t>
  </si>
  <si>
    <t>A.12.01.08.01.05-O</t>
  </si>
  <si>
    <t>Asesorar legalmente las diferentes unidades para el cumplimiento de las leyes y reglamentos.</t>
  </si>
  <si>
    <t>Documentos jurídicos elaborados</t>
  </si>
  <si>
    <t>Balbino Figueroa-Unidad de Asesoria Jurídica</t>
  </si>
  <si>
    <t>A.12.01.08.01.06-O</t>
  </si>
  <si>
    <t>Examinar la eficiencia, eficacia y economía de la administración de los recursos financieros y materiales de la institución.</t>
  </si>
  <si>
    <t>Informes de auditoria elaborados</t>
  </si>
  <si>
    <t xml:space="preserve">Francisco Quintanilla-Unidad de Auditoria Interna </t>
  </si>
  <si>
    <t>A.12.01.08.01.07-O</t>
  </si>
  <si>
    <t>Proveer los recursos y servicios a las diferentes unidades oportunamente y con calidad</t>
  </si>
  <si>
    <t>Documentos de bienes y servicios elaborados</t>
  </si>
  <si>
    <t>Milton Gonzàlez-Subgerencia Administrativa
(UACI)</t>
  </si>
  <si>
    <t>A.12.01.08.01.08-O</t>
  </si>
  <si>
    <t>Administrar eficientemente los recursos humanos de la Institución</t>
  </si>
  <si>
    <t>Informes de operaciones de control y estudio de personal realizados</t>
  </si>
  <si>
    <t>Vilma de Martínez-Subgerencia Administrativa
(Recursos Humanos)</t>
  </si>
  <si>
    <t>A.12.01.08.01.09-O</t>
  </si>
  <si>
    <t>Mantener en buenas condiciones los activos fijos y el equipo en apoyo a la investigación y extensión agropecuaria.</t>
  </si>
  <si>
    <t>Informes sobre el mantenimiento de la infraestructura física y equipo de la institución elaborados</t>
  </si>
  <si>
    <t>Edwin Morales-Subgerencia administrativa 
(Servicios Administrativos)</t>
  </si>
  <si>
    <t>A.12.01.08.01.10-O</t>
  </si>
  <si>
    <t>Administrar eficientemente el equipo e infraestructura tecnológica instalada para el servicio de las diferentes unidades y proporcionar el apoyo técnico necesario a cada una de ellas para que puedan realizar sus operaciones diarias.</t>
  </si>
  <si>
    <t>Informes de mantenimiento del equipo informático de la institución elaborados</t>
  </si>
  <si>
    <t>Ana Luisa Cordero-SubgenciaAdministrativa 
(Informática)</t>
  </si>
  <si>
    <t>A.12.01.08.01.11-O</t>
  </si>
  <si>
    <t>Realizar acciones de administración general y comercialización</t>
  </si>
  <si>
    <t>Informes de las acciones gerenciales y de comercialización elaborados</t>
  </si>
  <si>
    <t>Efraìn Fuentes-Gerencia Administrativa y Financiera</t>
  </si>
  <si>
    <t>A.12.01.08.01.12-O</t>
  </si>
  <si>
    <t>Formular y ejecutar el presupuesto asignado a la institución.</t>
  </si>
  <si>
    <t>Informes de la ejecución presupuestaria y presupuesto de  la institución elaborados.</t>
  </si>
  <si>
    <t xml:space="preserve">Arnoldo Erazo-Subgerencia Financiera </t>
  </si>
  <si>
    <t>A.12.01.08.01.13-O</t>
  </si>
  <si>
    <t>Elaborar documentos técnicos sobre oferta tecnológica</t>
  </si>
  <si>
    <t>Documentos técnicos elaborados</t>
  </si>
  <si>
    <t>Documentos fìsicos o digitales</t>
  </si>
  <si>
    <t>Mario Parada Jaco-Subgerencia Investigación</t>
  </si>
  <si>
    <t>A.12.01.08.01.14-O</t>
  </si>
  <si>
    <t>Implementar proyectos de investigación y validación en granos básicos, hortalizas y frutales.</t>
  </si>
  <si>
    <t>Protocolo</t>
  </si>
  <si>
    <t>Protocolos de investigación y validación implementados</t>
  </si>
  <si>
    <t>Informes y  Documentos fìsicos o digitales</t>
  </si>
  <si>
    <t>Lauro Alarcòn, Marcos Larìn, Josè Marìa Garcìa, Kris Duville y Faustino Portillo- Programas de granos bàsicos, Hortalizas, Frutales, Agroindustria y Recursos naturales; respectivamente</t>
  </si>
  <si>
    <t>1)La meta total Incluye otros Programas o Unidades responsables
2) Incluye 2 proyectos de investigaciòn en el tema de agroindustria realizados con el Parque Tecnològico en Agroindustria (PTA); a travès del Laboratorio de Alimentos</t>
  </si>
  <si>
    <t>A.12.01.08.01.15-O</t>
  </si>
  <si>
    <t>Validar con los productores la rentabilidad de la aplicación de tecnología en sus sectores para promover altos niveles de adopción.</t>
  </si>
  <si>
    <t>Estudio</t>
  </si>
  <si>
    <t>Estudio publicado</t>
  </si>
  <si>
    <t>Marcos Antonio Mejìa Mejìa-Unidad Socioeconomía</t>
  </si>
  <si>
    <t>A.12.01.08.01.16-O</t>
  </si>
  <si>
    <t>Realizar análisis de laboratorio para apoyar la investigación y responder a la demanda externa</t>
  </si>
  <si>
    <t>Análisis de laboratorio realizados</t>
  </si>
  <si>
    <t>Grecia de Chàvez, Reyna de Serrano, Sandra Najarro, Carlos Arèvalo y Patricia de Esquivel-Laboratorios de Quìmica, Parasitologìa, Suelos, Biotecologìa y Alimentos; respectivamente</t>
  </si>
  <si>
    <t>GRAN TOTAL: ACCIONES ESTRATÈGICAS Y RECURRENTES</t>
  </si>
  <si>
    <t>b. Aplica adicionalmente a Plan Nacional de Seguridad Alimentaria y Nutricional 2012-2016; principalmente el Eje Estratègico 1: Mejora de la disponibilidad de alimentos a travès del incremento de la producciòn con inocuidad de los alimentos bàsicos en la dieta de la poblaciòn salvadoreña</t>
  </si>
  <si>
    <t>c. Aplica adicionalmente a  Plan Nacional de Igualdad y Equidad  para las mujeres Salvadoreñas (PNIEMS); especialmente en el Àrea 1: Autonomìa econòmica.</t>
  </si>
  <si>
    <t>d. Aplica adicionalmente a Estrategia Ambiental de Adaptaciòn y Mitigaciòn del Sector Agropecuario, Forestal, Pesquero y Acuìcola ante el cambio climàtico; especialmente en el Eje Estratègico de: Innovaciòn y Transferencia Tecnològica.</t>
  </si>
  <si>
    <t>e. Aplica adicionalmente a Plan Agro 2003-2015</t>
  </si>
  <si>
    <t>f.  Aplica adicionalmente a la Polìtica Agrìcola Centro Americana (PACA)</t>
  </si>
  <si>
    <t>g. Aplica adicionalmente a la Estrategia Centroamericana de Desarrollo Rural Territorial, 2010-2013 (ECADERT)</t>
  </si>
  <si>
    <t>h. Aplica adicionalmente a la Estrategia Regional Agroambiental y de Salud, 2009-2024 (ERAS)</t>
  </si>
  <si>
    <t>i. Aplica adicionalmente a Programa de desarrollo de la zona de El Mozote y lugares aledaños; principalmentelos Componentes de: 1) Seguridad Alimentaria y 2) Desarrollo de Encadenamientos Productivos.</t>
  </si>
  <si>
    <t>j. Aplica a Programa de errdicaciòn del trabajo infantil</t>
  </si>
  <si>
    <t>k. Aplica a Polìtica de atenciòn a pueblos indìgenas</t>
  </si>
  <si>
    <t>Observaciones adicionales</t>
  </si>
  <si>
    <t>1.a La programaciòn de metas de cafè estàn disponibles; pero no se incluyen por estar pendiente de oficializarse el monto total y fuente de financiamiento. Se agregaràn posteriormente.</t>
  </si>
  <si>
    <t>1.b La meta de la actividad A.01.03.01.01.01 se mantiene; ya que se ha hecho en base al recurso tècnico actual. En caso de haber incremento de personal, se modificarà la meta  en la respectiva Reprogramaciòn del POA 2016.</t>
  </si>
  <si>
    <t>1.c La meta de "Transferir tecnologìa en la producciòn de alimentos" incluye agricultura urbana y periurbana; pero para efectos de visibilizar el tema de "Agricultura urbana", se ha agregado un indicador dentro de la misma Acciòn Estratègica.</t>
  </si>
  <si>
    <t>2b) La meta del tema de Parque Tecnològico en Agroindustria (PTA) se incluye en la meta de la Acciòn Recurrente 12.01.08.01.14-O</t>
  </si>
  <si>
    <t>Dirección / Oficina: Dirección General de Desarrollo Rural</t>
  </si>
  <si>
    <t>(9) Peso ponderado acción</t>
  </si>
  <si>
    <t>(1) Distribución de Metas</t>
  </si>
  <si>
    <t>Ppto. Ord.</t>
  </si>
  <si>
    <t>fisico</t>
  </si>
  <si>
    <t>E.1</t>
  </si>
  <si>
    <t>L.1.1.2</t>
  </si>
  <si>
    <t>Desarrollo/Fortalecimiento de Cadenas con alto valor agregado competitivas</t>
  </si>
  <si>
    <t>Desarrollar  encadenamientos empresariales a través del cofinanciamiento de iniciativas productivas agropecuarias</t>
  </si>
  <si>
    <t>Iniciativa</t>
  </si>
  <si>
    <t>Encadenamientos empresariales a través del cofinanciamiento de iniciativas productivas agropecuarias, desarrolladas</t>
  </si>
  <si>
    <t>Informes de Iniciativas productivas cofinanciadas</t>
  </si>
  <si>
    <t>A nivel Nacional</t>
  </si>
  <si>
    <t>Prodemor Central Ampliación y Amanecer Rural</t>
  </si>
  <si>
    <t/>
  </si>
  <si>
    <t>A.01.01.02.13.02-E</t>
  </si>
  <si>
    <t>Provisionar  servicios de asistencia técnica especializada para la implementación de proyectos productivos</t>
  </si>
  <si>
    <t>Organización</t>
  </si>
  <si>
    <t>Organizaciones con Servicios de asistencia técnica especializada para la implementación de proyectos productivos, provisionados</t>
  </si>
  <si>
    <t>Informe de servicios a organizaciones suministrados</t>
  </si>
  <si>
    <t>R.01.01.03.03.00-E</t>
  </si>
  <si>
    <t>Organizaciones de productores vinculadas al mercado formal</t>
  </si>
  <si>
    <t>A.01.01.03.03.01-E</t>
  </si>
  <si>
    <t>Facilitar la participación de las organizaciones en eventos de comercialización a nivel local</t>
  </si>
  <si>
    <t>Organizaciones en eventos de comercialización a nivel local, participando</t>
  </si>
  <si>
    <t>Listado  de organizaciones participando en eventos de comercialización</t>
  </si>
  <si>
    <t>En coordinación y bajo la normativa de la DGEA</t>
  </si>
  <si>
    <t>A.01.01.03.03.02-E</t>
  </si>
  <si>
    <t>Brindar asistencia técnica especializada en temas de vinculación a mercados</t>
  </si>
  <si>
    <t>Asistencia técnica especializada a organizaciones en temas de vinculación a mercados, brindada</t>
  </si>
  <si>
    <t>Listado de organizaciones asistidas en temas de mercado</t>
  </si>
  <si>
    <t>L.01.01.07</t>
  </si>
  <si>
    <t>R.01.01.07.01.00-E</t>
  </si>
  <si>
    <t>Organizaciones del sector cooperativo capacitadas y con visión empresarial</t>
  </si>
  <si>
    <t>A.01.01.07.01.01-E</t>
  </si>
  <si>
    <t>Capacitar a productores y productoras de las organizaciones usuarias, en materia de gestión empresarial y comercialización</t>
  </si>
  <si>
    <t>Productores y productoras de las organizaciones usuarias, en materia de gestión empresarial y comercialización, capacitados</t>
  </si>
  <si>
    <t>Informe de organizaciones capacitados en materia de gestión empresarial y comercialización</t>
  </si>
  <si>
    <t>A.01.01.07.01.02-E</t>
  </si>
  <si>
    <t>Dotar de información de mercado a las organizaciones usuarias</t>
  </si>
  <si>
    <t>Información de mercado a las organizaciones usuarias, dotados</t>
  </si>
  <si>
    <t>Lista de Organizaciones informadas en el área de mercado.</t>
  </si>
  <si>
    <t>L.01.02.05</t>
  </si>
  <si>
    <t>R.01.02.05.01.00-E</t>
  </si>
  <si>
    <t>Fomento de encadenamientos empresariales con las organizaciones</t>
  </si>
  <si>
    <t>A.01.02.05.01.01-E</t>
  </si>
  <si>
    <t>Fortalecer Centros de Acopio para la transformación e incorporación de valor en la cadena hortofrutícola</t>
  </si>
  <si>
    <t>Centro</t>
  </si>
  <si>
    <t>Centros de Acopio para la transformación e incorporación de valor en la cadena hortofrutícola, fortalecidos</t>
  </si>
  <si>
    <t xml:space="preserve">Listado de integrantes </t>
  </si>
  <si>
    <t>En coordinación y bajo la normativa de la CENTA</t>
  </si>
  <si>
    <t>A.01.02.05.01.02-E</t>
  </si>
  <si>
    <t>Facilitar la participación de las organizaciones en eventos de comercialización a nivel nacional e internacional</t>
  </si>
  <si>
    <t>Participación de las organizaciones en eventos de comercialización a nivel nacional e internacional, facilitada</t>
  </si>
  <si>
    <t>Listado de Participantes</t>
  </si>
  <si>
    <t>L.01.02.08</t>
  </si>
  <si>
    <t>R.01.02.08.01.00-E</t>
  </si>
  <si>
    <t>Diversificación e innovación de las actividades artesanales</t>
  </si>
  <si>
    <t>A.01.02.08.01.01-E</t>
  </si>
  <si>
    <t>Elaboración e implementación de planes de negocio de la cadena de artesanías</t>
  </si>
  <si>
    <t>Planes de negocio de la cadena de artesanías, elaborados e implementados.</t>
  </si>
  <si>
    <t>Planes de Negocios Elaborados</t>
  </si>
  <si>
    <t>A.01.02.08.01.02-E</t>
  </si>
  <si>
    <t>Facilitar la participación de las organizaciones en eventos de comercialización de la cadena de artesanías</t>
  </si>
  <si>
    <t>Artesanos  de las organizaciones en eventos de comercialización de la cadena de artesanías, participando</t>
  </si>
  <si>
    <t>Listado de artesanos participando en eventos de comercialización</t>
  </si>
  <si>
    <t>En coordinación bajo la normativa de la DGEA</t>
  </si>
  <si>
    <t>A.01.02.08.01.03-E</t>
  </si>
  <si>
    <t>Capacitar a productores y productoras en materia de gestión empresarial, innovación, comercialización e información de la cadena de artesanías</t>
  </si>
  <si>
    <t>Productores y productoras en materia de gestión empresarial, innovación, comercialización e información de la cadena de artesanías, capacitados</t>
  </si>
  <si>
    <t>R.01.03.01.04.00-E</t>
  </si>
  <si>
    <t>Aumento en la disponibilidad de alimentos y mejoras en la economía familiar</t>
  </si>
  <si>
    <t>A.01.03.01.04.01-E</t>
  </si>
  <si>
    <t>Asistir a productores y productoras a través de Escuelas de Campo para diversificación de la producción</t>
  </si>
  <si>
    <t>Productores y productoras a través de Escuelas de Campo para diversificación de la producción, asistidos</t>
  </si>
  <si>
    <t>Listado de productores de las ECA´s asistidos</t>
  </si>
  <si>
    <t>Chalatenango, La Libertad, La Paz, San Vicente, Cabañas y Cuscatlán</t>
  </si>
  <si>
    <t>Prodemor Central Ampliación</t>
  </si>
  <si>
    <t>En coordinación y bajo la normativa del CENTA</t>
  </si>
  <si>
    <t>En coordinación bajo la normativa de la CENTA</t>
  </si>
  <si>
    <t>R.01.03.02.03.00-E</t>
  </si>
  <si>
    <t>Adopción de sistemas de producción innovadores</t>
  </si>
  <si>
    <t>A.01.03.02.03.01-E</t>
  </si>
  <si>
    <t>Establecer Centros de Desarrollo Productivo para la transferencia de tecnología</t>
  </si>
  <si>
    <t>Centros de Desarrollo Productivo para la transferencia de tecnología, establecidos</t>
  </si>
  <si>
    <t xml:space="preserve">Informe de  CDP´s establecidos </t>
  </si>
  <si>
    <t>A.01.03.02.03.02-E</t>
  </si>
  <si>
    <t>Dotar a productores y productoras con insumos (incentivos) para la adopcion de la transferencia de tecnología</t>
  </si>
  <si>
    <t>Productores y productoras con insumos (incentivos) para la transferencia de tecnología, dotados</t>
  </si>
  <si>
    <t>Informes de beneficiarios de los insumos entregados</t>
  </si>
  <si>
    <t>A.01.03.02.03.03-E</t>
  </si>
  <si>
    <t>Asesorar a productores y productoras en agricultura protegida</t>
  </si>
  <si>
    <t>Productores y productoras en agricultura protegida, asesorados</t>
  </si>
  <si>
    <t>Listado de productores en agricultura protegida asistidos</t>
  </si>
  <si>
    <t>L.01.03.03</t>
  </si>
  <si>
    <t>R.01.03.03.01.00-E</t>
  </si>
  <si>
    <t>Mayor acceso a recursos crediticios en el sector rural, especialmente jóvenes y mujeres</t>
  </si>
  <si>
    <t>A.01.03.03.01.01-E</t>
  </si>
  <si>
    <t>Asistir y capacitar a productores para el acceso a financiamiento</t>
  </si>
  <si>
    <t>Productores para  el acceso a financiamiento, asistidos y capacitados</t>
  </si>
  <si>
    <t>informe de asistencia técnica y capacitación a productores en temas financieros</t>
  </si>
  <si>
    <t>A.01.03.03.01.02-E</t>
  </si>
  <si>
    <t>Fomentar los mecanismos financieros de promoción del ahorro y crédito</t>
  </si>
  <si>
    <t>Grupos de ahorro, formados</t>
  </si>
  <si>
    <t>Informe de formación</t>
  </si>
  <si>
    <t>Amanecer Rural</t>
  </si>
  <si>
    <t>A.01.03.03.01.03-E</t>
  </si>
  <si>
    <t>Desarrollar  mecanismos de acceso a fondos de inversión para iniciativas en grupos de jóvenes no formales</t>
  </si>
  <si>
    <t>Iniciativas de fondos de inversión para grupos organizados de hecho conformados por jóvenes, otorgados</t>
  </si>
  <si>
    <t>Informe de iniciativas de fondos otorgadas a jóvenes</t>
  </si>
  <si>
    <t>A.01.03.03.01.04-E</t>
  </si>
  <si>
    <t>Fomentar el  acceso al crédito rural en el sistema financiero formal y su vinculación a la banca</t>
  </si>
  <si>
    <t>Número  de personas con crédito rural y otros servicios del sistema financiero formal, vinculadas</t>
  </si>
  <si>
    <t>Informe de personas vinculadas al Sistema Financiero formal</t>
  </si>
  <si>
    <t>R.01.03.04.03.00-E</t>
  </si>
  <si>
    <t>Mejorar la rentabilidad y disponibilidad de alimentos, para consumo humano y comercialización</t>
  </si>
  <si>
    <t>A.01.03.04.03.01-E</t>
  </si>
  <si>
    <t>Capacitar e implementar Buenas Prácticas Agrícolas (BPA) y de Manufactura (BPM) en explotaciones agropecuarias</t>
  </si>
  <si>
    <t>Productores de explotaciones agropecuarias  en BPA y BPM , capacitados e implementando</t>
  </si>
  <si>
    <t>Informe de productores capacitados e implementando BPM y BPA</t>
  </si>
  <si>
    <t>En coordinación y bajo la normativa de la DGSV Y DGG</t>
  </si>
  <si>
    <t>R.01.03.05.05.00-E</t>
  </si>
  <si>
    <t>Aumento en el volúmen  y disponibilidad de productos agropecuarios</t>
  </si>
  <si>
    <t>A.01.03.05.05.01-E</t>
  </si>
  <si>
    <t>Implementar  reservorios para riego</t>
  </si>
  <si>
    <t>Reservorio</t>
  </si>
  <si>
    <t>Reservorios para riego, establecidos</t>
  </si>
  <si>
    <t>Informe del establecimiento reservorios</t>
  </si>
  <si>
    <t>En coordinación y bajo la normativa de la DGFCR</t>
  </si>
  <si>
    <t>A.01.03.05.05.02-E</t>
  </si>
  <si>
    <t>Establecer sistemas de microriego para el cultivo de hortalizas, frutales y otros</t>
  </si>
  <si>
    <t>Sistemas de microriego para el cultivo de hortalizas, frutales y otros, establecidos</t>
  </si>
  <si>
    <t>Informe de la entrega de  los sistemas de microriego operando</t>
  </si>
  <si>
    <t>L.01.03.06</t>
  </si>
  <si>
    <t>R.01.03.06.03.00-E</t>
  </si>
  <si>
    <t>Aplicación de sistemas de producción innovadores para el mejoramiento de suelos y producción</t>
  </si>
  <si>
    <t>A.01.03.06.03.01-E</t>
  </si>
  <si>
    <t>Capacitar a familias  en la implementación de buenas prácticas y obras de conservación de suelos</t>
  </si>
  <si>
    <t>Familias en la implementación de buenas prácticas y obras de conservación de suelos, capacitadas</t>
  </si>
  <si>
    <t>Informes de capacitación a productores en buenas prácticas y obras de conservación de suelos</t>
  </si>
  <si>
    <t>L.01.03.07</t>
  </si>
  <si>
    <t>R.01.03.07.01.00-E</t>
  </si>
  <si>
    <t>Mejorar la disponibilidad de granos básicos, para la comercialización</t>
  </si>
  <si>
    <t>A.01.03.07.01.01-E</t>
  </si>
  <si>
    <t>Ampliar la infraestructura de almacenamiento para el acopio de granos básicos</t>
  </si>
  <si>
    <t>Infraestructura</t>
  </si>
  <si>
    <t>Infraestructura de almacenamiento para el acopio de granos básicos, ampliada</t>
  </si>
  <si>
    <t>Informe de Ampliación de infraestructura</t>
  </si>
  <si>
    <t>L.01.03.08</t>
  </si>
  <si>
    <t>R.01.03.08.01.00-E</t>
  </si>
  <si>
    <t>Incremento del número de asociaciones cooperativas</t>
  </si>
  <si>
    <t>A.01.03.08.01.01-E</t>
  </si>
  <si>
    <t>Promover la legalización en grupos de interés y organizaciones</t>
  </si>
  <si>
    <t>Grupo</t>
  </si>
  <si>
    <t>Grupos de interés y organizaciones, legalizadas</t>
  </si>
  <si>
    <t>Informe de Grupos legalizados</t>
  </si>
  <si>
    <t>L.01.05.01</t>
  </si>
  <si>
    <t>R.01.05.01.03.00-E</t>
  </si>
  <si>
    <t>Aumento en la disponibilidad de recursos para el cofinanciamiento de iniciativas productivas sustentables</t>
  </si>
  <si>
    <t>A.01.05.01.03.01-E</t>
  </si>
  <si>
    <t>Desarrollar proyectos pesqueros y acuícolas con enfoque de sustentabilidad</t>
  </si>
  <si>
    <t>Organizaciones con proyectos pesqueros y acuícolas con enfoque de sustentabilidad, desarrollados</t>
  </si>
  <si>
    <t>Informe de  proyectos pesqueros y acuícolas sustentables</t>
  </si>
  <si>
    <t>En coordinación y bajo la normativa de CENDEPESCA</t>
  </si>
  <si>
    <t>A.01.05.01.03.03-E</t>
  </si>
  <si>
    <t>Facilitar la participación de productores y productoras en eventos de comercialización de las cadenas productivas pesquera y acuícola</t>
  </si>
  <si>
    <t>Participación de productores y productoras en eventos de comercialización de las cadenas productivas pesquera y acuícola, participando</t>
  </si>
  <si>
    <t>A.01.05.01.03.04-E</t>
  </si>
  <si>
    <t>Capacitar a productores y productoras en materia de gestión empresarial, comercialización e información de las cadena productivas pesquera y acuícola</t>
  </si>
  <si>
    <t>Productores y productoras en materia de gestión empresarial, comercialización, de las cadenas productivas pesquera y acuícola, capacitados e informados</t>
  </si>
  <si>
    <t>Informe de productores capacitados e informados en las cadenas de pesca y acuicultura</t>
  </si>
  <si>
    <t>L.01.05.03</t>
  </si>
  <si>
    <t>R.01.05.03.02.00-E</t>
  </si>
  <si>
    <t>Aumento de la disponibilidad de recursos y servicios para el financiamiento e implementación de iniciativas productivas y sociales</t>
  </si>
  <si>
    <t>A.01.05.03.02.01-E</t>
  </si>
  <si>
    <t>Desarrollar  proyectos productivos con enfoque territorial rural y de sustentabilidad, implementados en el Golfo de Fonseca</t>
  </si>
  <si>
    <t>Organización  con proyecto productivo con enfoque territorial rural y de sustentabilidad implementados en el Golfo de Fonseca, ejecutado</t>
  </si>
  <si>
    <t>Informe de proyecto productivo con enfoque territorial rural y sustentable</t>
  </si>
  <si>
    <t>En la Zona del Golfo de Fonseca</t>
  </si>
  <si>
    <t>R.01.05.04.01.00-E</t>
  </si>
  <si>
    <t>A.01.05.04.01.01-E</t>
  </si>
  <si>
    <t>Desarrollar  proyectos productivos con enfoque territorial rural y de sustentabilidad, implementados en la zona del Trifinio y Cuenca del Río Lempa</t>
  </si>
  <si>
    <t>Proyectos productivos con enfoque territorial rural y de sustentabilidad, implementados en la zona del Trifinio y Cuenca del Río Lempa, ejecutados</t>
  </si>
  <si>
    <t>Santa Ana, Chalatenango, La Libertad, La Paz, San Vicente, Cabañas, Cuscatlán y Municipios del Trifinio.</t>
  </si>
  <si>
    <t>L.01.10.06</t>
  </si>
  <si>
    <t>R.01.10.06.01.00-E</t>
  </si>
  <si>
    <t>Aumento de la disponibilidad de recursos y servicios para el financiamiento e implementación de iniciativas productivas y de servicios</t>
  </si>
  <si>
    <t>A.01.10.06.01.01-E</t>
  </si>
  <si>
    <t>Elaborar e implementar planes de negocio de turismo rural</t>
  </si>
  <si>
    <t>Organizaciones con planes de negocio de turismo rural, elaborados e implementados</t>
  </si>
  <si>
    <t>Informe de implementación del plan de negocios de Turismo Rural</t>
  </si>
  <si>
    <t>A.01.10.06.01.02-E</t>
  </si>
  <si>
    <t>Facilitar la participación de productores y productoras en eventos de comercialización de turismo rural</t>
  </si>
  <si>
    <t>Productores y productoras en eventos de comercialización de turismo rural, participando</t>
  </si>
  <si>
    <t>informe de participación de productores en eventos de comercialización de Turismo Rural</t>
  </si>
  <si>
    <t>A.01.10.06.01.03-E</t>
  </si>
  <si>
    <t>Capacitar a productores y productoras en materia de gestión empresarial, comercialización e información de turismo rural</t>
  </si>
  <si>
    <t>Productores y productoras en materia de gestión empresarial y comercialización de turismo rural, capacitados e informados</t>
  </si>
  <si>
    <t xml:space="preserve">Informe de productores capacitados e informados del turismo rural en gestión empresarial y comercial </t>
  </si>
  <si>
    <t>R.05.03.01.03.00-E</t>
  </si>
  <si>
    <t>Estructuras municipales territoriales fortalecidas en su capacidad de gestión</t>
  </si>
  <si>
    <t>A.05.03.01.03.01-E</t>
  </si>
  <si>
    <t>Fortalecer  la gestión municipal territorial, en las áreas de juventud, género y planificación  con enfoque de cadenas de valor</t>
  </si>
  <si>
    <t>Planes de gestión municipal territorial, en las áreas de juventud, género y planificación con enfoque de cadenas de valor, elaborados</t>
  </si>
  <si>
    <t>Planes de gestión municipal territorial</t>
  </si>
  <si>
    <t>A.05.03.01.03.02-E</t>
  </si>
  <si>
    <t>Implementar acciones de formación sobre erradicación del trabajo infantil, género, juventud y liderazgo</t>
  </si>
  <si>
    <t>Acciones de formación sobre erradicación del trabajo infantil, género, juventud y liderazgo, implementadas</t>
  </si>
  <si>
    <t>Informe de participantes en acciones de erradicación del trabajo infantil, género, juventud y/o liderazgo</t>
  </si>
  <si>
    <t>Eventos de sensibilización en erradicación del  trabajo infantil, desarrollados</t>
  </si>
  <si>
    <t>Informe de eventos de sensibilización en erradicación de trabajo infantil</t>
  </si>
  <si>
    <t>R.05.03.02.04.00-E</t>
  </si>
  <si>
    <t>Plan de Desarrollo Integral para la Juventud Rural de El Salvador, implementado</t>
  </si>
  <si>
    <t>A.05.03.02.04.01-E</t>
  </si>
  <si>
    <t>Fortalecer las redes de jóvenes territoriales</t>
  </si>
  <si>
    <t>Planes de Redes de jóvenes territoriales fortalecidos a través de eventos y convenios, elaborados</t>
  </si>
  <si>
    <t>Planes de Redes de jóvenes</t>
  </si>
  <si>
    <t>Meta no acumulativa</t>
  </si>
  <si>
    <t>A.05.03.02.04.02-E</t>
  </si>
  <si>
    <t>Implementar  programa de becas para la formación técnica y vocacional</t>
  </si>
  <si>
    <t>Beca</t>
  </si>
  <si>
    <t>Programa de becas para la formación técnica y vocacional, implementado</t>
  </si>
  <si>
    <t>Informe del Programa de becas</t>
  </si>
  <si>
    <t>E.06</t>
  </si>
  <si>
    <t>L.06.02.01</t>
  </si>
  <si>
    <t>R.06.02.01.01.00-E</t>
  </si>
  <si>
    <t>Servicios Básicos en los hogares rurales mejorados</t>
  </si>
  <si>
    <t>A.06.02.01.01.01-E</t>
  </si>
  <si>
    <t>Construir obras de infraestructura  básica en hogares rurales</t>
  </si>
  <si>
    <t>Obra</t>
  </si>
  <si>
    <t>Obras de infraestructura básica en hogares rurales, construidas</t>
  </si>
  <si>
    <t>informe de entrega de infraestructura en hogares rurales</t>
  </si>
  <si>
    <t>L.07.02.01</t>
  </si>
  <si>
    <t>R.07.02.01.01.00-E</t>
  </si>
  <si>
    <t>Aumento de la disponibilidad de agua para actividades domésticas y productivas en zonas rurales, por medio de estructuras de captación</t>
  </si>
  <si>
    <t>A.07.02.01.01.01-E</t>
  </si>
  <si>
    <t>Dotar a familias de equipo para la elaboración de infraestructura social para el almacenamiento de agua para usos múltiples</t>
  </si>
  <si>
    <t>Equipos y materiales para construcción de Infraestructura para  el almacenamiento de agua para usos múltiples, entregados</t>
  </si>
  <si>
    <t xml:space="preserve">Informe de entrega de equipos y materiales de construcción de infraestructura para almacenamiento de agua </t>
  </si>
  <si>
    <t>R.07.04.06.06.00-E</t>
  </si>
  <si>
    <t>Aumento de la disponibilidad de recursos y servicios para el financiamiento e implementación de iniciativas de servicios eco sistémicos</t>
  </si>
  <si>
    <t>A.07.04.06.06.01-E</t>
  </si>
  <si>
    <t>Implementar proyectos de compensación por servicios eco-sistémicos</t>
  </si>
  <si>
    <t>Proyectos de compensación por servicios eco-sistémicos, implementados</t>
  </si>
  <si>
    <t>Informe de ejecución de proyectos de compensación por servicios eco-sistémicos</t>
  </si>
  <si>
    <t>L.07.05.02</t>
  </si>
  <si>
    <t>R.07.05.02.01.00-E</t>
  </si>
  <si>
    <t>Sensibilización de actores locales para la conservación de ecosistemas, a través de la implementación de Campañas de Educación Ambiental</t>
  </si>
  <si>
    <t>A.07.05.02.01.01-E</t>
  </si>
  <si>
    <t>Implementar  Campaña de Educación Ambiental en escuelas del sector rural</t>
  </si>
  <si>
    <t>Escuela</t>
  </si>
  <si>
    <t>Escuelas del Sector Rural con Campaña de Educación Ambiental, implementada</t>
  </si>
  <si>
    <t>Informe de implementación de campaña de educación ambiental</t>
  </si>
  <si>
    <t>L.07.05.03</t>
  </si>
  <si>
    <t>R.07.05.03.02.00-E</t>
  </si>
  <si>
    <t>Aumento de la disponibilidad de recursos y servicios para el financiamiento e implementación de iniciativas de agricultura sustentable</t>
  </si>
  <si>
    <t>A.07.05.03.02.01-E</t>
  </si>
  <si>
    <t>Invertir en infraestructura ambiental para la aplicación de buenas prácticas agrícolas</t>
  </si>
  <si>
    <t>Obras de infraestructura ambiental para la aplicación de buenas prácticas agrícolas, financiadas</t>
  </si>
  <si>
    <t>Informe para el financiamiento de infraestructura para la aplicación de buenas prácticas agrícolas</t>
  </si>
  <si>
    <t>E.12.</t>
  </si>
  <si>
    <t>L.12.06</t>
  </si>
  <si>
    <t>R.12.06.04.00-O</t>
  </si>
  <si>
    <t xml:space="preserve">Coordinación en la implementación y seguimiento de los proyectos </t>
  </si>
  <si>
    <t>A.12.06.04.01-O</t>
  </si>
  <si>
    <t>Coordinar la implementación y seguimiento de los proyectos para el  Desarrollo Rural</t>
  </si>
  <si>
    <t>Informes de coordinación y seguimiento a los proyectos para el Desarrollo Rural, elaborados</t>
  </si>
  <si>
    <t>Informes de  coordinación y/o seguimiento a  Proyectos para el desarrollo rural</t>
  </si>
  <si>
    <t>Prodemor Central Ampliación , Amanecer Rural y Dirección</t>
  </si>
  <si>
    <t xml:space="preserve"> , </t>
  </si>
  <si>
    <t>Área Ministerial: DEPENDENCIA CENTRALIZADA</t>
  </si>
  <si>
    <t>Dirección / Oficina: DIRECCION GENERAL DE ECONOMIA AGROPECUARIA</t>
  </si>
  <si>
    <t>Periodo de Ejecución: AÑO FISCAL 2016</t>
  </si>
  <si>
    <t>R.01.01.02.14.00-E</t>
  </si>
  <si>
    <t>Generación de información estadística de apoyo para la toma de decisiones</t>
  </si>
  <si>
    <t>A.01.01.02.14.01-E</t>
  </si>
  <si>
    <t xml:space="preserve">Ejecutar encuestas anuales para la Generación de Información Estadística del Sector Agropecuario </t>
  </si>
  <si>
    <t>Encuestas de Produccion divulgadas</t>
  </si>
  <si>
    <t>Registro DGEA</t>
  </si>
  <si>
    <t>NACIONAL</t>
  </si>
  <si>
    <t>ING. FRANCISCO ARMANDO MARQUEZ PARADA</t>
  </si>
  <si>
    <t>Levantamiento, operativo de campo, analísis e informes estadísticos:        
1) Precios en finca y monitoreo de cultivos.                 
2) Expectativas de siembra.
3) Encuestas eventuales.
4) Costos de Producción.      
 5) ENAPM 2015.</t>
  </si>
  <si>
    <t>Anuario Estadístico divulgado.</t>
  </si>
  <si>
    <t>Costos de Produccion y Anuario de Estadísticas Agropecuarias divulgados.</t>
  </si>
  <si>
    <t>Mapa</t>
  </si>
  <si>
    <t>Mapas tematicos elaborados.</t>
  </si>
  <si>
    <t>Actualización, procesamiento y generación de segmentos cartograficos en apoyo a la metodología para las encuestas, brindando los mapas correspondientes.</t>
  </si>
  <si>
    <t>Encuestas de Precios divulgada</t>
  </si>
  <si>
    <t>Elaborar a partir de los informes recabada  del periodo, el informe pertinente .</t>
  </si>
  <si>
    <t>Directorio</t>
  </si>
  <si>
    <t>Directorio de comercializadores a nivel mayorista de GB</t>
  </si>
  <si>
    <t>Elaborar el directorio de comercializadores de granos basicos a partir del mes de abril.</t>
  </si>
  <si>
    <t>Marco</t>
  </si>
  <si>
    <t>Marco multiple actualizado.</t>
  </si>
  <si>
    <t>Actualización del marco muestral múltiple por área geográfica y listado de productores.</t>
  </si>
  <si>
    <t>A.01.01.02.14.02-E</t>
  </si>
  <si>
    <t>Realizar análisis subsectoriales</t>
  </si>
  <si>
    <t xml:space="preserve">Documento </t>
  </si>
  <si>
    <t>Análisis subsectoriales, realizados</t>
  </si>
  <si>
    <t>Realizar análisis de los mercados agrícolas nacionales, para los GB  : Analisis del comportamiento del precio maíz y análisis del comportamiento de los precios del frijol.</t>
  </si>
  <si>
    <t>A.01.01.02.14.05-E</t>
  </si>
  <si>
    <t>Proporcionar Informes agroclimáticos en base al Sistema de Alerta Temprana</t>
  </si>
  <si>
    <t>Informes agroclimáticos divulgados</t>
  </si>
  <si>
    <t>Informes sobre el clima a partir del inicio de operaciones de las estaciones agroclimáticas.</t>
  </si>
  <si>
    <t>R.01.01.02.15.00-E</t>
  </si>
  <si>
    <t>Suministro de información especializada en temas de mercado</t>
  </si>
  <si>
    <t>A.01.01.02.15.01-E</t>
  </si>
  <si>
    <t>Elaborar  documento de información y tendencias de mercado</t>
  </si>
  <si>
    <t>Documento de información y tendencias de mercado elaborado</t>
  </si>
  <si>
    <t>KENY ESCAMILLA</t>
  </si>
  <si>
    <t>A.01.01.02.15.02-E</t>
  </si>
  <si>
    <t>Difundir el documento de información, tendencia de mercado e Inteligencia de mercados</t>
  </si>
  <si>
    <t xml:space="preserve">Documento difundido </t>
  </si>
  <si>
    <t>E0.1</t>
  </si>
  <si>
    <t>R.01.01.02.16.00-E</t>
  </si>
  <si>
    <t>Vinculación directa de productores al mercado formal</t>
  </si>
  <si>
    <t>A.01.01.02.16.01-E</t>
  </si>
  <si>
    <t>Realizar eventos de articulación a mercados (ferias, ruedas y otros)</t>
  </si>
  <si>
    <t>evento</t>
  </si>
  <si>
    <t>Eventos de vinculación a mercados, realizados</t>
  </si>
  <si>
    <t>Registro de ventas por cada evento</t>
  </si>
  <si>
    <t>A.01.01.02.16.02-E</t>
  </si>
  <si>
    <t>Asesorar a  productores y productoras de organizaciones y CAS para el seguimiento a convenios y contratos de comercialización con los mercados formales</t>
  </si>
  <si>
    <t>Asociacion</t>
  </si>
  <si>
    <t>Asociaciones de producters asesorados</t>
  </si>
  <si>
    <t>Informe de asesorías</t>
  </si>
  <si>
    <t>A.01.01.02.16.03-E</t>
  </si>
  <si>
    <t>Asesorar a  productores y productoras de organizaciones y CAS para su articulación a  mercados formales</t>
  </si>
  <si>
    <t>Productores y productoras asesorados.</t>
  </si>
  <si>
    <t>R.01.01.02.17.00-E</t>
  </si>
  <si>
    <t xml:space="preserve">Promoción de productos agropecuarios en el mercado </t>
  </si>
  <si>
    <t>A.01.01.02.17.01-E</t>
  </si>
  <si>
    <t>Crear una red de proveedores y compradores</t>
  </si>
  <si>
    <t>Red</t>
  </si>
  <si>
    <t>Red de proveedores y compradores, creada</t>
  </si>
  <si>
    <t>Estas actividades se realizan con fondos de Taiwan del Proyecto Mercadeo Agropecuario y fondos GOES.  Estas actividades se planificaran en reuniones de trabajo junto con la cooperacion de Taiwan para identificar y priorizar rubros a partir del mes de marzo, en el mes de Junio se podran especificar los estudios de mercado por rubros especificos.</t>
  </si>
  <si>
    <t>A.01.01.02.17.02-E</t>
  </si>
  <si>
    <t>Crear perfiles de productos agropecuarios</t>
  </si>
  <si>
    <t>Perfil</t>
  </si>
  <si>
    <t>Perfiles de productos agropecuarios, creados</t>
  </si>
  <si>
    <t>A.01.01.02.17.03-E</t>
  </si>
  <si>
    <t>Crear un registro de estándares de calidad</t>
  </si>
  <si>
    <t>Registro de estándares de  calidad de producto, creado</t>
  </si>
  <si>
    <t>A.01.01.02.17.04-E</t>
  </si>
  <si>
    <t>Diseñar, elaborar y publicar el directorio de proveedores agropecuarios</t>
  </si>
  <si>
    <t>Directorio de proveedores agropecuarios, publicado</t>
  </si>
  <si>
    <t>A.01.01.02.17.05-E</t>
  </si>
  <si>
    <t>Elaborar planes de negocio</t>
  </si>
  <si>
    <t>Planes de negocio, elaborados</t>
  </si>
  <si>
    <t>A.01.01.02.17.06-E</t>
  </si>
  <si>
    <t>Elaborar estudios de mercados agropecuarios</t>
  </si>
  <si>
    <t xml:space="preserve">Estudios de mercados de producto agropecuario, elaborados </t>
  </si>
  <si>
    <t>A.01.01.02.17.07-E</t>
  </si>
  <si>
    <t>Elaborar carpetas de presentación de productos a promocionar e informe de avance del proyecto.</t>
  </si>
  <si>
    <t>Carpeta</t>
  </si>
  <si>
    <t>Carpetas de  productos a promocionar elaborados</t>
  </si>
  <si>
    <t>Informe de avance del proyecto elaborado</t>
  </si>
  <si>
    <t>L.01.01.05</t>
  </si>
  <si>
    <t>R.01.01.05.06.00-E</t>
  </si>
  <si>
    <t>Digitalización de registros de Asociaciones Agropecuarias</t>
  </si>
  <si>
    <t>A.01.01.05.06.01-E</t>
  </si>
  <si>
    <t>Concluir la digitalización de los registros del sector no reformado</t>
  </si>
  <si>
    <t>Digitalización de los registros  concluida</t>
  </si>
  <si>
    <t>CARLOS
HURTADO</t>
  </si>
  <si>
    <t>A.01.01.05.06.02-E</t>
  </si>
  <si>
    <t>Actualización de los registros digitales</t>
  </si>
  <si>
    <t>Registros  de asociaciones, actualizados</t>
  </si>
  <si>
    <t>Registro de Cooperativas activas  elaborado.</t>
  </si>
  <si>
    <t>Registro
DGEA</t>
  </si>
  <si>
    <t>Registro de Cooperativas inactivas elaborado.</t>
  </si>
  <si>
    <t>R.01.01.07.02.00-E</t>
  </si>
  <si>
    <t>Fortalecer a las asociaciones agropecuarias en cooperativismo, administración, finanzas y aspectos legales</t>
  </si>
  <si>
    <t>A.01.01.07.02.01-E</t>
  </si>
  <si>
    <t>Emitir, certificar y legalizar documentos de registro y Supervisión de asambleas generales</t>
  </si>
  <si>
    <t>Informe elaborado</t>
  </si>
  <si>
    <t>CARLOS HURTADO</t>
  </si>
  <si>
    <t>A.01.01.07.02.02-E</t>
  </si>
  <si>
    <t>Brindar asesoría financiera, legal, administrativa y atención de denuncias</t>
  </si>
  <si>
    <t>A.01.01.07.02.03-E</t>
  </si>
  <si>
    <t>Capacitar a asociados en cooperativismo, administración, finanzas y aspectos legales</t>
  </si>
  <si>
    <t>Evento de capacitación realizado</t>
  </si>
  <si>
    <t>R.01.01.07.03.00-E</t>
  </si>
  <si>
    <t>Implementación de Agromercados Solidarios</t>
  </si>
  <si>
    <t>A.01.01.07.03.01-E</t>
  </si>
  <si>
    <t xml:space="preserve">Gestionar alianzas estrategicas con Gobiernos locales </t>
  </si>
  <si>
    <t>Documento elaborado</t>
  </si>
  <si>
    <t>A.01.01.07.03.02-E</t>
  </si>
  <si>
    <t>Realizacion de eventos de agromercados solidarios a traves de la alianzas con municipalidades involucradas</t>
  </si>
  <si>
    <t>Evento de agromercado solidario, realizado</t>
  </si>
  <si>
    <t>Estas actividades se realizan con fondos de Taiwan del Proyecto Mercadeo Agropecuario y contrapartida GOES</t>
  </si>
  <si>
    <t>R.01.02.05.02.00-E</t>
  </si>
  <si>
    <t>Constitución de nuevas organizaciones</t>
  </si>
  <si>
    <t>A.01.02.05.02.01-E</t>
  </si>
  <si>
    <t>Asesorar a los productores y productoras para constitución de asociaciones o cooperativas</t>
  </si>
  <si>
    <t>Organización de productores asesorada.</t>
  </si>
  <si>
    <t>A.01.02.05.02.02-E</t>
  </si>
  <si>
    <t>Capacitar a los productores y productoras que buscan organizarse</t>
  </si>
  <si>
    <t>Productores y productoras que buscan organizarse realizado</t>
  </si>
  <si>
    <t>A.01.02.05.02.03-E</t>
  </si>
  <si>
    <t xml:space="preserve">Inscribir Asociaciónes Cooperativas y Asociaciones Agropecuarias y entregar documentos legales. </t>
  </si>
  <si>
    <t>Asociaciones  Cooperativas y Asociaciones Agropecuarias, inscritas.</t>
  </si>
  <si>
    <t>L.05.01.05</t>
  </si>
  <si>
    <t>R.05.01.05.03.00-E</t>
  </si>
  <si>
    <t>Entrega de insumos agrícolas a productores de subsistencia</t>
  </si>
  <si>
    <t xml:space="preserve">SE ENTREGARA PAQUETES DE SEMILLA DE FRIJOL </t>
  </si>
  <si>
    <t>A.05.01.05.03.01-E</t>
  </si>
  <si>
    <t>Actualización y depuración del Registro Único de Beneficiarios de los paquetes agrícolas</t>
  </si>
  <si>
    <t>Registro de beneficiarios actualizado</t>
  </si>
  <si>
    <t>Registro de DGEA</t>
  </si>
  <si>
    <t>JORGE  ALBERTO AREVALO MEJIA</t>
  </si>
  <si>
    <t>A.05.01.05.03.02-E</t>
  </si>
  <si>
    <t>Entrega de paquetes de semilla de maíz y fertilizante</t>
  </si>
  <si>
    <t>Paquetes de semillas entregado.</t>
  </si>
  <si>
    <t>A.05.01.05.03.05-E</t>
  </si>
  <si>
    <t>Creación de archivo general de padrones de beneficiarios de paquetes agrícolas</t>
  </si>
  <si>
    <t>Padrón de beneficiarios actualizado</t>
  </si>
  <si>
    <t xml:space="preserve"> </t>
  </si>
  <si>
    <t>Dirección / Oficina: Dirección General de Ganaderia</t>
  </si>
  <si>
    <t>R.01.01.02.07.00-E</t>
  </si>
  <si>
    <t>Reactivación de los sistemas de producción animal</t>
  </si>
  <si>
    <t>A.01.01.02.07.02-E</t>
  </si>
  <si>
    <t>Fortalecer la Asistencia técnica especializada para el desarrollo del sector apícola</t>
  </si>
  <si>
    <t>Apicultores en temas de producción, asistidos</t>
  </si>
  <si>
    <t>Informe mensual de la División de Zootecnia y Agrostologia</t>
  </si>
  <si>
    <t>A nivel nacional</t>
  </si>
  <si>
    <t>Lic. Melvin Trujillo/ DZA</t>
  </si>
  <si>
    <t>Meta no acumulable</t>
  </si>
  <si>
    <t>A.01.01.02.07.03-E</t>
  </si>
  <si>
    <t>Proteger la salud animal ante enfermedades de importancia económica</t>
  </si>
  <si>
    <t>Unidad productiva con atención veterinaria correctiva, Programa Sanitario de brucelosis, tuberculosis, acuícola, avícola y porcina, atendida</t>
  </si>
  <si>
    <t>Informe mensual de la Divición de Servicios Veterinarios</t>
  </si>
  <si>
    <t>Dra. Andrea Chinchilla/DSV</t>
  </si>
  <si>
    <t>Autorizaciones de importación de productos y sub-productos de origen agropecuario, emitidas</t>
  </si>
  <si>
    <t>Informe mensual de la División de Cuarentena</t>
  </si>
  <si>
    <t>Ing. José Ángel Alvares/Div. CyRF</t>
  </si>
  <si>
    <t>Certificado</t>
  </si>
  <si>
    <t>Certificar y mantener vigente el registro de establecimientos que se dedica a la formulación, fabricación y comercio de productos pecuarios para uso animal, emitidos</t>
  </si>
  <si>
    <t>Informe mensual de la División de Cuarentena Animal,  Registro y Fiscalización Veterinaria</t>
  </si>
  <si>
    <t>Autorización de productos pecuarios, emitido</t>
  </si>
  <si>
    <t>Visa</t>
  </si>
  <si>
    <t xml:space="preserve">Visados de importación de insumos pecuarios, realizado </t>
  </si>
  <si>
    <t>Diagnóstico</t>
  </si>
  <si>
    <t>Diagnóstico de laboratorio veterinarios para la detección de enfermedades en animales, realizadas</t>
  </si>
  <si>
    <t>Informe mensual de la Red de Laboratorios Veterinarios</t>
  </si>
  <si>
    <t>Dra. Zaida Lazo/Red Lab. Vet.</t>
  </si>
  <si>
    <t>Diagnóstico de laboratorio para el control de calidad de alimentos de origen animal, realizadas</t>
  </si>
  <si>
    <t>A.01.01.02.07.04-E</t>
  </si>
  <si>
    <t>Fortalecer el sistema de identificación y mejoramiento genético animal</t>
  </si>
  <si>
    <t>Supervisión</t>
  </si>
  <si>
    <t>Supervisión de la Red Nacional de Bancos de Semen para promover el mejoramiento genético bovino, realizada</t>
  </si>
  <si>
    <t>Informe mensual de la División de Identificación, Rastreabilidad y Reproducción Animal</t>
  </si>
  <si>
    <t>Dr. Héctor Martínez/DIRRA</t>
  </si>
  <si>
    <t>A.01.01.02.07.07-E</t>
  </si>
  <si>
    <t>Impartir capacitación en sistemas de producción, sanidad e inocuidad apícola</t>
  </si>
  <si>
    <t>Capacitación en sistemas de producción, sanidad e inocuidad apícola, impartida</t>
  </si>
  <si>
    <t>Informe de la capacitaciópn que incluya como minimo lista de participantes firmada y el programa desarrollado</t>
  </si>
  <si>
    <t>Lic. Melvin Trujillo/DZA, Dra. Guadalupe Diaznuila/DIPOA</t>
  </si>
  <si>
    <t>Se incluira el tema del Reglamento BPM, HACCP y otros</t>
  </si>
  <si>
    <t>A.01.01.02.07.08-E</t>
  </si>
  <si>
    <t>Realizar inspección en plantas de procesamiento de miel</t>
  </si>
  <si>
    <t>Inspección en plantas de procesamiento de miel, realizadas</t>
  </si>
  <si>
    <t>Hoja de Inspección</t>
  </si>
  <si>
    <t>Dra. Guadalupe Diaznuila/ DIPOA</t>
  </si>
  <si>
    <t>Se inspecciona la aplicación del Reglamento BPM, HACCP y otros</t>
  </si>
  <si>
    <t>A.01.01.02.07.09-E</t>
  </si>
  <si>
    <t>Realizar verificación en plantas de procesamiento de miel</t>
  </si>
  <si>
    <t>Verificación</t>
  </si>
  <si>
    <t>Verificación en plantas de procesamiento de miel, realizadas</t>
  </si>
  <si>
    <t>Hoja de Verificación</t>
  </si>
  <si>
    <t>Se verifica la aplicación del Reglamento BPM, HACCP y otros</t>
  </si>
  <si>
    <t>A.01.01.02.07.10-E</t>
  </si>
  <si>
    <t>Realizar certificaciones de miel a través de muestreos para consumo nacional</t>
  </si>
  <si>
    <t>Certificaciones de miel a través de muestreos para consumo nacional, realizadas</t>
  </si>
  <si>
    <t>Informe mensual de la División de Inocuidad de Productos de Origen Animal</t>
  </si>
  <si>
    <t>A.01.01.02.07.11-E</t>
  </si>
  <si>
    <t>Realizar certificaciones de miel para la exportación</t>
  </si>
  <si>
    <t>Certificaciones de miel para la exportación, realizadas</t>
  </si>
  <si>
    <t>A.01.01.02.07.12-E</t>
  </si>
  <si>
    <t>Emitir certificaciones zoosanitarias de aves, productos avícolas y acuícolas</t>
  </si>
  <si>
    <t>Certificaciones zoosanitarias de aves, productos avícolas y acuícolas, emitidos</t>
  </si>
  <si>
    <t>A.01.01.02.07.13-E</t>
  </si>
  <si>
    <t>Realizar campaña de vacunación, desparasitación y  corrección de carenciales nutricionales en bovinos, cerdos, aves, equinos, caprinos, perros y gatos</t>
  </si>
  <si>
    <t>Animal</t>
  </si>
  <si>
    <t>Campaña de vacunación, desparasitación y  corrección de carenciales nutricionales en bovinos, cerdos, aves, equinos, caprinos, perros y gatos, realizada</t>
  </si>
  <si>
    <t>A.01.01.02.07.25-E</t>
  </si>
  <si>
    <t>Certificar productores en técnicas de inseminación artificial</t>
  </si>
  <si>
    <t>Productores en técnicas de inseminación artificial, certificados</t>
  </si>
  <si>
    <t>Listado de productores certificados</t>
  </si>
  <si>
    <t>A.01.01.02.07.26-E</t>
  </si>
  <si>
    <t>Atender casos de problemas reproductivos</t>
  </si>
  <si>
    <t xml:space="preserve">Caso </t>
  </si>
  <si>
    <t>Casos de problemas reproductivos, atendidos</t>
  </si>
  <si>
    <t>Hoja de atención veterinaria reproductiva</t>
  </si>
  <si>
    <t>A.01.01.02.07.27-E</t>
  </si>
  <si>
    <t>Emitir matricula de herrar ganado</t>
  </si>
  <si>
    <t>Matricula</t>
  </si>
  <si>
    <t>Matricula de herrar ganado, emitida</t>
  </si>
  <si>
    <t>Matricula de registro</t>
  </si>
  <si>
    <t>A.01.01.02.07.28-E</t>
  </si>
  <si>
    <t>Emitir certificado genealógico de bovinos y equinos</t>
  </si>
  <si>
    <t>Certificado genealógico de bovinos y equinos, emitido</t>
  </si>
  <si>
    <t>Certificado genealógico</t>
  </si>
  <si>
    <t>A.01.01.02.07.29-E</t>
  </si>
  <si>
    <t>Registrar e identificar unidad productiva bajo el Programa de Trazabilidad Bovina</t>
  </si>
  <si>
    <t>Unidad productiva registrada e identificada bajo el Programa de Trazabilidad Bovina, realizado</t>
  </si>
  <si>
    <t>La Unión</t>
  </si>
  <si>
    <t>A.01.01.02.07.30-E</t>
  </si>
  <si>
    <t>Realizar identificación de trazabilidad  en animal bovino</t>
  </si>
  <si>
    <t>Bovino</t>
  </si>
  <si>
    <t>Identificación de trazabilidad  en animal bovino, realizado</t>
  </si>
  <si>
    <t>R.01.01.02.08.00-E</t>
  </si>
  <si>
    <t>Mejora de la competitividad del sector pecuario a los mercados nacionales e internacionales</t>
  </si>
  <si>
    <t>A.01.01.02.08.01-E</t>
  </si>
  <si>
    <t>Fortalecer las medidas para verificar el aseguramiento  de la inocuidad de los alimentos en plantas de aves, rastros, plantas y barcos pesqueros miel, lácteos con permiso de funcionamiento</t>
  </si>
  <si>
    <t>Plantas procesadoras y barcos pesqueros, para productos y subproductos de origen animal, inspeccionados</t>
  </si>
  <si>
    <t>Hoja de inspección</t>
  </si>
  <si>
    <t>A.01.01.02.08.03-E</t>
  </si>
  <si>
    <t>Actualizar Sistema de Información de Sanidad Agropecuaria (SISA)</t>
  </si>
  <si>
    <t>Sistema de Información de sanidad Agropecuaria, actualizado</t>
  </si>
  <si>
    <t>Informe mensual de avance del SISA</t>
  </si>
  <si>
    <t>Sistema de Información de sanidad Agropecuaria (SISA) y Sistema Integrado de Comercio Exterior (SICEX), vinculados</t>
  </si>
  <si>
    <t>A.01.01.02.08.05-E</t>
  </si>
  <si>
    <t>Fortalecer el Área de Análisis de Riesgo Pecuarios (ARPe), con equipo, información y personal capacitado.</t>
  </si>
  <si>
    <t>Área de Análisis de Riesgo Pecuarios (ARPe), con equipo, información y personal capacitado, fortalecido.</t>
  </si>
  <si>
    <t>Informe mensual de la inversión publica y SAFI del proyecto 5764</t>
  </si>
  <si>
    <t>a nivel nacional</t>
  </si>
  <si>
    <t>Proyecto 5764 de USDA</t>
  </si>
  <si>
    <t>A.01.01.02.08.06-E</t>
  </si>
  <si>
    <t>Realizar muestreos en frontera de productos lácteos y en planta procesadoras de productos de origen animal</t>
  </si>
  <si>
    <t>Muestreos en frontera de productos lácteos y en planta procesadoras de productos de origen animal, realizados</t>
  </si>
  <si>
    <t>Informe mensual de la División de Inocuidad de Productos de Origen Animal que incluye muestreos de lácteos</t>
  </si>
  <si>
    <t>A.01.01.02.08.07-E</t>
  </si>
  <si>
    <t>Realizar verificación a plantas procesadoras y barcos pesqueros, para productos y subproductos de origen animal</t>
  </si>
  <si>
    <t>Plantas procesadoras y barcos pesqueros, para productos y subproductos de origen animal, verificados</t>
  </si>
  <si>
    <t>Informe de verificación realizadas</t>
  </si>
  <si>
    <t>A.01.01.02.08.08-E</t>
  </si>
  <si>
    <t>Capacitar personal de plantas de procesamiento de productos y subproductos de origen animal</t>
  </si>
  <si>
    <t>Personal de plantas de procesamiento de productos y subproductos de origen animal, capacitados</t>
  </si>
  <si>
    <t>Informe mensual de la División de Inocuidad de Productos de Origen Animal que incluirá el Informe de la capacitaciones</t>
  </si>
  <si>
    <t>R.01.01.03.01.00-E</t>
  </si>
  <si>
    <t>Crear y actualizar el marco legal a las necesidades del sector pecuario que fomente la productividad y competitividad</t>
  </si>
  <si>
    <t>Ing. Víctor Torres Ruíz/DGG</t>
  </si>
  <si>
    <t>A.01.01.03.01.01-E</t>
  </si>
  <si>
    <t>Crear marco legal de acuerdo a las nuevas necesidades y realidad del sector pecuario</t>
  </si>
  <si>
    <t xml:space="preserve">Gestión </t>
  </si>
  <si>
    <t>Marco legal de acuerdo a las nuevas necesidades y realidad del sector pecuario, creado</t>
  </si>
  <si>
    <t xml:space="preserve">Informe mensual de las Divisiones </t>
  </si>
  <si>
    <t>La Libertad y San Salvador</t>
  </si>
  <si>
    <t>Todos los jefes de  DIRRA, DSV, DIPOA, DZA, CyRF, CEGA-Mo y Unidad CITES</t>
  </si>
  <si>
    <t>A.01.01.03.01.02-E</t>
  </si>
  <si>
    <t>Actualizar marco legal de acuerdo a las nuevas necesidades y realidad del sector pecuario</t>
  </si>
  <si>
    <t>Marco legal de acuerdo a las nuevas necesidades y realidad del sector pecuario, actualizado</t>
  </si>
  <si>
    <t>1. Actualizar la Ley de Marcas y Fierro
2. la Ley de fomento Ganadero</t>
  </si>
  <si>
    <t>R.01.01.05.02.00-E</t>
  </si>
  <si>
    <t>Modernización en la calidad de los procedimientos de permisos de funcionamiento y emisión de certificados</t>
  </si>
  <si>
    <t>A.01.01.05.02.01-E</t>
  </si>
  <si>
    <t>Actualizar los procedimiento de control de la calidad, sanidad e inocuidad de los productos de origen animal</t>
  </si>
  <si>
    <t>Procedimiento de control de la calidad, sanidad e inocuidad de los productos de origen animal, actualizado</t>
  </si>
  <si>
    <t>A.01.01.05.02.02-E</t>
  </si>
  <si>
    <t>Gestionar para la elaboración de procedimientos de control de la calidad, sanidad e inocuidad de los productos de origen animal</t>
  </si>
  <si>
    <t>Procedimientos de control de la calidad, sanidad e inocuidad de los productos de origen animal, gestionado</t>
  </si>
  <si>
    <t>R.01.01.05.03.00-E</t>
  </si>
  <si>
    <t>Actualización de los Registros zootécnicos para facilitar la inversión y los negocios</t>
  </si>
  <si>
    <t>A.01.01.05.03.03-E</t>
  </si>
  <si>
    <t>Emitir en línea certificados de importación, reimportación, exportación y reexportación  de especímenes CITES y no CITES</t>
  </si>
  <si>
    <t>Certificados de importación, reimportación, exportación y reexportación  de especímenes CITES y no CITES, emitidos</t>
  </si>
  <si>
    <t>Informe mensual de la Unidad CITES</t>
  </si>
  <si>
    <t>Ing. Francisco Rivas/CITES</t>
  </si>
  <si>
    <t>A.01.01.05.03.04-E</t>
  </si>
  <si>
    <t>Inspeccionar Zoo criaderos para el registro y reconocimiento de la población de las especies</t>
  </si>
  <si>
    <t>Registro y reconocimiento de la población de las especies de zoocriaderos, inspeccionados</t>
  </si>
  <si>
    <t>La Paz, San Vicente y Cabañas</t>
  </si>
  <si>
    <t>R.01.03.01.02.00-E</t>
  </si>
  <si>
    <t>Disponibilidad de fuentes de alimentos de origen animal en productores de subsistencia</t>
  </si>
  <si>
    <t>A.01.03.01.02.01-E</t>
  </si>
  <si>
    <t>Asistir técnicamente y capacitar a productores de subsistencia en los sistemas de producción animal</t>
  </si>
  <si>
    <t>Productores de subsistencia de aves, cerdos y especies menores, asistidos técnicamente</t>
  </si>
  <si>
    <t>Hoja de asistencia técnica</t>
  </si>
  <si>
    <t>A.01.03.01.02.02-E</t>
  </si>
  <si>
    <t>Producir y comercializar material genético bovino, avícola, porcino y especies menores para apoyar el aumento de la producción y productividad de los productores de subsistencia</t>
  </si>
  <si>
    <t>Dosis</t>
  </si>
  <si>
    <t>Producción de material genético bovino, avícola, porcino y especies menores, comercializado</t>
  </si>
  <si>
    <t>Ave</t>
  </si>
  <si>
    <t>R.01.03.06.01.00-E</t>
  </si>
  <si>
    <t xml:space="preserve">Mejoramiento de la calidad e inocuidad de   los Productos y subproductos de los subsectores bovinos y porcinos. </t>
  </si>
  <si>
    <t>A.01.03.06.01.02-E</t>
  </si>
  <si>
    <t>Construir y equipar plantas procesadoras de lácteos</t>
  </si>
  <si>
    <t>Plantas procesadoras de lácteos, equipada</t>
  </si>
  <si>
    <t>Actas de recepción de equipo</t>
  </si>
  <si>
    <t>Ing. Adalberto Hernández/Cadena Láctea</t>
  </si>
  <si>
    <t>Las plantas son para las asociaciones: Ganadera del Norte, CCA, ACOPUEBLA y ACOPAU</t>
  </si>
  <si>
    <t>Establecimiento de Plantas procesadoras de lácteos equipadas por la Embajada de Taiwán, asistidas</t>
  </si>
  <si>
    <t>Informe mensual de la Cadena Láctea</t>
  </si>
  <si>
    <t>La asistentica para equipar las plantas de Taiwán es a: COPIGAC y APAN</t>
  </si>
  <si>
    <t>E.02</t>
  </si>
  <si>
    <t>L.01.05.02</t>
  </si>
  <si>
    <t>R.02.05.02.02.00-E</t>
  </si>
  <si>
    <t>Mayor disponibilidad para la infraestructura de investigación</t>
  </si>
  <si>
    <t>A.02.05.02.02.01-E</t>
  </si>
  <si>
    <t>Remodelar y equipar para el funcionamiento de los Centros de Desarrollo Ganaderos</t>
  </si>
  <si>
    <t>Centro de Desarrollo Agropecuario, rehabilitado</t>
  </si>
  <si>
    <t>Informe mensual de la inversión publica y SAFI del proyecto 5725</t>
  </si>
  <si>
    <t>Morazán</t>
  </si>
  <si>
    <t>Dr. Rafael Alvarado/CEGA-Morazán.</t>
  </si>
  <si>
    <t>Fondos de Proyecto JAPÓN para CEGA-Morazán</t>
  </si>
  <si>
    <t>A.02.05.02.02.02-E</t>
  </si>
  <si>
    <t>Investigar, innovar y validar tecnológicas adecuadas en los centros de investigación, para los sub-sectores productivos bovino, porcina y apícola</t>
  </si>
  <si>
    <t>Validaciones en técnologías adecuadas ejecutadas en los Centros de Desarrollo  Agropecuario, realizadas</t>
  </si>
  <si>
    <t>Informe mensual de CEGA-Morazán</t>
  </si>
  <si>
    <t>L.02.05.03</t>
  </si>
  <si>
    <t>R.02.05.03.03.00-E</t>
  </si>
  <si>
    <t>Mayor intercambio de tecnología para la transferencia tecnológica y el desarrollo de la investigación, desarrollo  e innovación I+D+I</t>
  </si>
  <si>
    <t>Ing. Víctor Torres Ruíz</t>
  </si>
  <si>
    <t>A.02.05.03.03.01-E</t>
  </si>
  <si>
    <t>Establecer y  fortalecer las alianzas estratégicas que se tienen con universidades y otros organismos nacionales e internacionales, para impulsar la innovación tecnológica</t>
  </si>
  <si>
    <t xml:space="preserve">Alianzas estratégicas que se tienen con universidades y otros organismos nacionales e internacionales, para impulsar la innovación tecnológica, fortalecidas </t>
  </si>
  <si>
    <t xml:space="preserve">Informes mensuales de dependencias DGG </t>
  </si>
  <si>
    <t>Todos los jefes de dependencias DGG.</t>
  </si>
  <si>
    <t>R.07.04.06.02.00-E</t>
  </si>
  <si>
    <t>Mayor resiliencia de las especies pecuarios de importancia económica, especialmente en los subsectores bovino, porcino y apícola, al cambio climático</t>
  </si>
  <si>
    <t>A.07.04.06.02.01-E</t>
  </si>
  <si>
    <t>Identificar y promocionar tecnologías que permitan la resiliencia de las especies pecuarias frente al cambio climático</t>
  </si>
  <si>
    <t>Tecnologías que permitan la resiliencia de las especies pecuarias frente al cambio climático, promocionadas</t>
  </si>
  <si>
    <t>A.07.04.06.02.02-E</t>
  </si>
  <si>
    <t>Establecer Sistemas agrosilvopastoriles en unidades productivas</t>
  </si>
  <si>
    <t>Capacitación de ganadero/a para el establecimiento de sistemas agrosilvopastoriles, realizados</t>
  </si>
  <si>
    <t>A.07.04.06.02.03-E</t>
  </si>
  <si>
    <t>Adquirir especies para la producción de material de germoplasma resistente o adaptado a las condiciones climáticas</t>
  </si>
  <si>
    <t>Semental</t>
  </si>
  <si>
    <t>Sementales porcino para aportar germoplasma que mejore las condicones genéticas resistentes o adaptables a las condiciones climáticas, adquiridos</t>
  </si>
  <si>
    <t xml:space="preserve">Acta de recepción </t>
  </si>
  <si>
    <t>Soyapango, San Salvador</t>
  </si>
  <si>
    <t>R.07.04.06.03.00-E</t>
  </si>
  <si>
    <t>Atención a la salud animal ante el cambio climático por enfermedades emergentes</t>
  </si>
  <si>
    <t>A.07.04.06.03.01-E</t>
  </si>
  <si>
    <t>Realizar campañas sanitarias, entrega de incentivos y asistencia técnica en el Corredor Seco Tropical</t>
  </si>
  <si>
    <t>Pequeños y medianos Ganaderos con incentivos, recibidos</t>
  </si>
  <si>
    <t>Acta de entrega</t>
  </si>
  <si>
    <t>Departamentos del Corredor Seco</t>
  </si>
  <si>
    <t>A.07.04.06.03.02-E</t>
  </si>
  <si>
    <t>Atender a pequeños y medianos Ganaderos con asistencia técnica para la mejora de los sistemas de producción bovina ante los problemas del cambio climático, atendidos</t>
  </si>
  <si>
    <t>Pequeños y medianos Ganaderos con asistencia técnica para la mejora de los sistemas de producción bovina ante los problemas del cambio climático, atendidos</t>
  </si>
  <si>
    <t>Informe mensual de la División de Zootecnia y Agrostología</t>
  </si>
  <si>
    <t>A.07.04.06.03.03-E</t>
  </si>
  <si>
    <t>Impartir eventos de capacitaciones en sistemas de producción bovina para la resiliencia al cambio climático, en manejo, nutrición, pastos y forrajes</t>
  </si>
  <si>
    <t>Eventos de capacitaciones en sistemas de producción bovina para la resiliencia al cambio climático, en manejo, nutrición, pastos y forrajes, impartidos</t>
  </si>
  <si>
    <t>A.07.04.06.03.04-E</t>
  </si>
  <si>
    <t xml:space="preserve">Entregar publicaciones que apoyen las medidas a tomar ante los problemas de salud, manejo de hatos, alimentación y otros causados por el cambio climático y enfermedades. </t>
  </si>
  <si>
    <t xml:space="preserve">Publicaciones que apoyen las medidas a tomar ante los problemas de salud, manejo de hatos, alimentación y otros causados por el cambio climático y enfermedades, entregados. </t>
  </si>
  <si>
    <t>Informe mensual de la DZA, DIPOA, DIRRA y DSV</t>
  </si>
  <si>
    <t>Ing. Melvin  Trujillo/DZA, Dra. Andrea Chinchilla/DSV y Dra. Guadalupe Diaznuila/DIPOA, Dr. Héctor Martínez/DIRRA</t>
  </si>
  <si>
    <t>A.07.04.06.03.05-E</t>
  </si>
  <si>
    <t>Impartir eventos de capacitaciones en salud animal para la resiliencia al cambio climático</t>
  </si>
  <si>
    <t>Eventos de capacitaciones en salud animal para la resiliencia al cambio climático, impartidos</t>
  </si>
  <si>
    <t>Informe mensual de la División de Zootecnia y Agrostología con listados de asistencia a eventos de capacitación</t>
  </si>
  <si>
    <t>A.07.04.06.03.06-E</t>
  </si>
  <si>
    <t>Capacitar en practicas de conservación de suelo y agua en unidades productivas</t>
  </si>
  <si>
    <t>Capacitar en practicas de conservación de suelo y agua en unidades productivas, realizadas</t>
  </si>
  <si>
    <t>Informe mensual de División de Zootecnia y Agrostología que incluye listados de asistencia a  capacitaciones en agroforesteria</t>
  </si>
  <si>
    <t>La Unión, San Miguel, Morazán, Cabañas, Chalatenango y Santa Ana</t>
  </si>
  <si>
    <t>CITES</t>
  </si>
  <si>
    <t>DIPOA</t>
  </si>
  <si>
    <t>DIRRA</t>
  </si>
  <si>
    <t>CEGA</t>
  </si>
  <si>
    <t>CUARENTENA</t>
  </si>
  <si>
    <t>RED LAB</t>
  </si>
  <si>
    <t>DSV</t>
  </si>
  <si>
    <t>DZA</t>
  </si>
  <si>
    <t>Total</t>
  </si>
  <si>
    <t>Dirección / Oficina: Dirección General de Ordenamiento Forestal Cuencas y Riego (DGFCR)</t>
  </si>
  <si>
    <t>(3)
Meta</t>
  </si>
  <si>
    <t>(4) Unidad
de Medida</t>
  </si>
  <si>
    <t>(5) Indicador
de resultados</t>
  </si>
  <si>
    <t>(6) Medio de
Verificación</t>
  </si>
  <si>
    <t>(12)
Ubicación
Geográfica</t>
  </si>
  <si>
    <t>Pto.
Ord.</t>
  </si>
  <si>
    <t>Pto.
Eord.</t>
  </si>
  <si>
    <t>F. Ext.</t>
  </si>
  <si>
    <t>R.01.01.02.12.00-E</t>
  </si>
  <si>
    <t>Reactivación del sector forestal (Valoración económica de productos forestales)</t>
  </si>
  <si>
    <t>A.01.01.02.12.01-E</t>
  </si>
  <si>
    <t>Brindar asistencia técnica en manejo forestal</t>
  </si>
  <si>
    <t>Área con asistencia técnica en manejo forestal, brindada</t>
  </si>
  <si>
    <t>Registro de planes de manejo forestal</t>
  </si>
  <si>
    <t>Giosvany Yuriet Oliva Arias</t>
  </si>
  <si>
    <t>A.01.01.02.12.03-E</t>
  </si>
  <si>
    <t>Generación de Información Forestal</t>
  </si>
  <si>
    <t>Información Forestal, generada</t>
  </si>
  <si>
    <t>Documento físico elaborado</t>
  </si>
  <si>
    <t>A.01.01.02.12.04-E</t>
  </si>
  <si>
    <t>Aplicar  la normativa Forestal</t>
  </si>
  <si>
    <t>Autorizaciones de la Normativa forestal, concedidas</t>
  </si>
  <si>
    <t>Registro de autorizaciones forestales</t>
  </si>
  <si>
    <t>R.01.03.05.03.00-E</t>
  </si>
  <si>
    <t>Ampliación del área regable para generación permanente de empleo</t>
  </si>
  <si>
    <t>A.01.03.05.03.01-E</t>
  </si>
  <si>
    <t>Rehabilitar o incorporar sistemas de riego</t>
  </si>
  <si>
    <t>Superficie bajo riego, rehabilitada</t>
  </si>
  <si>
    <t>Registro en el Sistema de Información Nacional de Gestión del Agua para Riego (SINGAR)</t>
  </si>
  <si>
    <t xml:space="preserve">San Miguel, Moncagua y El Transito en el Depto. de San Miguel El Carmen, Pasaquina, Poloros, Concepción de Oriente, Santa. Rosa de Lima, Yucuaiquín, Anamoros, Conchagua y El Sauce en el Dpto. de La Unión </t>
  </si>
  <si>
    <t>Manuel de Jesús Montes Miranda</t>
  </si>
  <si>
    <t>Gobierno de Japón</t>
  </si>
  <si>
    <t>A.01.03.05.03.02-E</t>
  </si>
  <si>
    <t>Aplicar la normativa de riego y avenamiento</t>
  </si>
  <si>
    <t>Permisos de uso de agua con fines de riego, otorgados</t>
  </si>
  <si>
    <t>Reporte del SINGAR</t>
  </si>
  <si>
    <t>Elmer Wilber Alfonzo</t>
  </si>
  <si>
    <t>A.01.03.05.03.03-E</t>
  </si>
  <si>
    <t>Fortalecer capacidades de Asociaciones de Regantes</t>
  </si>
  <si>
    <t>Productores regantes, capacitados</t>
  </si>
  <si>
    <t>Listado de participantes por evento</t>
  </si>
  <si>
    <t>R.01.03.05.04.00-E</t>
  </si>
  <si>
    <t xml:space="preserve">Modernizar los distritos de riego para dinamizar su desarrollo </t>
  </si>
  <si>
    <t>Nueva Concepción en Chalatenango y El Porvenir en Santa Ana</t>
  </si>
  <si>
    <t>A.01.03.05.04.01-E</t>
  </si>
  <si>
    <t>Fortalecer capacidades de Asociaciones de Regantes de Distritos</t>
  </si>
  <si>
    <t>Productores regantes de Distritos, capacitados</t>
  </si>
  <si>
    <t>Nueva Concepción (Chalatenango), Ciudad Arce y San Pablo Tacachico (La Libertad), Colón (Sonsonate),  San Vicente (San Vicente), Mercedes Umaña y Berlín (Usulután)</t>
  </si>
  <si>
    <t>A.01.03.05.04.02-E</t>
  </si>
  <si>
    <t>Rehabilitar o incorporar superficie productiva bajo riego de Distritos</t>
  </si>
  <si>
    <t>Superficie bajo riego en "Distrito de Riego y Avenamiento  No. 2 Atiocoyo Sector Norte", incorporada</t>
  </si>
  <si>
    <t>Contratos de obras, bitácoras de obras, etc.</t>
  </si>
  <si>
    <t xml:space="preserve">Nueva Concepción en Chalatenango. </t>
  </si>
  <si>
    <t xml:space="preserve">$ 1.26 millones de Cooperación del Gobierno de Taiwán </t>
  </si>
  <si>
    <t>Superficie bajo riego en Proyecto El Porvenir, para la Mejora de la Productividad del Arroz, incorporada</t>
  </si>
  <si>
    <t>Municipio El Porvenir en Santa Ana</t>
  </si>
  <si>
    <t>$ 1.15 millones de cooperación de Corea a través de KOICA</t>
  </si>
  <si>
    <t>Superficie de agricultura bajo riego,  rehabilitada</t>
  </si>
  <si>
    <t>Ateos en Sonsonate, Mercedes Umaña y Berlín en Usulután</t>
  </si>
  <si>
    <t>A.01.03.05.04.03-E</t>
  </si>
  <si>
    <t>Transferir Tecnología en Agricultura bajo Riego</t>
  </si>
  <si>
    <t>Productor(a)  con tecnología de producción bajo riego, transferida</t>
  </si>
  <si>
    <t>Asamblea</t>
  </si>
  <si>
    <t xml:space="preserve">2ª. Asamblea General del  KOLFACI celebrada </t>
  </si>
  <si>
    <t>Nora del Carmen Morataya</t>
  </si>
  <si>
    <t>L.07.01.01</t>
  </si>
  <si>
    <t>R.07.01.01.01.00-E</t>
  </si>
  <si>
    <t>Ordenamiento de recursos forestales, agua y suelo</t>
  </si>
  <si>
    <t>A.07.01.01.01.01-E</t>
  </si>
  <si>
    <t>Actualizar la política forestal</t>
  </si>
  <si>
    <t>Política forestal, actualizada</t>
  </si>
  <si>
    <t>Documento de Política forestal</t>
  </si>
  <si>
    <t>A.07.01.01.01.03-E</t>
  </si>
  <si>
    <t>Actualizar la estrategia forestal</t>
  </si>
  <si>
    <t>Estrategia</t>
  </si>
  <si>
    <t>Estrategia forestal, actualizada</t>
  </si>
  <si>
    <t xml:space="preserve">Documento de la Estrategia Forestal </t>
  </si>
  <si>
    <t>Esta meta inició en 2015</t>
  </si>
  <si>
    <t>L.07.02.02</t>
  </si>
  <si>
    <t>R.07.02.02.01.00-E</t>
  </si>
  <si>
    <t>Ordenamiento del uso de agua para riego</t>
  </si>
  <si>
    <t>A.07.02.02.01.01-E</t>
  </si>
  <si>
    <t>Actualizar el Marco Jurídico de Riego y Avenamiento</t>
  </si>
  <si>
    <t>Estrategia de Implementación de la política de riego, actualizada</t>
  </si>
  <si>
    <t>Documento físico de la Estrategia elaborado</t>
  </si>
  <si>
    <t>Cooperación de FAO</t>
  </si>
  <si>
    <t>Plan Nacional de riego y drenaje, formulado</t>
  </si>
  <si>
    <t>Documento físico del Plan de riego elaborado</t>
  </si>
  <si>
    <t>L.07.02.05</t>
  </si>
  <si>
    <t>R.07.02.05.01.00-E</t>
  </si>
  <si>
    <t>Ordenamiento de uso de agua con fines agropecuarios</t>
  </si>
  <si>
    <t>A.07.02.05.01.01-E</t>
  </si>
  <si>
    <t xml:space="preserve">Asistir técnicamente a Asociaciones de Regantes en uso ordenado del agua </t>
  </si>
  <si>
    <t>Asociación</t>
  </si>
  <si>
    <t>Asociaciones de regantes legalmente constituidas  en uso ordenado del  agua, Asistidas</t>
  </si>
  <si>
    <t>Sistema de información Nacional de Gestión de Agua para Riego (SINGAR)</t>
  </si>
  <si>
    <t>A.07.02.05.01.02-E</t>
  </si>
  <si>
    <t>Fortalecer las capacidad asociativa de regantes</t>
  </si>
  <si>
    <t>Nuevas asociaciones de regantes, organizadas</t>
  </si>
  <si>
    <t>R.07.02.05.02.00-E</t>
  </si>
  <si>
    <t>Rehabilitación de Cuencas Degradadas</t>
  </si>
  <si>
    <t>A.07.02.05.02.01-E</t>
  </si>
  <si>
    <t>Proveer asistencia para Intervención de Cuencas Hidrográficas</t>
  </si>
  <si>
    <t>Planes de intervención de Cuencas Hidrográficas, asistidos</t>
  </si>
  <si>
    <t xml:space="preserve">Informe de asesoría sobre planes de manejo de cuencas </t>
  </si>
  <si>
    <t>Mario Ernesto Lobo</t>
  </si>
  <si>
    <t>A.07.02.05.02.02-E</t>
  </si>
  <si>
    <t>Elaborar calificaciones agrológicas  para intervención de cuencas hidrográficas</t>
  </si>
  <si>
    <t>Calificación</t>
  </si>
  <si>
    <t>Calificaciones agrológicas, elaboradas</t>
  </si>
  <si>
    <t>Registro de calificaciones agrológicas realizadas</t>
  </si>
  <si>
    <t>L.07.04.01</t>
  </si>
  <si>
    <t>R.07.04.01.01.00-E</t>
  </si>
  <si>
    <t xml:space="preserve">Institucionalidad con capacidad de afrontar los retos del Cambio Climático </t>
  </si>
  <si>
    <t>A.07.04.01.01.03-E</t>
  </si>
  <si>
    <t>Planificar la ejecución de acciones de adaptación del sector agropecuario a los efectos del cambio climático</t>
  </si>
  <si>
    <t>Plan Nacional de adaptación de sector agropecuario al Cambio Climático, formulado</t>
  </si>
  <si>
    <t>Documento de plan de Cambio Climático para el Sector Agropecuario</t>
  </si>
  <si>
    <t>Lucía Alicia Gómez Vaquerano</t>
  </si>
  <si>
    <t>A.07.04.01.01.04-E</t>
  </si>
  <si>
    <t xml:space="preserve">Planificar la gestión de acciones ante riesgos agroclimáticos para el sector agropecuario  </t>
  </si>
  <si>
    <t>Plan Nacional de Gestión de Riesgos agroclimáticos, elaborado</t>
  </si>
  <si>
    <t xml:space="preserve">Documento de plan de gestión de riesgos agroclimáticos </t>
  </si>
  <si>
    <t>L.07.04.04</t>
  </si>
  <si>
    <t>Comunidades fortalecidas en su capacidad de resiliencia</t>
  </si>
  <si>
    <t>A.07.04.04.01.01-E</t>
  </si>
  <si>
    <t>Fortalecer las comunidades para incremento de su capacidad de resiliencia</t>
  </si>
  <si>
    <t>Obras y prácticas de conservación de Suelos, ejecutadas</t>
  </si>
  <si>
    <t>Informe de obras y prácticas de conservación de Suelo</t>
  </si>
  <si>
    <t>San Miguel, San Jorge, El Tránsito, San Luís de la Reina, Chapeltique, Quelepa, Comacarán, Moncagua, Chirilagua, Uluazapa, Carolina y Ciudad Barrios  (San Miguel), Nueva Granada, Estanzuelas, San Agustín, Mercedes Umaña, Alegría, Berlín, Ozatlán, Tecapán, Santa Elena, Concepción Batres y Jucuarán (Usulután), San Simón, San Isidro y Guatajiagua (Morazán), Conchagua, El Carmen, Yayantique, Santa Rosa de Lima, Yucuaiquín, La Unión (La Unión)</t>
  </si>
  <si>
    <t>Reservorios de captación de agua, construidos</t>
  </si>
  <si>
    <t>Informe de Reservorios de captación de agua</t>
  </si>
  <si>
    <t>Vivero</t>
  </si>
  <si>
    <t>Establecimiento de viveros forestales comunitarios</t>
  </si>
  <si>
    <t xml:space="preserve">Listado de participantes </t>
  </si>
  <si>
    <t>Romeo Anival Herrera Guzmán</t>
  </si>
  <si>
    <t>Área Ministerial: DESPACHO MINISTERIAL</t>
  </si>
  <si>
    <t>Dirección / Oficna: OFICINA DE ASESORÍA JURÍDICA (OAJ)</t>
  </si>
  <si>
    <r>
      <t>Periodo de Ejecución:</t>
    </r>
    <r>
      <rPr>
        <b/>
        <sz val="12"/>
        <color indexed="10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2016</t>
    </r>
  </si>
  <si>
    <t>(2) RESULTADO/ACCION ESTRATÉGICA</t>
  </si>
  <si>
    <t>(9) Peso ponderado acciòn</t>
  </si>
  <si>
    <t>F.A.E. F.P.</t>
  </si>
  <si>
    <r>
      <t>Fideic</t>
    </r>
    <r>
      <rPr>
        <b/>
        <u/>
        <sz val="12"/>
        <rFont val="Calibri"/>
        <family val="2"/>
        <scheme val="minor"/>
      </rPr>
      <t>o</t>
    </r>
    <r>
      <rPr>
        <b/>
        <sz val="12"/>
        <rFont val="Calibri"/>
        <family val="2"/>
        <scheme val="minor"/>
      </rPr>
      <t>misos</t>
    </r>
  </si>
  <si>
    <t>financiero $</t>
  </si>
  <si>
    <t>L.11.02.06</t>
  </si>
  <si>
    <t>R.11.02.06.05.00-E</t>
  </si>
  <si>
    <t>Fortalecimiento de los Procesos, Estructura y Capacidades Institucionales OAJ</t>
  </si>
  <si>
    <t>Santa Tecla</t>
  </si>
  <si>
    <t>Director</t>
  </si>
  <si>
    <t>A.11.02.06.05.02-E</t>
  </si>
  <si>
    <t>Elaborar opiniones jurídicas</t>
  </si>
  <si>
    <t>Respuesta a opiniones jurídicas solicitadas</t>
  </si>
  <si>
    <t>Nota técnica o dictámen jurídico</t>
  </si>
  <si>
    <t>A.11.02.06.05.03-E</t>
  </si>
  <si>
    <t>Revisar o elaborar instrumentos jurídicos</t>
  </si>
  <si>
    <t>Propuesta de decreto, elaborada o revisada</t>
  </si>
  <si>
    <t>Propuesta de acuerdo  ejecutivo, elaborada o revisada</t>
  </si>
  <si>
    <t>Propuesta de convenio, elaborada o revisada</t>
  </si>
  <si>
    <t>Propuesta de contratos, elaborada o revisada</t>
  </si>
  <si>
    <t>A.11.02.06.05.04-E</t>
  </si>
  <si>
    <t>Revisar o elaborar documentos que requieran de la función notarial</t>
  </si>
  <si>
    <t>Documento notarial  elaborado o revisado</t>
  </si>
  <si>
    <t>Dirección / Oficina: Oficina de Cooperación Para El Desarrollo Agropecuario (OCDA)</t>
  </si>
  <si>
    <t>R.11.02.06.06.00-E</t>
  </si>
  <si>
    <t>Iniciativas y ofertas de cooperación no reembolsables divulgadas y oficializadas</t>
  </si>
  <si>
    <t>A.11.02.06.06.01-E</t>
  </si>
  <si>
    <t>Realizar las gestiones de cooperación técnica/ financiera no reembolsable para la ejecución de iniciativas de desarrollo del sector</t>
  </si>
  <si>
    <t>Iniciativas de Cooperación, gestionadas.</t>
  </si>
  <si>
    <t>Documento de gestión de Iniciativas de Cooperación</t>
  </si>
  <si>
    <t>La libertad, Santa Tecla</t>
  </si>
  <si>
    <t>Sandra de Mata
Ricardo Iraheta
Rodolfo Cristales</t>
  </si>
  <si>
    <t>R.11.02.06.07.00-E</t>
  </si>
  <si>
    <t>Informe de la situación del estado de la cooperación no reembolsable del MAG elaborado</t>
  </si>
  <si>
    <t>A.11.02.06.07.01-E</t>
  </si>
  <si>
    <t>Actualizar y consolidar el estado de la cooperación no reembolsable nacional e internacional del MAG</t>
  </si>
  <si>
    <t>Informe, realizado</t>
  </si>
  <si>
    <t>Informe de cooperación técnica nacional e internacional del MAG</t>
  </si>
  <si>
    <t>R.11.02.06.08.00-E</t>
  </si>
  <si>
    <t>Ofertas de experiencias de cooperación institucionales oficializadas</t>
  </si>
  <si>
    <t>A.11.02.06.08.01-E</t>
  </si>
  <si>
    <t>Canalizar la oferta de experiencias exitosas de cooperación institucional</t>
  </si>
  <si>
    <t xml:space="preserve">Formulario </t>
  </si>
  <si>
    <t>Formulario de Oferta, gestionado</t>
  </si>
  <si>
    <t>Formulario de experiencias exitosas de cooperación institucional</t>
  </si>
  <si>
    <t>R.11.02.06.10.00-E</t>
  </si>
  <si>
    <t>Mapa y actualización de fuentes de cooperación no reembolsable elaborado</t>
  </si>
  <si>
    <t>A.11.02.06.10.01-E</t>
  </si>
  <si>
    <t>Elaborar inventario de las diversas fuentes de cooperación no reembolsable en coordinación con el ente rector y los cooperantes para el desarrollo del sector agropecuario en El Salvador</t>
  </si>
  <si>
    <t>Inventario</t>
  </si>
  <si>
    <t>Documento de inventario de las diveras fuentes de cooperación no reembolsable, elaborado</t>
  </si>
  <si>
    <t>Documento de inventario de las diversas fuentes de cooperación no reembolsable</t>
  </si>
  <si>
    <t>R.11.02.06.11.00-E</t>
  </si>
  <si>
    <t xml:space="preserve">Gestiones de asesoría realizadas a los Titulares del MAG </t>
  </si>
  <si>
    <t>A.11.02.06.11.01-E</t>
  </si>
  <si>
    <t>Facilitar asesorías e información a los Titulares y dependencias del MAG en temas vinculados con la Cooperación para el desarrollo agropecuario</t>
  </si>
  <si>
    <t>Asesoría e información al Despacho y las Dependencias MAG, elaborado</t>
  </si>
  <si>
    <t>Memorándum</t>
  </si>
  <si>
    <t>Área Ministerial: 2. DIRECCIÓN DE ADMINISTRACION Y FINANZAS</t>
  </si>
  <si>
    <t>Dirección / Oficina:  OFICINA FINANCIERA INSTITUCIONAL (OFI)</t>
  </si>
  <si>
    <t>Periodo de Ejecución: Ejercicio 2016</t>
  </si>
  <si>
    <t>L.12.02</t>
  </si>
  <si>
    <t>Gestión y seguimiento del presupuesto institucional</t>
  </si>
  <si>
    <t>Director de OFI</t>
  </si>
  <si>
    <t>A.12.02.01.01-O</t>
  </si>
  <si>
    <t>Asesorar, analizar, consolidar y remitir el Proyecto de Presupuesto de formulación a la DGP</t>
  </si>
  <si>
    <t>Anteproyecto de presupuesto formulado</t>
  </si>
  <si>
    <t>1. Acuerdo de Comité.
2. Notas de notificación.
3. Documento de proyecto de presupuesto</t>
  </si>
  <si>
    <t>Division de Presupuesto</t>
  </si>
  <si>
    <t>A.12.02.01.02-O</t>
  </si>
  <si>
    <t>Elaborar la Programación de la Ejecución Presupuestaria Institucional  (PEP)</t>
  </si>
  <si>
    <t>Programación de Ejecución presupuestaria, gestionada</t>
  </si>
  <si>
    <t>Documento autorizado</t>
  </si>
  <si>
    <t>A.12.02.01.03-O</t>
  </si>
  <si>
    <t>Realizar Seguimiento a la ejecución de Presupuesto Ordinario</t>
  </si>
  <si>
    <t>Informes técnicos mensual elaborados</t>
  </si>
  <si>
    <t xml:space="preserve">Cuadros y Nota de remisión </t>
  </si>
  <si>
    <t>A.12.02.01.05-O</t>
  </si>
  <si>
    <t>Avances semana Seguimiento a la ejecución de Presupuesto Ordinariol</t>
  </si>
  <si>
    <t>Informes técnicos semanal elaborados</t>
  </si>
  <si>
    <t xml:space="preserve">Cuadros y correos de  remisión </t>
  </si>
  <si>
    <t>A.12.02.01.04-O</t>
  </si>
  <si>
    <t>Realizar Seguimiento Financiero de la Inversión</t>
  </si>
  <si>
    <t>Informes financiero mensual de la Inversión elaborados</t>
  </si>
  <si>
    <t>A.12.02.01.06-O</t>
  </si>
  <si>
    <t>Avances semanal del Seguimiento Financiero de la Inversión</t>
  </si>
  <si>
    <t>Informes financiero semanal de la Inversión elaborados</t>
  </si>
  <si>
    <t>Registro de obligaciones por pagar</t>
  </si>
  <si>
    <t>La Libertad,Santa Tecla</t>
  </si>
  <si>
    <t>A.12.02.02.01-O</t>
  </si>
  <si>
    <t>Registrar las obligaciones por pagar</t>
  </si>
  <si>
    <t>División de Tesoreria</t>
  </si>
  <si>
    <t>A.12.02.02.03-O</t>
  </si>
  <si>
    <t>Ingreso de Registros en la aplicación informatica del SAFI</t>
  </si>
  <si>
    <t>Registros</t>
  </si>
  <si>
    <t>Registro ingresados</t>
  </si>
  <si>
    <t>A.12.02.02.02-O</t>
  </si>
  <si>
    <t>Solicitar asignación de cuotas para pago de obligaciones</t>
  </si>
  <si>
    <t>Validación, contabilización de hechos económicos y generación de estados financieros</t>
  </si>
  <si>
    <t>Ejecutar la Validación de registros dentro del SAFI.</t>
  </si>
  <si>
    <t>Registro Contable validado</t>
  </si>
  <si>
    <t>Comprobante Contable</t>
  </si>
  <si>
    <t>División de Contabilidad</t>
  </si>
  <si>
    <t>Efectuar Cierres contables y emitir mensualmente Estados Financieros</t>
  </si>
  <si>
    <t>Estados Financieros Generados</t>
  </si>
  <si>
    <t>1.Reportes del SAFI de cierre efectuado, 2.Estados financieros Impresos y 3.Nota de Remisión al Ministerio de Hacienda.</t>
  </si>
  <si>
    <t>Realizar Cierre contable definitivo del Ejercicio fiscal  del año anterior</t>
  </si>
  <si>
    <t>Cierre contable definitivo realizado</t>
  </si>
  <si>
    <t>1.Reportes del SAFI de cierre efectuado  y 2.nota de remisión de Estados Financieros Definitivos al Ministerio de Hacienda</t>
  </si>
  <si>
    <t xml:space="preserve">Generacion de Estados Financieros institucionales  </t>
  </si>
  <si>
    <t>Área Ministerial: Dirección de Administración y finanzas</t>
  </si>
  <si>
    <t>Dirección / Oficina: Oficina General Administrativa (OGA)</t>
  </si>
  <si>
    <t>R.11.01.01.01.00-E</t>
  </si>
  <si>
    <t xml:space="preserve">Sistema de sugerencias, quejas y aviso de los ciudadanos implementado </t>
  </si>
  <si>
    <t>L.11.01.01</t>
  </si>
  <si>
    <t>A.11.01.01.01.01-E</t>
  </si>
  <si>
    <t>Diseñar Sistema de Quejas y Avisos Institucional</t>
  </si>
  <si>
    <t>Propuesta de Sistema de quejas y aviso institucional, diseñado.</t>
  </si>
  <si>
    <t>Documento de diseño del Sistema de quejas y aviso institucional</t>
  </si>
  <si>
    <t>Santa Tecla la Libertad</t>
  </si>
  <si>
    <t>Lic. Elsa Edith Bernal</t>
  </si>
  <si>
    <t>A.11.01.01.01.02-E</t>
  </si>
  <si>
    <t>Diseñar Plan de Implementación del Sistema de Quejas y Avisos</t>
  </si>
  <si>
    <t>Plan de implementación del Sistema de Quejas y Avisos, diseñado.</t>
  </si>
  <si>
    <t>Plan de implementación del Sistema de Quejas y Avisos</t>
  </si>
  <si>
    <t>L.11.02.03</t>
  </si>
  <si>
    <t>R.11.02.03.03.01-E</t>
  </si>
  <si>
    <t>Plan de reforma institucional puesto en marcha</t>
  </si>
  <si>
    <t>DDI</t>
  </si>
  <si>
    <t>A.11.02.03.03.03-E</t>
  </si>
  <si>
    <t>Formular proyectos de mejora institucional</t>
  </si>
  <si>
    <t xml:space="preserve">
Proyecto de mejora institucional, diseñado
</t>
  </si>
  <si>
    <t>Documento de proyecto de mejora institucional.</t>
  </si>
  <si>
    <t>R.11.02.03.04.00-E</t>
  </si>
  <si>
    <t>Herramientas de dirección estratégica adoptados</t>
  </si>
  <si>
    <t>A.11.02.03.04.02-E</t>
  </si>
  <si>
    <t>Institucionalizar métodos para el análisis y solución de problemas</t>
  </si>
  <si>
    <t>Guia</t>
  </si>
  <si>
    <t>Guia sobre Herramientas de Análisis y Solución de Problemas diseñado</t>
  </si>
  <si>
    <t xml:space="preserve">Evento
</t>
  </si>
  <si>
    <t>Capacitación en Modelos de Excelencia y Herramientas de Análisis y Solución de Problemas, realizada.</t>
  </si>
  <si>
    <t>Listado de participantes firmado y el contenido del curso</t>
  </si>
  <si>
    <t>A.11.02.03.04.03-E</t>
  </si>
  <si>
    <t>Adoptar herramientas de calidad y mejoramiento continuo para la excelencia</t>
  </si>
  <si>
    <t>sobre Herramientas de calidad y mejoramiento continuo para la excelencia diseñado.</t>
  </si>
  <si>
    <t>Capacitación sobre Herramientas de calidad y mejoramiento continuo para la excelencia, realizada.</t>
  </si>
  <si>
    <t>L.11.02.04</t>
  </si>
  <si>
    <t>R.11.02.04.01.00-E</t>
  </si>
  <si>
    <t>Enfoque a procesos implementados</t>
  </si>
  <si>
    <t>A.11.02.04.01.01-E</t>
  </si>
  <si>
    <t>Identificar los procesos  de la institución</t>
  </si>
  <si>
    <t>Listado</t>
  </si>
  <si>
    <t>Procesos  de la institución, identificados</t>
  </si>
  <si>
    <t>Listado maestro de procesos.</t>
  </si>
  <si>
    <t>A.11.02.04.01.02-E</t>
  </si>
  <si>
    <t>Describir cada uno de los procesos</t>
  </si>
  <si>
    <t>Macroproceso</t>
  </si>
  <si>
    <t xml:space="preserve">Cada uno de los procesos, descritos </t>
  </si>
  <si>
    <t>Fichas descriptivas de procesos.</t>
  </si>
  <si>
    <t>A.11.02.04.01.03-E</t>
  </si>
  <si>
    <t>Rediseñar procesos con base en las necesidades y expectativas de los ciudadanos</t>
  </si>
  <si>
    <t>Procesos con base en las necesidades y expectativas de los ciudadanos, rediseñados</t>
  </si>
  <si>
    <t>Documentos de procesos</t>
  </si>
  <si>
    <t>A.11.02.04.01.04-E</t>
  </si>
  <si>
    <t>Adecuar la organización al enforque por procesos</t>
  </si>
  <si>
    <t>Propuesta de reorganizacion institucional diseñada.</t>
  </si>
  <si>
    <t>Documento de propuesta</t>
  </si>
  <si>
    <t>R.11.02.04.02.00-E</t>
  </si>
  <si>
    <t>Sistemas de gestión normalizados</t>
  </si>
  <si>
    <t>A.11.02.04.02.01-E</t>
  </si>
  <si>
    <t>Implementar Sistema de Gestión de la Calidad ISO 9000</t>
  </si>
  <si>
    <t>Política de Calidad, elaborada</t>
  </si>
  <si>
    <t>Documento de Politica de Calidad</t>
  </si>
  <si>
    <t>Lic. Alba Nelly del Cid</t>
  </si>
  <si>
    <t>Manual</t>
  </si>
  <si>
    <t>Manual de Calidad, elaborado</t>
  </si>
  <si>
    <t>Documento Manual de Calidad</t>
  </si>
  <si>
    <t>Procedimiento</t>
  </si>
  <si>
    <t>Procedimientos normativos, elaborados</t>
  </si>
  <si>
    <t>Documento de procedimientos Normativos</t>
  </si>
  <si>
    <t>A.11.02.04.02.02-E</t>
  </si>
  <si>
    <t>Gestionar el mantenimiento y ampliación de la Acreditación de Laboratorios de Ensayos, bajo la Norma ISO IEC 17025</t>
  </si>
  <si>
    <t>Gestión</t>
  </si>
  <si>
    <t>Acreditación  de ensayos de Laboratorios Veterinarios para año en curso, gestionada</t>
  </si>
  <si>
    <t>Documento de gestión ante el OSA</t>
  </si>
  <si>
    <t>Sistema de Gestión documental, actualizado</t>
  </si>
  <si>
    <t>Documentos  actualizados de Lista Maestra</t>
  </si>
  <si>
    <t xml:space="preserve">
Informe</t>
  </si>
  <si>
    <t>Seguimiento del Sistema de Gestión de Calidad de los Laboratorios Veterinarios con el fin de que cumplan los requisitos de la norma ISO-IEC 17025, realizado</t>
  </si>
  <si>
    <t>Documento de informe de seguimiento del Sistema de Gestión de Calidad de los Laboratorios Veterinarios</t>
  </si>
  <si>
    <t>R.11.02.04.03.00-E</t>
  </si>
  <si>
    <t>Proceso continuo de aprendizaje, innovación y mejora de la calidad implementado</t>
  </si>
  <si>
    <t>A.11.02.04.03.01-E</t>
  </si>
  <si>
    <t>Sensibilizar y capacitar en gestión de la calidad y en el uso de herramientas de calidad</t>
  </si>
  <si>
    <t>Eventos de Capacitación en SGC, normas de calidad,  proyectos de mejoramiento continuo y uso de herramientas de calidad, realizados</t>
  </si>
  <si>
    <t>Listado de asistencia por evento de capacitación en calidad</t>
  </si>
  <si>
    <t>R.11.02.06.19.00-E</t>
  </si>
  <si>
    <t>Optimización y calidad de los servicios prestados por la División de infraestructura</t>
  </si>
  <si>
    <t>A.11.02.06.19.01-E</t>
  </si>
  <si>
    <t>Formulación de Carpetas Técnicas para la Rehabilitación y/o Construcción de Obras de Infraestructura</t>
  </si>
  <si>
    <t>Proyecto de Diseño para Rehabilitación y/o Construcción de Obras de Infraestructura, elaborado</t>
  </si>
  <si>
    <t>Documento de Carpeta Técnica con Planos, Presupuesto, Especificaciones Técnicas</t>
  </si>
  <si>
    <t>Ing. Saúl Avelar</t>
  </si>
  <si>
    <t>A.11.02.06.19.02-E</t>
  </si>
  <si>
    <t>Formular un plan anual para el diseño de Carpetas Técnicas para la Rehabilitación y/o Construcción de Obras de Infraestructura</t>
  </si>
  <si>
    <t>Informes de supervisión, elaborado</t>
  </si>
  <si>
    <t>Obra de Infraestructura Construida y/o Reconstruida</t>
  </si>
  <si>
    <t>R.11.02.06.20.00-E</t>
  </si>
  <si>
    <t>La división de informática se ha reconvertido a una dependencia orientada al desarrollo tecnológico institucional (Actualmente esta orientada a servicios)</t>
  </si>
  <si>
    <t>Informática</t>
  </si>
  <si>
    <t>Desarrollar competencias para la especialización del personal de Informática para la mejor gestión de TIC´s en la institución</t>
  </si>
  <si>
    <t xml:space="preserve">Competencias de especialización y dotación personal a la gestión de TIC´s, desarrolladas </t>
  </si>
  <si>
    <t>Personal contratado y personal actual capacitado.</t>
  </si>
  <si>
    <t>Personal Directivo de Informática</t>
  </si>
  <si>
    <t>Administrar 4 contratos de TIC´s para la gestión institucional, 3 contratos proforma para el despacho, 4 contratos para servicios de TIC</t>
  </si>
  <si>
    <t>Contratos administrados</t>
  </si>
  <si>
    <t>1. Expedientes de contratos elaborados.</t>
  </si>
  <si>
    <t>Desarrollar políticas para la gestión de TI</t>
  </si>
  <si>
    <t>Políticas documentadas</t>
  </si>
  <si>
    <t>1. Documentos de políticas elaborado</t>
  </si>
  <si>
    <t>A.11.02.06.20.05-E</t>
  </si>
  <si>
    <t>Implementar sistemas informáticos ya desarrollados</t>
  </si>
  <si>
    <t>Cantidad</t>
  </si>
  <si>
    <t>Sistemas de información implementados</t>
  </si>
  <si>
    <t>1. Documento de implementación desarrollado
2. Entrenamiento y difusión</t>
  </si>
  <si>
    <t>Desarrollo de nuevos sistemas o herramientas informáticas para la gestión administrativa del MAG</t>
  </si>
  <si>
    <t>Sistema de Información Desarrollados</t>
  </si>
  <si>
    <t>1. Proceso de análisis ejecutado (documento)
2. Diseño de la herramienta
3. Desarrollo de la herramienta software
4. Documento de Pruebas e implementación desarrollado.</t>
  </si>
  <si>
    <t>Proporcionar asistencia técnica especializada en la dirección de proyectos de desarrollo por la vía del sub contrato</t>
  </si>
  <si>
    <t>Asistencia técnica especializada en la dirección de proyectos de desarrollo por la vía del sub contrato, proporcionada</t>
  </si>
  <si>
    <t>1. Documentos de análisis de requerimientos (documento)
2. Actas de seguimiento</t>
  </si>
  <si>
    <t>Proporcionar soporte tecnológico para el proceso de entrega de insumos agrícolas para los campesinos de subsistencia</t>
  </si>
  <si>
    <t>Soporte tecnológico para el proceso de entrega de insumos agrícolas para los campesinos de subsistencia, proporcionado</t>
  </si>
  <si>
    <t>1. Evaluación de requerimientos de la DGEA (documento)
2. Sistemas desarrollados 
3. Contratos a los que se les da seguimiento por apoyo al proceso (actas de entrega de bienes, controles, etc.)</t>
  </si>
  <si>
    <t>Proporcionar mantenimiento evolutivo de la plataforma tecnológica y de sistemas institucional</t>
  </si>
  <si>
    <t>Mantenimiento evolutivo de la plataforma tecnológica y de sistemas institucional, Proporcionado</t>
  </si>
  <si>
    <t>1. Proceso de análisis ejecutado (documento)
2. Diseño de la herramienta
3. Desarrollo de la herramienta software
4. Documento de Pruebas e implementación.</t>
  </si>
  <si>
    <t>Mantenimiento preventenivo de equipo informatico y de telecomunicaciones</t>
  </si>
  <si>
    <t>Equipo informático con mantenimiento realizado</t>
  </si>
  <si>
    <t>1. Hoja de reporte de mantenimiento.
2. Viñetas de mantenimiento generadas y colocadas en equipo.</t>
  </si>
  <si>
    <t>Proporcionar soporte y asistencia técnica a los usuarios finales</t>
  </si>
  <si>
    <t>Soporte y asistencia técnica a los usuarios finales, proporcionado</t>
  </si>
  <si>
    <t>1. Sistema de Requerimientos
2. correos electrónicos
3. Notas de requerimientos
4. Hoja de reporte de servicio</t>
  </si>
  <si>
    <t>Gestionar los procesos técnicos administrativos de recursos humanos en cumplimiento a las normas y políticas institucionales</t>
  </si>
  <si>
    <t>Recursos Humanos</t>
  </si>
  <si>
    <t>A.12.01.01.01-O</t>
  </si>
  <si>
    <t>Elaborar documentos de acuerdos, resoluciones, planillas, propuestas, refrenda de personal, presupuestos y otras operaciones en materia de recursos humanos</t>
  </si>
  <si>
    <t>Informe de documentos de las diferentes operaciones en materia de recursos humanos, elaborada</t>
  </si>
  <si>
    <t>Informe de documentos en materia de recursos humanos</t>
  </si>
  <si>
    <t>Santa Tecla, La Libertad y Soyapango, San Salvador</t>
  </si>
  <si>
    <t>Licda. María del Carmen Ayala</t>
  </si>
  <si>
    <t>A.12.01.01.02-O</t>
  </si>
  <si>
    <t>Desarrollar los procesos de reclutamiento, selección e inducción , evaluación del desempeño y actualización de los perfiles de puestos del MAG</t>
  </si>
  <si>
    <t>Informe trimestral de desarrollo de los Procesos de reclutamiento, selección e inducción , evaluación del desempeño y actualización de los perfiles de puestos del MAG, elaborado</t>
  </si>
  <si>
    <t>Informe de  procesos de reclutamiento, selección e inducción , evaluación del desempeño y actualización de los perfiles de puestos del MAG</t>
  </si>
  <si>
    <t>A.12.01.01.03-O</t>
  </si>
  <si>
    <t>Capacitar en las competencias de jefaturas técnicas, administrativas y de apoyo</t>
  </si>
  <si>
    <t>Personal capacitado en las competencias de jefaturas técnicas, administrativas y de apoyo, realizados</t>
  </si>
  <si>
    <t>Informes y Registros de capacitaciones en las competencias de jefaturas técnicas, administrativas y de apoyo incluyendo la lista de participantes firmada y el contenido del curso</t>
  </si>
  <si>
    <t>Santa Tecla, Soyapango, Santa Ana, San Salvador y San Miguel</t>
  </si>
  <si>
    <t>A.12.01.03-E</t>
  </si>
  <si>
    <t>A.12.01.01.04-O</t>
  </si>
  <si>
    <t>Ejecutar acciones orientadas al bienestar del personal del MAG, en lo social, en la seguridad y salud ocupacional</t>
  </si>
  <si>
    <t>El personal  del MAG en acciones orientadas al bienestar, en lo social, en la seguridad y salud ocupacional, atendido</t>
  </si>
  <si>
    <t>Informes consolidados de las acciones orientadas al bienestar, en lo social, en la seguridad y salud ocupacional</t>
  </si>
  <si>
    <t>Santa Tecla, Departamento de La Libertad</t>
  </si>
  <si>
    <t>A.12.01.04-E</t>
  </si>
  <si>
    <t>Informes conolidados</t>
  </si>
  <si>
    <t>Facilitar bienes y servicios para uso y funcionamiento  de mobiliario, equipo, vehículos e instalaciones</t>
  </si>
  <si>
    <t>Logística</t>
  </si>
  <si>
    <t>A.12.01.02.01-O</t>
  </si>
  <si>
    <t>Elaborar conciliaciones entre inventarios y estados financieros de Fondos GOES y FAES de SEDE, DGFCR, DGEA, CENDEPESCA DGG y DGSV</t>
  </si>
  <si>
    <t>Cuadro</t>
  </si>
  <si>
    <t xml:space="preserve">Cuadros de conciliaciones entre inventarios y estados financieros de Fondos GOES y FAES de SEDE, DGFCR, DGEA, CENDEPESCA, DGG y DGSV, elaborado </t>
  </si>
  <si>
    <t>Cuadro de conciliaciones de inventario y financieros</t>
  </si>
  <si>
    <t>Santa Tecla Depto. La Libertad.</t>
  </si>
  <si>
    <t>A.I. Remberto Rodríguez</t>
  </si>
  <si>
    <t>A.12.01.02.02-O</t>
  </si>
  <si>
    <t>Actualizar Inventario de bienes muebles e intangible</t>
  </si>
  <si>
    <t>Inventario de bienes muebles e intangible, actualizado</t>
  </si>
  <si>
    <t>Informe de Inventario de Bienes</t>
  </si>
  <si>
    <t>A.12.01.02.03-O</t>
  </si>
  <si>
    <t>Actualizar Inventario de bienes inmuebles</t>
  </si>
  <si>
    <t>Inventario de bienes inmuebles actualizado</t>
  </si>
  <si>
    <t>Informe de Inventario de Bienes Inmuebles</t>
  </si>
  <si>
    <t>A.12.01.02.04-O</t>
  </si>
  <si>
    <t>Formular el Plan de Mantenimiento preventivo y correctivo de los vehículos automotores del MAG</t>
  </si>
  <si>
    <t>Plan de Mantenimiento preventivo y correctivo de los vehículos automotores del MAG, elaborado</t>
  </si>
  <si>
    <t>Plan de mantenimiento</t>
  </si>
  <si>
    <t>A.12.01.02.05-O</t>
  </si>
  <si>
    <t>Realizar seguimiento al sistema de control de costos de mantenimiento preventivo y correctivo de los vehículos automotores del MAG</t>
  </si>
  <si>
    <t xml:space="preserve">Informe </t>
  </si>
  <si>
    <t xml:space="preserve">Informe de seguimiento del sistema de control de costos de mantenimiento preventivo y correctivo de los vehículos automotores del MAG, elaborado
</t>
  </si>
  <si>
    <t>Informe de control de costos de mantenimiento preventivo y correctivo de los vehículos</t>
  </si>
  <si>
    <t>A.12.01.02.06-O</t>
  </si>
  <si>
    <t>Realizar Seguimiento al proceso de suministro de combustible a los  vehículos del MAG</t>
  </si>
  <si>
    <t>Informe del  proceso de suministro de combustible a los  vehículos del MAG, elaborado</t>
  </si>
  <si>
    <t>Informe de suministro de combustible</t>
  </si>
  <si>
    <t>A.12.01.02.07-O</t>
  </si>
  <si>
    <t>Realizar Seguimiento al proceso de control de existencias y liquidación de combustible por las diferentes fuentes de financiamiento</t>
  </si>
  <si>
    <t>Informe de seguimiento al proceso de control de existencias y liquidación de combustible por las diferentes fuentes de financiamiento, elaborado</t>
  </si>
  <si>
    <t>Informe de control de existencias y liquidación de combustible</t>
  </si>
  <si>
    <t>A.12.01.02.08-O</t>
  </si>
  <si>
    <t>Monitorear el proceso de emisión de permisos de circulación en misiones oficiales en horas no hábiles, fines de semana y días feriados</t>
  </si>
  <si>
    <t>Informe de proceso de emisión de permisos de circulación en misiones oficiales en horas no hábiles, fines de semana y días feriados, elaborados</t>
  </si>
  <si>
    <t xml:space="preserve">Informes de permisos de circulación en misiones oficiales </t>
  </si>
  <si>
    <t>A.12.01.02.09-O</t>
  </si>
  <si>
    <t>Realizar el proceso de refrenda de tarjetas de circulación de los vehículos automotores del MAG</t>
  </si>
  <si>
    <t>Informe de refrenda de tarjetas de circulación de los vehículos automotores del MAG, elaborado</t>
  </si>
  <si>
    <t>Informe de refrenda de tarjetas de circulación de los vehículos automotores del MAG</t>
  </si>
  <si>
    <t>A.12.01.02.10-O</t>
  </si>
  <si>
    <t>Realizar el proceso de renovación de seguro de vehículos automotores del MAG</t>
  </si>
  <si>
    <t>Informe de renovación de seguro de vehículos automotores del MAG, elaborado</t>
  </si>
  <si>
    <t>Informe de renovación de seguro de vehículos automotores del MAG</t>
  </si>
  <si>
    <t>A.12.01.02.11-O</t>
  </si>
  <si>
    <t>Realizar el seguimiento a la ejecución de los contratos de Mantenimiento preventivo y correctivo, transporte colectivo, adquisición de combustible y adquisición de llantas</t>
  </si>
  <si>
    <t>Informe de seguimiento de los contratos de Mantenimiento preventivo y correctivo, transporte colectivo, adquisición de combustible y adquisición de llantas, elaborado</t>
  </si>
  <si>
    <t>Informe de seguimiento de los contratos de Mantenimiento preventivo y correctivo, transporte colectivo, adquisición de combustible y adquisición de llantas</t>
  </si>
  <si>
    <t>A.12.01.02.12-O</t>
  </si>
  <si>
    <t xml:space="preserve">Dar seguimiento a la ejecución  de los planes de adquisición y contrataciones de bienes y servicios del MAG
</t>
  </si>
  <si>
    <t>Informe de ejecución  de los planes de adquisición, contrataciones de bienes y servicios del MAG, elaborado</t>
  </si>
  <si>
    <t xml:space="preserve">Informe de  seguimiento de los planes de adquisición y contrataciones de bienes y servicios del MAG </t>
  </si>
  <si>
    <t>A.12.01.02.13-O</t>
  </si>
  <si>
    <t xml:space="preserve">Dar seguimiento a la ejecución de asignaciones presupuestarias de bienes y servicios del MAG </t>
  </si>
  <si>
    <t>Informe de seguimiento a la ejecución de asignaciones presupuestarias de bienes y servicios del MAG, elaborado</t>
  </si>
  <si>
    <t>Informe de la ejecución de Asignaciones Presupuestarias de bienes y servicios del MAG</t>
  </si>
  <si>
    <t>A.12.01.02.14-O</t>
  </si>
  <si>
    <t xml:space="preserve">Informe de seguimiento a la ejecución de los contratos de servicios de limpieza, telecomunicaciones, reproducciones y correspondencia del MAG, elaborado
</t>
  </si>
  <si>
    <t xml:space="preserve">Informe de seguimiento a los contratos de servicios de limpieza, telecomunicaciones, reproducciones y correspondencia
</t>
  </si>
  <si>
    <t>A.12.01.02.15-O</t>
  </si>
  <si>
    <t>Elanorar un Plan de mejora para la prestación de servicios de seguridad en las instalaciones del MAG a nivel nacional</t>
  </si>
  <si>
    <t xml:space="preserve">Plan de mejora para la prestación de servicios de seguridad en las instalaciones del MAG a nivel nacional, elaborado </t>
  </si>
  <si>
    <t>Plan de mejora para la prestación de servicios de seguridad en las instalaciones del MAG</t>
  </si>
  <si>
    <t>Facilitar los servicios de atención administrativa a los diferentes usuarios de las Unidades Organizativas con sede en el Matazano</t>
  </si>
  <si>
    <t>Admón.. Matazano</t>
  </si>
  <si>
    <t>A.12.01.03.01-O</t>
  </si>
  <si>
    <t>Facilitar los Servicios de atención Medica para el personal con sede en el Matazano</t>
  </si>
  <si>
    <t>Informe de Servicios de atención Medica para el personal con sede en el Matazano, elaborado</t>
  </si>
  <si>
    <t>Informe de servicios de atención medica</t>
  </si>
  <si>
    <t>Cantón el Matazano Soyapango</t>
  </si>
  <si>
    <t>Ing. Luis Napoleón Torres Berrios</t>
  </si>
  <si>
    <t>A.12.01.03.02-O</t>
  </si>
  <si>
    <t>Facilitar los servicios de atención Odontológica para el personal con sede en el Matazano</t>
  </si>
  <si>
    <t>Informe de servicios de atención odontológica para el personal con sede en el Matazano, elaborado</t>
  </si>
  <si>
    <t>Informe de servicios de atención odontológica</t>
  </si>
  <si>
    <t>A.12.01.03.03-O</t>
  </si>
  <si>
    <t>Facilitar bienes, servicios, mobiliario, equipo, vehículos para uso y funcionamiento instalaciones del Matazano</t>
  </si>
  <si>
    <t>Informe de bienes, servicios, mobiliario, equipo, vehículos para uso y funcionamiento de las instalaciones del Matazano, elaborado</t>
  </si>
  <si>
    <t>Informe de bienes, servicios, mobiliario, equipo y vehículos del Matazano</t>
  </si>
  <si>
    <t>A.12.01.03.04-O</t>
  </si>
  <si>
    <t>Actualizar el inventario de bienes muebles del Matazano</t>
  </si>
  <si>
    <t>Informe del inventario actualizado de bienes muebles del Matazano, elaborado</t>
  </si>
  <si>
    <t>Informe de Inventario de bienes muebles del Matazano</t>
  </si>
  <si>
    <t>A.12.01.03.05-O</t>
  </si>
  <si>
    <t>Realizar seguimiento al proceso de control de existencias y liquidación de combustible por las diferentes fuentes de financiamiento del Matazano</t>
  </si>
  <si>
    <t>Informe de seguimiento al proceso de control de existencias y liquidación de combustible por las diferentes fuentes de financiamiento del Matazano, elaborado</t>
  </si>
  <si>
    <t>A.12.01.03.06-O</t>
  </si>
  <si>
    <t>Realizar el proceso de emisión de permisos de circulación en misiones oficiales en horas no habilites, fines de semana y días feriados del Matazano</t>
  </si>
  <si>
    <t>Informe de proceso de emisión de permisos de circulación en misiones oficiales en horas no habilites, fines de semana y días feriados del Matazano, elaborados</t>
  </si>
  <si>
    <t xml:space="preserve">Informes de permisos de circulación de vehículos en misiones oficiales </t>
  </si>
  <si>
    <t>A.12.01.03.07-O</t>
  </si>
  <si>
    <t>Realizar seguimiento a la ejecución de los planes de mantenimiento preventivo y correctivo de los vehículos automotores del Matazano</t>
  </si>
  <si>
    <t>Informe de seguimiento a la ejecución de los planes de mantenimiento preventivo y correctivo de los vehículos automotores del Matazano, elaborado</t>
  </si>
  <si>
    <t>Informe de seguimiento de mantenimiento preventivo y correctivo de los vehículos automotores</t>
  </si>
  <si>
    <t>A.12.01.03.08-O</t>
  </si>
  <si>
    <t>Dar seguimiento a la Ejecución de los contratos de servicios de limpieza, telecomunicaciones, reproducciones y correspondencia del Matazano</t>
  </si>
  <si>
    <t>Informe de seguimiento a la  Ejecución de los contratos de servicios de limpieza, telecomunicaciones, reproducciones y correspondencia del Matazano, elaborado</t>
  </si>
  <si>
    <t xml:space="preserve">Informe de los contratos de servicios del Matazano, elaborado
</t>
  </si>
  <si>
    <t>Área Ministerial: Despacho Ministerial</t>
  </si>
  <si>
    <t>Dirección / Oficina: OFICINA DE INFORMACIÓN Y RESPUESTA (OIR)</t>
  </si>
  <si>
    <t>Periodo de Ejecución: Enero - Diciembre de 2016</t>
  </si>
  <si>
    <t>L.11.05.01</t>
  </si>
  <si>
    <t>Fortalecer los mecanismos de transparencia y acceso a la información institucional</t>
  </si>
  <si>
    <t>Ana Patricia Sánchez de Cruz</t>
  </si>
  <si>
    <t>Implementar acciones que permitan normar los procesos de gestión de solicitudes de información y de datos personales</t>
  </si>
  <si>
    <t>Manual de Procedimientos de la OIR, elaborado</t>
  </si>
  <si>
    <t>La OIR se compromete a elaborar el manual, la aprobación dependerá de las gestiones que realice la DDI/OGA ante el despacho ministerial</t>
  </si>
  <si>
    <t>L.11.05.06</t>
  </si>
  <si>
    <t>Implementar un sistema de quejas y avisos que garantice respuestas y confidencialidad a la ciudadanía y que provea asistencia para presentar demandas por incumplimiento de deberes de los funcionarios y funcionarias del MAG</t>
  </si>
  <si>
    <t>Efectuar acciones que permitan implementar el sistema integral de quejas y avisos</t>
  </si>
  <si>
    <t>Sistema Integral de Quejas y Avisos, implementado</t>
  </si>
  <si>
    <t>El cumplimiento de esta meta dependerá de los lineamientos, e instrumentos informáticos que emita la STPCTA de CAPRES</t>
  </si>
  <si>
    <t>L.11.05.08</t>
  </si>
  <si>
    <t>Capacitar al personal sobre la Ley de Acceso a la Información Pública</t>
  </si>
  <si>
    <t xml:space="preserve">Desarrollar un programa de divulgación de la Ley de Acceso a la Información Pública para los empleados y la ciudadanía </t>
  </si>
  <si>
    <t>Programa, desarrollado</t>
  </si>
  <si>
    <t>L.12.07</t>
  </si>
  <si>
    <t>Ejecutar los procesos de acceso a la información y participación ciudadana</t>
  </si>
  <si>
    <t>Santa Tecla La Libertad</t>
  </si>
  <si>
    <t xml:space="preserve">Gestionar solicitudes de información pública, oficiosa, reservada y confidencial </t>
  </si>
  <si>
    <t>Solicitud de información, atendida</t>
  </si>
  <si>
    <t xml:space="preserve">Registro </t>
  </si>
  <si>
    <t xml:space="preserve">Actualizar la Información Oficiosa y el Índice de Información Reservada del MAG </t>
  </si>
  <si>
    <t>Información Oficiosa e Índice de Información Reservada del MAG, actualizados y disponibles al público</t>
  </si>
  <si>
    <t>Documentos que contienen Información Oficiosa, Índice de Información Reservada y Declaratorias de Reserva</t>
  </si>
  <si>
    <t xml:space="preserve">Gestionar la consulta ciudadana sobre información del quehacer del MAG </t>
  </si>
  <si>
    <t>Consulta ciudadana, atendida</t>
  </si>
  <si>
    <t xml:space="preserve">Registro de consultas atendidas
</t>
  </si>
  <si>
    <t xml:space="preserve">Tramitar las quejas, reclamos, sugerencias y propuestas presentadas por la población </t>
  </si>
  <si>
    <t>Quejas, reclamos, sugerencias y propuestas, atendidas</t>
  </si>
  <si>
    <t>Registro de quejas, reclamos, propuestas o sugerencias atendidas</t>
  </si>
  <si>
    <t xml:space="preserve">Divulgar la Ley de Acceso a la Información Pública (LAIP) a los servidores públicos y usuarios del MAG </t>
  </si>
  <si>
    <t>Persona, capacitada</t>
  </si>
  <si>
    <t>Informe, ayudas memorias o listas de asistencia</t>
  </si>
  <si>
    <t>Dirección / Oficina: Dirección General de Desarrollo de la Pesca y la Acuicultura -CENDEPESCA</t>
  </si>
  <si>
    <t>R.01.01.02.09.00-E</t>
  </si>
  <si>
    <t>Administración y ordenamiento de la pesca y la acuicultura</t>
  </si>
  <si>
    <t>Lic. Wilberto Rodríguez.</t>
  </si>
  <si>
    <t>A.01.01.02.09.01-E</t>
  </si>
  <si>
    <t>Establecer medidas de ordenación pesqueras y acuícolas</t>
  </si>
  <si>
    <t>Resolución</t>
  </si>
  <si>
    <t>Medida de ordenación, establecida</t>
  </si>
  <si>
    <t>1. Estudio técnico de base.                      2. Resolución publicada y divulgada.                          3. Informe de implementación</t>
  </si>
  <si>
    <t>Depto. Sonsonate: Acajutla.         Depto. La Libertad: La Libertad.                      Depto. La  Paz: San Luís La Herradura.              Depto. Chalatenango: El Paraíso.                                Depto. Usulután:  Puerto El Triunfo.               Depto. La Unión: La Unión.</t>
  </si>
  <si>
    <t>Licda. Rosa Josefina Trigueros.</t>
  </si>
  <si>
    <t xml:space="preserve">El establecimiento de medidas de ordenación para la pesca y la acuicultura, será apoyado con estudios técnicos elaborados por la División de Investigación Pesquera y Acuícola, bajo la responsabilidad del Lic. José Luís Salazar.                                                                                                                        La recolección de los datos será de responsabilidad de los Coordinadores Regionales y el procesamiento y el análisis de la información recolectada será responsabilidad del Departamento de Estadísticas.                            </t>
  </si>
  <si>
    <t>A.01.01.02.09.02-E</t>
  </si>
  <si>
    <t>Emitir y registrar autorizaciones de pesca y acuicultura</t>
  </si>
  <si>
    <t>Autorización de pesca y acuicultura, emitida e inscrita</t>
  </si>
  <si>
    <t>1. Registro nacional de pesca y acuicultura.                2. Informe.</t>
  </si>
  <si>
    <t>A.01.01.02.09.03-E</t>
  </si>
  <si>
    <t>Realizar inspecciones de monitoreo, control y vigilancia de las actividades pesqueras y acuícolas</t>
  </si>
  <si>
    <t xml:space="preserve">Inspección </t>
  </si>
  <si>
    <t>Inspección, realizada</t>
  </si>
  <si>
    <t>1. Bitácora de inspecciones.          2. Informe.</t>
  </si>
  <si>
    <t>Ing. César Vanegas.</t>
  </si>
  <si>
    <t>A.01.01.02.09.04-E</t>
  </si>
  <si>
    <t>Emitir y registrar licencias de embarcaciones pesqueras</t>
  </si>
  <si>
    <t>Licencia de embarcación, emitida e inscrita</t>
  </si>
  <si>
    <t>Licda. Rosa Josefina Trigueros</t>
  </si>
  <si>
    <t>A.01.01.02.09.05-E</t>
  </si>
  <si>
    <t>Elaborar informes de generación de estadísticas pesqueras</t>
  </si>
  <si>
    <t>Informe de estadísticas pesqueras, elaborado</t>
  </si>
  <si>
    <t>1. Boleta de recolección de datos.                           2. Informe.</t>
  </si>
  <si>
    <t>Ing. Miguel Valle.</t>
  </si>
  <si>
    <t>A.01.01.02.09.06-E</t>
  </si>
  <si>
    <t>Elaborar la georeferenciación de productores pesqueros</t>
  </si>
  <si>
    <t>Productor Pesquero.</t>
  </si>
  <si>
    <t>Productor y productora pesquero (a) georeferenciado.</t>
  </si>
  <si>
    <t>1. Base de datos.                             2. Informe.</t>
  </si>
  <si>
    <t>Productora Pesquera.</t>
  </si>
  <si>
    <t>R.01.01.02.10.00-E</t>
  </si>
  <si>
    <t>Desarrollo y fomento del sub-sector acuícola</t>
  </si>
  <si>
    <t>15</t>
  </si>
  <si>
    <t>100</t>
  </si>
  <si>
    <t>A.01.01.02.10.04-E</t>
  </si>
  <si>
    <t>Producir semilla para el desarrollo de la acuicultura</t>
  </si>
  <si>
    <t>Millones de alevín</t>
  </si>
  <si>
    <t>Millones de semilla para desarrollo de la acuicultura, producida</t>
  </si>
  <si>
    <t>1. Plan de producción de semilla.                         2. Informe de distribución de semilla.</t>
  </si>
  <si>
    <t>25</t>
  </si>
  <si>
    <t>Depto. Sonsonate: Izalco;                        Depto.: La Libertad: San Pablo Tacachico;                  Depto. San Vicente: Tecoluca;                   Depto. Usulután: Puerto El Triunfo.</t>
  </si>
  <si>
    <t xml:space="preserve">Licda. Cecilia Aguillón. </t>
  </si>
  <si>
    <t>Millones de post-larva de camarón</t>
  </si>
  <si>
    <t>Millones de ostra</t>
  </si>
  <si>
    <t>Millones de concha</t>
  </si>
  <si>
    <t>A.01.01.02.10.05-E</t>
  </si>
  <si>
    <t>Establecer organizaciones de productores  acuícolas para la gestión de la producción y comercialización</t>
  </si>
  <si>
    <t xml:space="preserve">Organización </t>
  </si>
  <si>
    <t>Organización acuícola, establecida</t>
  </si>
  <si>
    <t>1. Plan de organización.             2. Listado de productores organizados.              3. Informe.</t>
  </si>
  <si>
    <t>Licda. Reina Pacheco.</t>
  </si>
  <si>
    <t>Hombre adulto</t>
  </si>
  <si>
    <t>Mujer adulta</t>
  </si>
  <si>
    <t>A.01.01.02.10.07-E</t>
  </si>
  <si>
    <t>Elaborar informe de generación de estadísticas acuícolas</t>
  </si>
  <si>
    <t>Informe de estadísticas acuícolas, elaborado</t>
  </si>
  <si>
    <t>A.01.01.02.10.08-E</t>
  </si>
  <si>
    <t>Elaborar la georeferenciación de productores acuícolas</t>
  </si>
  <si>
    <t>Productor acuícola.</t>
  </si>
  <si>
    <t>Productor y productora acuícola georeferenciado.</t>
  </si>
  <si>
    <t>1. Base de datos.                          2. Informe.</t>
  </si>
  <si>
    <t>Licda. Cecilia Aguillón, Licda. Reina Pacheco.</t>
  </si>
  <si>
    <t>Productora acuícola.</t>
  </si>
  <si>
    <t>R.01.01.02.11.00-E</t>
  </si>
  <si>
    <t>Desarrollo y fomento del sub-sector pesquero</t>
  </si>
  <si>
    <t>A.01.01.02.11.01-E</t>
  </si>
  <si>
    <t>Brindar asistencia técnica y capacitación a productores pesqueros en producción, manejo y encadenamiento productivo</t>
  </si>
  <si>
    <t>Productor, productora  pesquero,  asistido y capacitado</t>
  </si>
  <si>
    <t>1. Plan de asistencia técnica y capacitación.         2. Listados de productores.         3. Informe</t>
  </si>
  <si>
    <t>Depto. Sonsonate: Acajutla.         Depto. La Libertad: La Libertad.                      Depto. La  Paz: San Luís La Herradura.   Depto. Chalatenango: El Paraíso.                               Depto. Usulután:  Puerto El Triunfo.               Depto. La Unión: La Unión.                                Depto. San Vicente: Tecoluca.</t>
  </si>
  <si>
    <t xml:space="preserve">                                  Licda. Reina   Pacheco.</t>
  </si>
  <si>
    <t xml:space="preserve">Las actividades de asistencia técnica, capacitación, organización y ejecución de proyectos productivos; serán apoyados por los Coordinadores de las Oficina Regionales.              Las repoblaciones de cuerpo de agua serán responsabilidad de la División de Administración y Ordenación Pesquera y Acuícola.    </t>
  </si>
  <si>
    <t>Hombre joven</t>
  </si>
  <si>
    <t>Mujer joven</t>
  </si>
  <si>
    <t>A.01.01.02.11.04-E</t>
  </si>
  <si>
    <t>Establecer organizaciones de productores pesqueros para la gestión de la producción y comercialización</t>
  </si>
  <si>
    <t>Organización pesquera, establecida</t>
  </si>
  <si>
    <t>Licda. Reina Pacheco</t>
  </si>
  <si>
    <t>A.01.01.02.11.05-E</t>
  </si>
  <si>
    <t>Ejecutar proyectos productivos para el desarrollo de la pesca (FIDEICOMISO PESCAR)</t>
  </si>
  <si>
    <t>Proyectos productivos, pesqueros ejecutados</t>
  </si>
  <si>
    <t>1. Registro de proyectos ejecutados y liquidados.               2. Informes.</t>
  </si>
  <si>
    <t>Ing. Roberto Villalobos.</t>
  </si>
  <si>
    <t>A.01.01.02.11.06-E</t>
  </si>
  <si>
    <t>Realizar repoblaciones de cuerpos de agua continentales con especies pesqueras</t>
  </si>
  <si>
    <t>Repoblación</t>
  </si>
  <si>
    <t>Repoblación de cuerpo de agua, realizada</t>
  </si>
  <si>
    <t>1. Plan de repoblaciones.         2. Informe.</t>
  </si>
  <si>
    <t>A.01.01.02.11.07-E</t>
  </si>
  <si>
    <t>Productor pesquero.</t>
  </si>
  <si>
    <t>Productor y productora pesquero (a) georeferenciado</t>
  </si>
  <si>
    <t>1. Base de datos.                        2. Informe.</t>
  </si>
  <si>
    <t>Productora pesquera.</t>
  </si>
  <si>
    <t>R.01.01.05.04.00-E</t>
  </si>
  <si>
    <t>Adecuación y simplificación de los procesos para otorgamiento de los servicios de pesca y acuicultura</t>
  </si>
  <si>
    <t>5</t>
  </si>
  <si>
    <t>A.01.01.05.04.01-E</t>
  </si>
  <si>
    <t>Revisar, actualizar e implementar los procesos normativos de los servicios de la pesca y la acuicultura</t>
  </si>
  <si>
    <t>Servicio</t>
  </si>
  <si>
    <t>Servicio de pesca y acuicultura revisados, actualizados e implementados.</t>
  </si>
  <si>
    <t xml:space="preserve">1. Documento.      2. Informe       </t>
  </si>
  <si>
    <t>Depto. La Libertad: Santa Tecla.</t>
  </si>
  <si>
    <t>Estas acciones se realizarán con apoyo de un equipo técnico interdisciplinario.</t>
  </si>
  <si>
    <t>A.01.01.05.04.03-E</t>
  </si>
  <si>
    <t>Revisar, actualizar e implementar los procesos administrativos, contables y financieros de la pesca y acuicultura</t>
  </si>
  <si>
    <t>Proceso administrativo, contable y financiero, revisado, actualizado e implementado.</t>
  </si>
  <si>
    <t>Lic. Elsy Sorto.</t>
  </si>
  <si>
    <t>R.01.03.01.03-E</t>
  </si>
  <si>
    <t>Desarrollo de la acuicultura familiar</t>
  </si>
  <si>
    <t>A.01.03.01.03.01-E</t>
  </si>
  <si>
    <t>Brindar asistencia y capacitación a productores acuícolas en producción y manejo de cultivo de tilapia.</t>
  </si>
  <si>
    <t>Productor acuícola, asistido y capacitado</t>
  </si>
  <si>
    <t>1. Plan de asistencia técnica y capacitación.                       2. Listados de productores.                           3. Informe</t>
  </si>
  <si>
    <t>40</t>
  </si>
  <si>
    <t>Acciones estratégicas a ejecutar por medio del proyecto Fomento al Desarrollo de la Acuicultura Familiar en los Municipios de Pobreza en El Salvador; con fondos de Cooperación del Gobierno de China/Taiwán y  GOES.</t>
  </si>
  <si>
    <t>A.01.03.01.03.04-E</t>
  </si>
  <si>
    <t>Construcción de módulos para producción de tilapia</t>
  </si>
  <si>
    <t>Módulo</t>
  </si>
  <si>
    <t>Módulo de tilapia construido.</t>
  </si>
  <si>
    <t>1.  Módulos construidos                      2. Informe.</t>
  </si>
  <si>
    <t>60</t>
  </si>
  <si>
    <t>R.01.03.02.02.00-E</t>
  </si>
  <si>
    <t>Desarrollo de la investigación y transferencia de nuevas tecnologías de pesca y acuicultura</t>
  </si>
  <si>
    <t>10</t>
  </si>
  <si>
    <t>A.01.03.02.02.01-E</t>
  </si>
  <si>
    <t>Elaborar y ejecutar proyectos de investigación pesquera</t>
  </si>
  <si>
    <t>Proyecto de investigación pesquera, realizados y publicados.</t>
  </si>
  <si>
    <t>1. Anteproyecto de investigación.   2. Plan de investigación.            3. Informe.</t>
  </si>
  <si>
    <t>Zona Costero Marina</t>
  </si>
  <si>
    <t>Licda. Ana Marlene Galdámez .</t>
  </si>
  <si>
    <t>Las investigaciones a publicar y divulgar corresponden a las realizadas en el año 2015.                                 Las investigaciones del año 2016, serán ejecutadas y operativizadas con el apoyo de las Estaciones de Acuicultura  y las Oficinas Regionales.</t>
  </si>
  <si>
    <t>A.01.03.02.02.02-E</t>
  </si>
  <si>
    <t>Publicar y divulgar las investigaciones pesqueras</t>
  </si>
  <si>
    <t>Investigación pesquera, publicada y divulgada</t>
  </si>
  <si>
    <t>1. Informe.               2. Nota de remisión.</t>
  </si>
  <si>
    <t>A.01.03.02.02.05-E</t>
  </si>
  <si>
    <t>Elaborar y ejecutar proyectos de investigación acuícola</t>
  </si>
  <si>
    <t>Proyecto de investigación acuícola, realizados y publicados.</t>
  </si>
  <si>
    <t>Áreas con potencial acuícola.</t>
  </si>
  <si>
    <t>Licda. Jazmín Cárdenas.</t>
  </si>
  <si>
    <t>A.01.03.02.02.06-E</t>
  </si>
  <si>
    <t>Publicar y divulgar las investigaciones acuícolas</t>
  </si>
  <si>
    <t>Investigación acuícola, publicada y divulgada</t>
  </si>
  <si>
    <t>L.02.05.01</t>
  </si>
  <si>
    <t>R.02.05.01.04.00-E</t>
  </si>
  <si>
    <t>Transferencia y divulgación de las investigaciones de pesca y acuicultura por medio del Nuevo Consejo Nacional en Ciencia y Tecnología (NCONACYT)</t>
  </si>
  <si>
    <t>A.02.05.01.04.01-E</t>
  </si>
  <si>
    <t>Identificar investigaciones de pesca y acuicultura para fortalecer el NCONACYT</t>
  </si>
  <si>
    <t>Investigación de pesca y acuicultura para fortalecer el  NCONACYT, identificada.</t>
  </si>
  <si>
    <t xml:space="preserve">1. Informe.             </t>
  </si>
  <si>
    <t>Depto. La Libertad, Santa Tecla.</t>
  </si>
  <si>
    <t>Licda. Ana Marlene Galdámez y Licda. Jazmín Cárdenas.</t>
  </si>
  <si>
    <t>A.02.05.01.04.02-E</t>
  </si>
  <si>
    <t>Transferir las investigaciones seleccionadas de pesca y acuicultura al NCONACYT</t>
  </si>
  <si>
    <t>Investigación seleccionada de pesca y acuicultura , transferida.</t>
  </si>
  <si>
    <t>R.02.05.03.02.00-E</t>
  </si>
  <si>
    <t>Alianzas nacionales, regionales  e internacionales para la investigación y la transferencia tecnológica</t>
  </si>
  <si>
    <t>A.02.05.03.02.02-E</t>
  </si>
  <si>
    <t>Formular e implementar planes de acción de las alianzas establecidas para la investigación y transferencia de tecnología compartida</t>
  </si>
  <si>
    <t xml:space="preserve">Plan
</t>
  </si>
  <si>
    <t xml:space="preserve">
Plan de acción de las alianzas establecidas para la investigación y transferencia de tecnología compartida, formulado e implementado.</t>
  </si>
  <si>
    <t>1. Plan de acción.                      2. Informes</t>
  </si>
  <si>
    <t>R.05.03.02.03.00-E</t>
  </si>
  <si>
    <t>Fortalecimiento del programa de Erradicación del Trabajo Infantil en la pesca y la acuicultura.</t>
  </si>
  <si>
    <t>Capacitar a productores pesqueros en sensibilización del trabajo infantil y enfoque de género.</t>
  </si>
  <si>
    <t>Jornada</t>
  </si>
  <si>
    <t>Productor pesquero, capacitado.</t>
  </si>
  <si>
    <t>1. Plan de capacitación.                 2. Listado de productores.               3. Informe.</t>
  </si>
  <si>
    <t>Depto. Sonsonate: Acajutla e Izalco.         Depto. La Libertad: La Libertad y San Pablo Tacachico.                      Depto. La  Paz: San Luís La Herradura.                                Depto. Usulután:  Puerto El Triunfo.               Depto. La Unión: La Unión.                                Depto. San Vicente: Tecoluca.</t>
  </si>
  <si>
    <t>Licda. Reina Isabel Pacheco.</t>
  </si>
  <si>
    <t>Capacitar a productores acuícolas en sensibilización del trabajo infantil y enfoque de género.</t>
  </si>
  <si>
    <t>Productor acuícola, capacitado.</t>
  </si>
  <si>
    <t>L.07.04.02</t>
  </si>
  <si>
    <t>R.07.04.02.02.00-E</t>
  </si>
  <si>
    <t>Desarrollar un plan de acción para la adaptación de las actividades de la pesca y la acuicultura al cambio climático</t>
  </si>
  <si>
    <t>A.07.04.02.02.02-E</t>
  </si>
  <si>
    <t>Formular y ejecutar los planes de manejo en los cuerpos de agua marino y continentales</t>
  </si>
  <si>
    <t xml:space="preserve">
Plan
</t>
  </si>
  <si>
    <t>1. Plan de manejo.                   2. Informes.</t>
  </si>
  <si>
    <t>R.11.02.03.01.00-E</t>
  </si>
  <si>
    <t>Implementar la reestructuración organizativa institucional</t>
  </si>
  <si>
    <t>A.11.02.03.01.01-E</t>
  </si>
  <si>
    <t>Elaborar y ejecutar plan de reestructuración Institucional</t>
  </si>
  <si>
    <t xml:space="preserve">
Plan de reestructuración Institucional, ejecutado</t>
  </si>
  <si>
    <t>1. Plan  de reestructuración.  2. Informes.</t>
  </si>
  <si>
    <t>Ing. Gustavo Portillo.</t>
  </si>
  <si>
    <t>La ejecución del plan de reestructuración institucional, se ejecutará en una primera fase, mediante el reordenamiento de funciones y procesos técnicos, normativos y operativos; con criterios de descentralización, delegación de autoridad, racionalización y optimización de los recursos humanos y financieros con que contará la institución en el año 2016.</t>
  </si>
  <si>
    <t xml:space="preserve">Área Ministerial:  4   DEPENDENCIAS DESCENTRALIZADAS </t>
  </si>
  <si>
    <t xml:space="preserve">Dirección / Oficina: ESCUELA NACIONAL DE AGRICULTURA "ROBERTO QUIÑÓNEZ" (ENA) </t>
  </si>
  <si>
    <t>Periodo de Ejecución:  2016</t>
  </si>
  <si>
    <t>L02.02.01</t>
  </si>
  <si>
    <t>R.02.02.01.01.00-E</t>
  </si>
  <si>
    <t>Infraestructura ENA mejorada</t>
  </si>
  <si>
    <t>E.02.</t>
  </si>
  <si>
    <t>A. 02.02.01.01.01-E</t>
  </si>
  <si>
    <t xml:space="preserve">Construir edificaciones nuevas </t>
  </si>
  <si>
    <t>1</t>
  </si>
  <si>
    <t>Gestión  para lograr   el financiamiento en la construcción de nuevas edificaciones, realizada</t>
  </si>
  <si>
    <t>Documentos o notas de gestión</t>
  </si>
  <si>
    <t>Francisco Ortiz y Luis Felipe Torres</t>
  </si>
  <si>
    <t>A. 02.02.01.01.02-E</t>
  </si>
  <si>
    <t>Un tendido eléctrico y una red hidráulica rehabilitados</t>
  </si>
  <si>
    <t>Gestión para lograr el financiamiento de la rehabilitación del Tendido eléctrico y  la red hidráulica, realizada</t>
  </si>
  <si>
    <t>A. 02.02.01.01.03-E</t>
  </si>
  <si>
    <t>Rehabilitar edificaciones existentes</t>
  </si>
  <si>
    <t>Gestión  para lograr   el financiamiento en la rehabilitación de edificaciones existentes, realizada</t>
  </si>
  <si>
    <t>L02.02.02</t>
  </si>
  <si>
    <t>R.02.02.02.01-E</t>
  </si>
  <si>
    <t>ENA equipada   adecuadamente</t>
  </si>
  <si>
    <t>A. 02.02.02.01.01-E</t>
  </si>
  <si>
    <t>Elaborar diagnóstico de necesidades de equipo para la ENA</t>
  </si>
  <si>
    <t xml:space="preserve">Diagnóstico de necesidades de equipo para la ENA, elaborado </t>
  </si>
  <si>
    <t>Diagnóstico de necesidades de equipamiento de la ENA</t>
  </si>
  <si>
    <t>Osmin Martinez y Luis Felipe Torres</t>
  </si>
  <si>
    <t>A. 02.02.02.01.02-E</t>
  </si>
  <si>
    <t>Elaborar presupuesto de adquisición de equipo para la ENA</t>
  </si>
  <si>
    <t xml:space="preserve">Presupuesto de adquisición de equipo para la ENA, formulado </t>
  </si>
  <si>
    <t>Documento de Presupuesto de adquisición de equipo para la ENA</t>
  </si>
  <si>
    <t>L02.03.04</t>
  </si>
  <si>
    <t>R.02.03.04.01.00-E</t>
  </si>
  <si>
    <t>Ampliación de la cobertura de la educación agropecuaria</t>
  </si>
  <si>
    <t>R.02.03.04.01.01-E</t>
  </si>
  <si>
    <t>Aumentar la oferta educativa</t>
  </si>
  <si>
    <t xml:space="preserve">Nuevas carreras ofrecida diseñada </t>
  </si>
  <si>
    <t xml:space="preserve">Documento de carrera nueva  publicado </t>
  </si>
  <si>
    <t>1,000</t>
  </si>
  <si>
    <t>Armida González</t>
  </si>
  <si>
    <t>L.02.04.02.</t>
  </si>
  <si>
    <t>R.02.04.02.01.00-E</t>
  </si>
  <si>
    <t>Mejorar la calidad de la enseñanza</t>
  </si>
  <si>
    <t>A.02.04.02.01.01-E</t>
  </si>
  <si>
    <t>Capacitar a empleados de la ENA</t>
  </si>
  <si>
    <t xml:space="preserve">Evento </t>
  </si>
  <si>
    <t xml:space="preserve">Eventos de capacitación, desarrollados </t>
  </si>
  <si>
    <t>Listado de asistencia a eventos de capacitación</t>
  </si>
  <si>
    <t>Ciudad Arce La Libertad</t>
  </si>
  <si>
    <t>Miguel Pocasangre</t>
  </si>
  <si>
    <t>A.02.04.02.01.02-E</t>
  </si>
  <si>
    <t xml:space="preserve">Implementar la currícula pertinente (para la escuela del corredor seco) </t>
  </si>
  <si>
    <t xml:space="preserve">Currícula </t>
  </si>
  <si>
    <t>Curricula pertinente, generada</t>
  </si>
  <si>
    <t>Curricula de la ENA</t>
  </si>
  <si>
    <t>Armida González y Sifredo Corado Márquez</t>
  </si>
  <si>
    <t>L.02.05.01.</t>
  </si>
  <si>
    <t>R.02.05.01.05-E</t>
  </si>
  <si>
    <t>Mayor oferta de tecnologías agropecuarias</t>
  </si>
  <si>
    <t>A.02.05.01.05.01-E</t>
  </si>
  <si>
    <t>Priorizar  las líneas de investigación</t>
  </si>
  <si>
    <t xml:space="preserve">Documento de las líneas de investigación, elaborado </t>
  </si>
  <si>
    <t>Documento de las líneas de investigación</t>
  </si>
  <si>
    <t>Manuel Cortez</t>
  </si>
  <si>
    <t>A.02.05.01.05.02-E</t>
  </si>
  <si>
    <t>Ejecutar las investigaciones, validaciones y adaptaciones</t>
  </si>
  <si>
    <t>Documentos de investigación, validación y/o adaptación, desarrollados</t>
  </si>
  <si>
    <t>Informes técnicos finales de investigaciones, validaciones y/o adaptaciones</t>
  </si>
  <si>
    <t>A.02.05.01.05.03-E</t>
  </si>
  <si>
    <t>Sistematizar las investigaciones, validaciones y/o adaptaciones</t>
  </si>
  <si>
    <t>Documentos de sistematización de las Investigaciones, validaciones y/o adaptaciones, publicado</t>
  </si>
  <si>
    <t>Informe de Publicación de Documento de investigación, validación y/o adaptación</t>
  </si>
  <si>
    <t>L.02.05.02.</t>
  </si>
  <si>
    <t>R.02.05.02.03-E</t>
  </si>
  <si>
    <t>Mayor disponibilidad de recursos para la investigación</t>
  </si>
  <si>
    <t>A.02.05.02.03.01-E</t>
  </si>
  <si>
    <t>Desarrollar eventos de capacitación al personal docente en temas de investigación</t>
  </si>
  <si>
    <t>Eventos de capacitación al personal docente en temas de investigación, desarrollados</t>
  </si>
  <si>
    <t>Listados de asistencia a eventos de capacitación en temas de investigación a docentes</t>
  </si>
  <si>
    <t>Miguel Pocasangre y Manuel Cortez</t>
  </si>
  <si>
    <t>L.02.05.03.</t>
  </si>
  <si>
    <t>R.02.05.03.04-E</t>
  </si>
  <si>
    <t>Mayor intercambio de tecnología</t>
  </si>
  <si>
    <t>A.02.05.03.04.01-E</t>
  </si>
  <si>
    <t>Realizar pasantías de intercambio de tecnología</t>
  </si>
  <si>
    <t xml:space="preserve">Pasantía </t>
  </si>
  <si>
    <t>Pasantías de intercambio de tecnología, realizadas</t>
  </si>
  <si>
    <t>Informes de pasantías de intercambio de tecnología</t>
  </si>
  <si>
    <t>Luis Felipe Torres</t>
  </si>
  <si>
    <t>A.02.05.03.04.02-E</t>
  </si>
  <si>
    <t>Suscribir alianzas y convenios para fomentar el intercambio de tecnología</t>
  </si>
  <si>
    <t>Alianzas y convenios para fomentar el intercambio de tecnología, suscritos</t>
  </si>
  <si>
    <t>Documento de alianzas y convenios para fomentar el intercambio de tecnología</t>
  </si>
  <si>
    <t>A.02.05.03.04.03-E</t>
  </si>
  <si>
    <t>Contratar Suscripciones de publicaciones técnicas</t>
  </si>
  <si>
    <t xml:space="preserve">Suscripción </t>
  </si>
  <si>
    <t xml:space="preserve">Suscripciones de publicaciones técnicas, contratadas </t>
  </si>
  <si>
    <t>Contratos de Suscripciones de publicaciones técnicas</t>
  </si>
  <si>
    <t>Ana Luz Palacios</t>
  </si>
  <si>
    <t>A.02.05.03.04.04-E</t>
  </si>
  <si>
    <t xml:space="preserve">Contratar Conexión  a internet comercial de banda ancha mayor de 20 MB simétrica </t>
  </si>
  <si>
    <t xml:space="preserve">Conexión </t>
  </si>
  <si>
    <t>Conexión  a internet comercial de banda ancha mayor de 20 MB simétrica, contratada</t>
  </si>
  <si>
    <t>Contrato de conexión  a internet comercial de banda ancha mayor de 20 MB simétrica</t>
  </si>
  <si>
    <t>Andriana Lopez</t>
  </si>
  <si>
    <t>A.02.05.03.04.06-E</t>
  </si>
  <si>
    <t>Intercambio por video conferencia</t>
  </si>
  <si>
    <t>Video conferencia</t>
  </si>
  <si>
    <t>Intercambios de tecnología por medio de video conferencia, realizadas</t>
  </si>
  <si>
    <t>Listado de participantes en video conferencias</t>
  </si>
  <si>
    <t>Osmín Martinez, Armida González, Francisco Ortiz y Luis Felipe Torres</t>
  </si>
  <si>
    <t>L.02.05.05.</t>
  </si>
  <si>
    <t>R.02.05.05.01-E</t>
  </si>
  <si>
    <t>Mayor acceso a la educación agropecuaria</t>
  </si>
  <si>
    <t>A.02.05.05.01.01-E</t>
  </si>
  <si>
    <t xml:space="preserve">Capacitar a personas  en temas agropecuarios forestales, pesquero y acuícola </t>
  </si>
  <si>
    <t>Personas  en temas agropecuarios forestales, pesquero y acuícola, capacitadas</t>
  </si>
  <si>
    <t>Listados de asistencia a capacitaciones en temas agropecuarios forestales, pesquero y acuícola</t>
  </si>
  <si>
    <t>Sifredo Corado Márquez, Fernando Granados</t>
  </si>
  <si>
    <t>A.02.05.05.01.02-E</t>
  </si>
  <si>
    <t>Formar estudiantes en la carrera de agronomía</t>
  </si>
  <si>
    <t xml:space="preserve">Estudiantes en la carrera de agronomía, formados </t>
  </si>
  <si>
    <t>Informe de inscripción de estudiantes de la carrera de agronomía</t>
  </si>
  <si>
    <t xml:space="preserve">Meta no acumulada </t>
  </si>
  <si>
    <t>A.02.05.05.01.03-E</t>
  </si>
  <si>
    <t>Graduar estudiantes egresados de la carrera de agronomía</t>
  </si>
  <si>
    <t xml:space="preserve">Estudiantes egresados de la carrera de agronomía, Graduados </t>
  </si>
  <si>
    <t>Listado de egresados que recibieron su titulo de agrónomo</t>
  </si>
  <si>
    <t>L.02.06.01.</t>
  </si>
  <si>
    <t>R.02.06.01.01-E</t>
  </si>
  <si>
    <t>Escuela Nacional de Agricultura libre de violencia</t>
  </si>
  <si>
    <t>A.02.06.01.01.01-E</t>
  </si>
  <si>
    <t>Realizar eventos educativos y culturales</t>
  </si>
  <si>
    <t>Eventos educativos y culturales, desarrollados</t>
  </si>
  <si>
    <t>Listados de asistencia a eventos educativos y culturales</t>
  </si>
  <si>
    <t>Armida González y Francisco Ortiz</t>
  </si>
  <si>
    <t>E.03</t>
  </si>
  <si>
    <t>A.02.06.01.01.02-E</t>
  </si>
  <si>
    <t>Realizar eventos deportivos</t>
  </si>
  <si>
    <t>Eventos deportivos, desarrollados</t>
  </si>
  <si>
    <t>Listados de participación en eventos deportivos</t>
  </si>
  <si>
    <t>E.04</t>
  </si>
  <si>
    <t>A.02.06.01.01.03-E</t>
  </si>
  <si>
    <t>Realizar otros eventos recreativos</t>
  </si>
  <si>
    <t>Eventos recreacionales, realizados</t>
  </si>
  <si>
    <t>Listados de asistencia a  eventos recreacionales</t>
  </si>
  <si>
    <t>Dirección / Oficina: Oficina de Adquisiciones y Contrataciones Institucional</t>
  </si>
  <si>
    <t>Periodo de Ejecución: 01 de enero al 31 de diciembre 2016</t>
  </si>
  <si>
    <t>R.12.02.04-O</t>
  </si>
  <si>
    <t xml:space="preserve">
Apoyar la gestión de las adquisiciones y contrataciones del MAG, acorde a la normativa legal</t>
  </si>
  <si>
    <t>A.12.02.04.01-O</t>
  </si>
  <si>
    <t>Analizar los planes de adquisiciones y contrataciones de las dependencias y consolidación del mismo, a nivel del MAG</t>
  </si>
  <si>
    <t>Plan anual de adquisiciones y contrataciones de las dependencias del MAG, consolidado</t>
  </si>
  <si>
    <t>Plan anual consolidado de adquisiciones y contrataciones del MAG</t>
  </si>
  <si>
    <t>Rosa Elena de Serrano</t>
  </si>
  <si>
    <t>A.12.02.04.02-O</t>
  </si>
  <si>
    <t>Realizar ordenes de compra para la adquisición de bienes, servicios u obras del MAG</t>
  </si>
  <si>
    <t>Orden de compra</t>
  </si>
  <si>
    <t>Orden de compra para la adquisicion de bienes, servicios u obra del MAG, elaborada</t>
  </si>
  <si>
    <t>Documento de Ordenes de compra  aprobada</t>
  </si>
  <si>
    <t>A.12.02.04.03-O</t>
  </si>
  <si>
    <t xml:space="preserve">
Realizar contrataciones y/o ordenes de negociación para la adquisición de bienes, servicios u obras del MAG</t>
  </si>
  <si>
    <t>Contratación y/o orden de negociación</t>
  </si>
  <si>
    <t>Contrataciones y/o ordenes de negociación para la adquisicion de bienes, servicios u obra del MAG, elaborados</t>
  </si>
  <si>
    <t>Documento de Contrataciones y/o ordenes de negociación aprobado</t>
  </si>
  <si>
    <t>Gloria Lemus de Argueta y Rosa Elena de Serrano</t>
  </si>
  <si>
    <t>Dirección / Oficina: Oficina de Comunicaciones (ODC)</t>
  </si>
  <si>
    <t>Periodo de Ejecución: 01 de enero a 31 de diciembre 2016</t>
  </si>
  <si>
    <t>R.11.05.03.02-E</t>
  </si>
  <si>
    <t>Institucionalizar la rendición de cuentas en el MAG, cómo práctica permanente para generar un diálogo abierto con la ciudadanía.</t>
  </si>
  <si>
    <t>A.11.05.03.02.01-E</t>
  </si>
  <si>
    <t>Desarrollar eventos públicos de rendición de cuentas y elaborar el informe respectivo</t>
  </si>
  <si>
    <t>Evento público de rendición de cuentas, realizado</t>
  </si>
  <si>
    <t>Informe de rendición de cuentas del MAG</t>
  </si>
  <si>
    <t>Andrea Galdámez</t>
  </si>
  <si>
    <t>R.12.07.01-O</t>
  </si>
  <si>
    <t>Desarrollar acciones de Comunicación e información publica del  MAG</t>
  </si>
  <si>
    <t>A.12.07.01.01-O</t>
  </si>
  <si>
    <t>Organizar eventos públicos del MAG</t>
  </si>
  <si>
    <t>Evento públicos del MAG, organizados</t>
  </si>
  <si>
    <t>Agenda protocolar del MAG</t>
  </si>
  <si>
    <t>Luz Marina Katán</t>
  </si>
  <si>
    <t>A.12.07.01.02-O</t>
  </si>
  <si>
    <t>Gestionar Entrevistas en medios de comunicación para dar a conocer acciones del MAG</t>
  </si>
  <si>
    <t>Entrevista</t>
  </si>
  <si>
    <t>Entrevistas en medios de comunicación para dar a conocer acciones del MAG, gestionadas</t>
  </si>
  <si>
    <t>Informe de entrevistas divulgadas</t>
  </si>
  <si>
    <t>Suyapa Gómez</t>
  </si>
  <si>
    <t>A.12.07.01.04-O</t>
  </si>
  <si>
    <t>Informar al personal del MAG las actividades publicas institucionales en módulos informativos impresos</t>
  </si>
  <si>
    <t>Modulo</t>
  </si>
  <si>
    <t>Módulos informativos impresos, actualizados</t>
  </si>
  <si>
    <t>Informe de actualización de Módulos institucionales</t>
  </si>
  <si>
    <t>A.12.07.01.05-O</t>
  </si>
  <si>
    <t>Comunicar acciones relevantes del quehacer institucional en los medios de comunicación social</t>
  </si>
  <si>
    <t>Comunicado</t>
  </si>
  <si>
    <t>Acciones relevantes del quehacer institucional en los medios de comunicación social, divulgados</t>
  </si>
  <si>
    <t>Informe de comunicados divulgados</t>
  </si>
  <si>
    <t>A.12.07.01.07-O</t>
  </si>
  <si>
    <t>Producir revista digital institucional "Cosechemos Juntos"</t>
  </si>
  <si>
    <t>Revista</t>
  </si>
  <si>
    <t>Revista digital institucional "Cosechemos juntos", producida</t>
  </si>
  <si>
    <t>Revista publicada</t>
  </si>
  <si>
    <t>Argentina Velásquez</t>
  </si>
  <si>
    <t>A.12.07.01.08-O</t>
  </si>
  <si>
    <t>Producir noticiero digital "NOTIMAG"</t>
  </si>
  <si>
    <t>Noticiero</t>
  </si>
  <si>
    <t>Noticiero digital "NOTIMAG", publicado</t>
  </si>
  <si>
    <t>Informe del NOTIMAG</t>
  </si>
  <si>
    <t>A.12.07.01.12-O</t>
  </si>
  <si>
    <t>Registrar número de visitas Bibliográficas presenciales</t>
  </si>
  <si>
    <t>Número de visitas bibliotecarias presenciales, Registradas</t>
  </si>
  <si>
    <t>Informe de visitas a  Biblioteca de SEDE MAG</t>
  </si>
  <si>
    <t>Carlos Pineda</t>
  </si>
  <si>
    <t>A.12.07.01.13-O</t>
  </si>
  <si>
    <t>Informar retorno de la inversión publicitaria</t>
  </si>
  <si>
    <t>Informe del  retorno de la inversión publicitaria, elaborado</t>
  </si>
  <si>
    <t>Informe del retorno de la inversión publicitaria</t>
  </si>
  <si>
    <t>A.12.07.01.14-O</t>
  </si>
  <si>
    <t>Producir programa radial "Buenos Días Agricultor"</t>
  </si>
  <si>
    <t>Programa radial "Buenos Días Agricultor", producido</t>
  </si>
  <si>
    <t>Bitácora del Programa divulgado</t>
  </si>
  <si>
    <t>A.12.07.01.15-O</t>
  </si>
  <si>
    <t>Monitorear diariariamente las noticias publicadas del sector</t>
  </si>
  <si>
    <t>Día</t>
  </si>
  <si>
    <t>Días de noticias del sector, monitoreadas</t>
  </si>
  <si>
    <t>Informe de monitoreo de noticias del sector</t>
  </si>
  <si>
    <t>A.12.07.01.16-O</t>
  </si>
  <si>
    <t>Producir  "Agroreportaje" y spot</t>
  </si>
  <si>
    <t>Reportaje</t>
  </si>
  <si>
    <t>"Agroreportaje" y spot, Producido</t>
  </si>
  <si>
    <t>Informe  de agroreportaje</t>
  </si>
  <si>
    <t>A.12.07.01.17-O</t>
  </si>
  <si>
    <t>Publicar en sitio web institucional información general del MAG</t>
  </si>
  <si>
    <t>Publicación</t>
  </si>
  <si>
    <t>Publicaciones de las acciones del MAG en sitio web, realizadas</t>
  </si>
  <si>
    <t>Informe de publicaciones en sitio web</t>
  </si>
  <si>
    <t>A.12.07.01.18-O</t>
  </si>
  <si>
    <t>Publicar en redes sociales institucionales información general del MAG</t>
  </si>
  <si>
    <t>Publicaciones de las acciones del MAG en redes sociales, realizadas</t>
  </si>
  <si>
    <t>Informe de publicaciones en redes sociales</t>
  </si>
  <si>
    <t>A.12.07.01.19-O</t>
  </si>
  <si>
    <t>Registrar visitas en redes sociales y sitio web institucionales</t>
  </si>
  <si>
    <t>Visitas en redes sociales y sitio web institucional, Registradas</t>
  </si>
  <si>
    <t>Informe de visitas a redes sociales y sitio web del MAG</t>
  </si>
  <si>
    <t>A.12.07.01.20-O</t>
  </si>
  <si>
    <t>Registrar consultas bibliotecarias por correo electronico</t>
  </si>
  <si>
    <t>Consulta</t>
  </si>
  <si>
    <t>Número de consultas bibliotecarias por correo electronico, Registradas</t>
  </si>
  <si>
    <t>Informe de consultas bibliotecarias por correo electronico</t>
  </si>
  <si>
    <t>A.01.01.02.19.02-E</t>
  </si>
  <si>
    <t>Bitácora de visitas, físico y digital</t>
  </si>
  <si>
    <t>Informe de comercialización de granos básicos, elaborado</t>
  </si>
  <si>
    <t>R.1.1.2.13.00-E</t>
  </si>
  <si>
    <t>A.1.1.2.13.01-E</t>
  </si>
  <si>
    <t>R.07.04.04.01.00-E</t>
  </si>
  <si>
    <t>A.12.02.03.01-O</t>
  </si>
  <si>
    <t>A.12.02.03.02-O</t>
  </si>
  <si>
    <t>A.12.02.03.03-O</t>
  </si>
  <si>
    <t>A.12.02.03.04-O</t>
  </si>
  <si>
    <t>L.12.02.03</t>
  </si>
  <si>
    <t>L.12.02.02</t>
  </si>
  <si>
    <t>R.12.02.02.00-O</t>
  </si>
  <si>
    <t>R.12.02.03.00-O</t>
  </si>
  <si>
    <t>L.12.02.01</t>
  </si>
  <si>
    <t>R.12.02.01.00-O</t>
  </si>
  <si>
    <t>A.11.02.06.20.20-E</t>
  </si>
  <si>
    <t>A.11.02.06.20.21-E</t>
  </si>
  <si>
    <t>A.11.02.06.20.22-E</t>
  </si>
  <si>
    <t>A.11.02.06.20.23-E</t>
  </si>
  <si>
    <t>A.11.02.06.20.24-E</t>
  </si>
  <si>
    <t>A.11.02.06.20.25-E</t>
  </si>
  <si>
    <t>A.11.02.06.20.26-E</t>
  </si>
  <si>
    <t>A.11.02.06.20.27-E</t>
  </si>
  <si>
    <t>A.11.02.06.20.28-E</t>
  </si>
  <si>
    <t>L.12.01.01</t>
  </si>
  <si>
    <t>L.12.01.02</t>
  </si>
  <si>
    <t>L.12.01.03</t>
  </si>
  <si>
    <t>R.12.01.02.00-O</t>
  </si>
  <si>
    <t>R.12.01.03.00-O</t>
  </si>
  <si>
    <t>R.12.01.01.00-O</t>
  </si>
  <si>
    <t xml:space="preserve">Realizar seguimiento  a la ejecución de los contratos de servicios de limpieza, telecomunicaciones, reproducciones y correspondencia del MAG
</t>
  </si>
  <si>
    <t>R.11.05.01.01.00-E</t>
  </si>
  <si>
    <t>A.11.05.01.01.01-E</t>
  </si>
  <si>
    <t>R.11.05.06.01.00-E</t>
  </si>
  <si>
    <t>A.11.05.06.01.01-E</t>
  </si>
  <si>
    <t>R.11.05.08.02.00-E</t>
  </si>
  <si>
    <t>A.11.05.08.02.01-E</t>
  </si>
  <si>
    <t>R.12.07.01.00-O</t>
  </si>
  <si>
    <t>A.12.07.01.03-O</t>
  </si>
  <si>
    <t>L.12.07.01</t>
  </si>
  <si>
    <t>A.05.03.02.03.03-E</t>
  </si>
  <si>
    <t>A.05.03.02.03.04-E</t>
  </si>
  <si>
    <t xml:space="preserve">Plan de manejo en los cuerpos de agua marinos y continentales, ejecutado. </t>
  </si>
</sst>
</file>

<file path=xl/styles.xml><?xml version="1.0" encoding="utf-8"?>
<styleSheet xmlns="http://schemas.openxmlformats.org/spreadsheetml/2006/main">
  <numFmts count="22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&quot;Verdadero&quot;;&quot;Verdadero&quot;;&quot;Falso&quot;"/>
    <numFmt numFmtId="166" formatCode="_ &quot;¢&quot;\ * #,##0.00_ ;_ &quot;¢&quot;\ * \-#,##0.00_ ;_ &quot;¢&quot;\ * &quot;-&quot;??_ ;_ @_ "/>
    <numFmt numFmtId="167" formatCode="_ * #,##0_ ;_ * \-#,##0_ ;_ * &quot;-&quot;_ ;_ @_ "/>
    <numFmt numFmtId="168" formatCode="_(* #,##0.000_);_(* \(#,##0.000\);_(* &quot;-&quot;_);_(@_)"/>
    <numFmt numFmtId="169" formatCode="_(* #,##0_);_(* \(#,##0\);_(* &quot;-&quot;??_);_(@_)"/>
    <numFmt numFmtId="170" formatCode="_(&quot;¢&quot;* #,##0.00_);_(&quot;¢&quot;* \(#,##0.00\);_(&quot;¢&quot;* &quot;-&quot;??_);_(@_)"/>
    <numFmt numFmtId="171" formatCode="&quot;$&quot;#,##0;\-&quot;$&quot;#,##0"/>
    <numFmt numFmtId="172" formatCode="_-* #,##0.00\ [$€]_-;\-* #,##0.00\ [$€]_-;_-* &quot;-&quot;??\ [$€]_-;_-@_-"/>
    <numFmt numFmtId="173" formatCode="_-* #,##0.00\ _D_M_-;\-* #,##0.00\ _D_M_-;_-* &quot;-&quot;??\ _D_M_-;_-@_-"/>
    <numFmt numFmtId="174" formatCode="_(&quot;$&quot;\ * #.##0.00_);_(&quot;$&quot;\ * \(#.##0.00\);_(&quot;$&quot;\ * &quot;-&quot;??_);_(@_)"/>
    <numFmt numFmtId="175" formatCode="&quot;$&quot;#,##0"/>
    <numFmt numFmtId="176" formatCode="_(* #,##0.0_);_(* \(#,##0.0\);_(* &quot;-&quot;?_);_(@_)"/>
    <numFmt numFmtId="177" formatCode="&quot;¢&quot;\ #,##0.00;[Red]&quot;¢&quot;\ \-#,##0.00"/>
    <numFmt numFmtId="178" formatCode="0.0%"/>
    <numFmt numFmtId="179" formatCode="_([$$-440A]* #,##0.00_);_([$$-440A]* \(#,##0.00\);_([$$-440A]* &quot;-&quot;??_);_(@_)"/>
    <numFmt numFmtId="180" formatCode="_([$$-440A]* #,##0.0_);_([$$-440A]* \(#,##0.0\);_([$$-440A]* &quot;-&quot;??_);_(@_)"/>
    <numFmt numFmtId="181" formatCode="0.0"/>
    <numFmt numFmtId="182" formatCode="#,##0.000"/>
  </numFmts>
  <fonts count="4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trike/>
      <sz val="12"/>
      <name val="Calibri"/>
      <family val="2"/>
      <scheme val="minor"/>
    </font>
    <font>
      <strike/>
      <sz val="12"/>
      <color rgb="FFFF000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b/>
      <sz val="12"/>
      <name val="Arial"/>
      <family val="2"/>
    </font>
    <font>
      <b/>
      <u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8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Calibri"/>
      <family val="2"/>
    </font>
    <font>
      <sz val="12"/>
      <name val="Calibri"/>
      <family val="2"/>
    </font>
    <font>
      <strike/>
      <sz val="12"/>
      <name val="Calibri"/>
      <family val="2"/>
    </font>
    <font>
      <sz val="11"/>
      <name val="Calibri"/>
      <family val="2"/>
    </font>
    <font>
      <b/>
      <sz val="12"/>
      <color indexed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49"/>
      </top>
      <bottom/>
      <diagonal/>
    </border>
    <border>
      <left/>
      <right/>
      <top style="double">
        <color indexed="49"/>
      </top>
      <bottom/>
      <diagonal/>
    </border>
    <border>
      <left/>
      <right style="double">
        <color indexed="49"/>
      </right>
      <top style="double">
        <color indexed="49"/>
      </top>
      <bottom/>
      <diagonal/>
    </border>
    <border>
      <left style="double">
        <color indexed="49"/>
      </left>
      <right style="double">
        <color indexed="49"/>
      </right>
      <top style="double">
        <color indexed="49"/>
      </top>
      <bottom style="medium">
        <color indexed="44"/>
      </bottom>
      <diagonal/>
    </border>
    <border>
      <left style="double">
        <color indexed="49"/>
      </left>
      <right style="double">
        <color indexed="49"/>
      </right>
      <top style="double">
        <color indexed="49"/>
      </top>
      <bottom/>
      <diagonal/>
    </border>
    <border>
      <left style="double">
        <color indexed="49"/>
      </left>
      <right/>
      <top style="double">
        <color indexed="49"/>
      </top>
      <bottom/>
      <diagonal/>
    </border>
    <border>
      <left style="double">
        <color indexed="49"/>
      </left>
      <right/>
      <top style="double">
        <color indexed="49"/>
      </top>
      <bottom style="double">
        <color indexed="49"/>
      </bottom>
      <diagonal/>
    </border>
    <border>
      <left/>
      <right/>
      <top style="double">
        <color indexed="49"/>
      </top>
      <bottom style="double">
        <color indexed="49"/>
      </bottom>
      <diagonal/>
    </border>
    <border>
      <left style="double">
        <color indexed="49"/>
      </left>
      <right style="thin">
        <color indexed="64"/>
      </right>
      <top style="double">
        <color indexed="49"/>
      </top>
      <bottom/>
      <diagonal/>
    </border>
    <border>
      <left style="thin">
        <color indexed="64"/>
      </left>
      <right style="thin">
        <color indexed="49"/>
      </right>
      <top style="double">
        <color indexed="49"/>
      </top>
      <bottom style="double">
        <color indexed="49"/>
      </bottom>
      <diagonal/>
    </border>
    <border>
      <left style="thin">
        <color indexed="49"/>
      </left>
      <right style="thin">
        <color indexed="49"/>
      </right>
      <top style="double">
        <color indexed="49"/>
      </top>
      <bottom style="double">
        <color indexed="49"/>
      </bottom>
      <diagonal/>
    </border>
    <border>
      <left style="thin">
        <color indexed="49"/>
      </left>
      <right style="double">
        <color indexed="49"/>
      </right>
      <top style="double">
        <color indexed="49"/>
      </top>
      <bottom style="double">
        <color indexed="49"/>
      </bottom>
      <diagonal/>
    </border>
    <border>
      <left style="double">
        <color indexed="49"/>
      </left>
      <right style="double">
        <color indexed="49"/>
      </right>
      <top style="medium">
        <color indexed="44"/>
      </top>
      <bottom style="medium">
        <color indexed="44"/>
      </bottom>
      <diagonal/>
    </border>
    <border>
      <left style="double">
        <color indexed="49"/>
      </left>
      <right style="double">
        <color indexed="49"/>
      </right>
      <top/>
      <bottom/>
      <diagonal/>
    </border>
    <border>
      <left style="double">
        <color indexed="49"/>
      </left>
      <right/>
      <top/>
      <bottom/>
      <diagonal/>
    </border>
    <border>
      <left style="double">
        <color indexed="49"/>
      </left>
      <right style="thin">
        <color indexed="49"/>
      </right>
      <top style="double">
        <color indexed="49"/>
      </top>
      <bottom style="double">
        <color indexed="49"/>
      </bottom>
      <diagonal/>
    </border>
    <border>
      <left style="thin">
        <color indexed="49"/>
      </left>
      <right style="double">
        <color indexed="49"/>
      </right>
      <top style="double">
        <color indexed="49"/>
      </top>
      <bottom/>
      <diagonal/>
    </border>
    <border>
      <left style="double">
        <color indexed="49"/>
      </left>
      <right style="thin">
        <color indexed="49"/>
      </right>
      <top style="double">
        <color indexed="49"/>
      </top>
      <bottom/>
      <diagonal/>
    </border>
    <border>
      <left style="thin">
        <color indexed="49"/>
      </left>
      <right style="thin">
        <color indexed="49"/>
      </right>
      <top style="double">
        <color indexed="49"/>
      </top>
      <bottom/>
      <diagonal/>
    </border>
    <border>
      <left style="double">
        <color indexed="49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49"/>
      </right>
      <top style="double">
        <color indexed="49"/>
      </top>
      <bottom/>
      <diagonal/>
    </border>
    <border>
      <left style="double">
        <color indexed="49"/>
      </left>
      <right style="double">
        <color indexed="49"/>
      </right>
      <top style="medium">
        <color indexed="44"/>
      </top>
      <bottom/>
      <diagonal/>
    </border>
    <border>
      <left/>
      <right style="thin">
        <color indexed="49"/>
      </right>
      <top style="double">
        <color indexed="49"/>
      </top>
      <bottom style="double">
        <color indexed="49"/>
      </bottom>
      <diagonal/>
    </border>
    <border>
      <left style="thin">
        <color indexed="49"/>
      </left>
      <right/>
      <top style="double">
        <color indexed="49"/>
      </top>
      <bottom style="double">
        <color indexed="49"/>
      </bottom>
      <diagonal/>
    </border>
    <border>
      <left style="thin">
        <color indexed="49"/>
      </left>
      <right style="double">
        <color indexed="49"/>
      </right>
      <top/>
      <bottom/>
      <diagonal/>
    </border>
    <border>
      <left style="double">
        <color indexed="49"/>
      </left>
      <right style="thin">
        <color indexed="49"/>
      </right>
      <top/>
      <bottom/>
      <diagonal/>
    </border>
    <border>
      <left style="thin">
        <color indexed="49"/>
      </left>
      <right style="thin">
        <color indexed="49"/>
      </right>
      <top/>
      <bottom/>
      <diagonal/>
    </border>
    <border>
      <left style="double">
        <color indexed="49"/>
      </left>
      <right style="thin">
        <color indexed="49"/>
      </right>
      <top style="double">
        <color indexed="49"/>
      </top>
      <bottom style="thin">
        <color indexed="64"/>
      </bottom>
      <diagonal/>
    </border>
    <border>
      <left style="thin">
        <color indexed="49"/>
      </left>
      <right style="thin">
        <color indexed="49"/>
      </right>
      <top style="double">
        <color indexed="49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49"/>
      </right>
      <top/>
      <bottom/>
      <diagonal/>
    </border>
  </borders>
  <cellStyleXfs count="1552">
    <xf numFmtId="0" fontId="0" fillId="0" borderId="0"/>
    <xf numFmtId="9" fontId="5" fillId="0" borderId="0" applyFont="0" applyFill="0" applyBorder="0" applyAlignment="0" applyProtection="0"/>
    <xf numFmtId="0" fontId="5" fillId="0" borderId="0"/>
    <xf numFmtId="0" fontId="10" fillId="0" borderId="0"/>
    <xf numFmtId="0" fontId="11" fillId="0" borderId="0"/>
    <xf numFmtId="0" fontId="4" fillId="0" borderId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0" fontId="5" fillId="0" borderId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9" fillId="12" borderId="0" applyNumberFormat="0" applyBorder="0" applyAlignment="0" applyProtection="0"/>
    <xf numFmtId="0" fontId="20" fillId="24" borderId="41" applyNumberFormat="0" applyAlignment="0" applyProtection="0"/>
    <xf numFmtId="0" fontId="21" fillId="25" borderId="42" applyNumberFormat="0" applyAlignment="0" applyProtection="0"/>
    <xf numFmtId="0" fontId="22" fillId="0" borderId="43" applyNumberFormat="0" applyFill="0" applyAlignment="0" applyProtection="0"/>
    <xf numFmtId="0" fontId="23" fillId="0" borderId="0" applyNumberFormat="0" applyFill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9" borderId="0" applyNumberFormat="0" applyBorder="0" applyAlignment="0" applyProtection="0"/>
    <xf numFmtId="0" fontId="24" fillId="15" borderId="41" applyNumberFormat="0" applyAlignment="0" applyProtection="0"/>
    <xf numFmtId="0" fontId="25" fillId="11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6" fillId="30" borderId="0" applyNumberFormat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31" borderId="44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7" fillId="24" borderId="45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46" applyNumberFormat="0" applyFill="0" applyAlignment="0" applyProtection="0"/>
    <xf numFmtId="0" fontId="31" fillId="0" borderId="47" applyNumberFormat="0" applyFill="0" applyAlignment="0" applyProtection="0"/>
    <xf numFmtId="0" fontId="23" fillId="0" borderId="48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49" applyNumberFormat="0" applyFill="0" applyAlignment="0" applyProtection="0"/>
    <xf numFmtId="0" fontId="5" fillId="0" borderId="0"/>
    <xf numFmtId="0" fontId="35" fillId="0" borderId="0"/>
    <xf numFmtId="0" fontId="17" fillId="10" borderId="0" applyNumberFormat="0" applyBorder="0" applyAlignment="0" applyProtection="0"/>
    <xf numFmtId="0" fontId="18" fillId="26" borderId="0" applyNumberFormat="0" applyBorder="0" applyAlignment="0" applyProtection="0"/>
    <xf numFmtId="4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6" fillId="0" borderId="0" applyNumberFormat="0" applyFont="0" applyFill="0" applyAlignment="0" applyProtection="0"/>
    <xf numFmtId="0" fontId="14" fillId="0" borderId="0" applyNumberFormat="0" applyFont="0" applyFill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6" fontId="5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0"/>
    <xf numFmtId="0" fontId="5" fillId="0" borderId="0"/>
    <xf numFmtId="0" fontId="16" fillId="0" borderId="0"/>
    <xf numFmtId="0" fontId="16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5" fillId="0" borderId="0"/>
    <xf numFmtId="0" fontId="5" fillId="0" borderId="0"/>
    <xf numFmtId="0" fontId="16" fillId="0" borderId="0"/>
    <xf numFmtId="9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5" fillId="0" borderId="0"/>
    <xf numFmtId="0" fontId="10" fillId="0" borderId="0"/>
    <xf numFmtId="0" fontId="10" fillId="0" borderId="0"/>
    <xf numFmtId="0" fontId="5" fillId="0" borderId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70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" fillId="0" borderId="0"/>
  </cellStyleXfs>
  <cellXfs count="1220">
    <xf numFmtId="0" fontId="0" fillId="0" borderId="0" xfId="0"/>
    <xf numFmtId="0" fontId="7" fillId="0" borderId="0" xfId="0" applyFont="1"/>
    <xf numFmtId="0" fontId="7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/>
    <xf numFmtId="0" fontId="6" fillId="2" borderId="1" xfId="0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justify" vertical="center" wrapText="1"/>
    </xf>
    <xf numFmtId="3" fontId="8" fillId="5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justify" vertical="center" wrapText="1"/>
    </xf>
    <xf numFmtId="0" fontId="7" fillId="5" borderId="1" xfId="0" applyFont="1" applyFill="1" applyBorder="1" applyAlignment="1">
      <alignment horizontal="left"/>
    </xf>
    <xf numFmtId="3" fontId="7" fillId="5" borderId="1" xfId="0" applyNumberFormat="1" applyFont="1" applyFill="1" applyBorder="1" applyAlignment="1">
      <alignment horizontal="center" vertical="center" wrapText="1"/>
    </xf>
    <xf numFmtId="3" fontId="7" fillId="5" borderId="4" xfId="0" applyNumberFormat="1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horizontal="right" vertical="center" wrapText="1"/>
    </xf>
    <xf numFmtId="3" fontId="7" fillId="5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justify" vertical="center" wrapText="1"/>
    </xf>
    <xf numFmtId="3" fontId="7" fillId="0" borderId="1" xfId="2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justify" vertical="center" wrapText="1"/>
    </xf>
    <xf numFmtId="49" fontId="7" fillId="0" borderId="1" xfId="0" applyNumberFormat="1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9" fontId="7" fillId="0" borderId="1" xfId="1" applyFont="1" applyFill="1" applyBorder="1" applyAlignment="1">
      <alignment horizontal="right" vertical="center" wrapText="1"/>
    </xf>
    <xf numFmtId="49" fontId="7" fillId="0" borderId="1" xfId="0" applyNumberFormat="1" applyFont="1" applyFill="1" applyBorder="1" applyAlignment="1">
      <alignment horizontal="justify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9" fontId="7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3" fontId="7" fillId="6" borderId="1" xfId="0" applyNumberFormat="1" applyFont="1" applyFill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justify" vertical="center" wrapText="1"/>
    </xf>
    <xf numFmtId="49" fontId="7" fillId="6" borderId="1" xfId="0" applyNumberFormat="1" applyFont="1" applyFill="1" applyBorder="1" applyAlignment="1">
      <alignment horizontal="justify" vertical="center" wrapText="1"/>
    </xf>
    <xf numFmtId="3" fontId="7" fillId="6" borderId="1" xfId="0" applyNumberFormat="1" applyFont="1" applyFill="1" applyBorder="1" applyAlignment="1">
      <alignment horizontal="right" vertical="center" wrapText="1"/>
    </xf>
    <xf numFmtId="3" fontId="7" fillId="0" borderId="6" xfId="0" applyNumberFormat="1" applyFont="1" applyFill="1" applyBorder="1" applyAlignment="1">
      <alignment horizontal="right" vertical="center" wrapText="1"/>
    </xf>
    <xf numFmtId="0" fontId="7" fillId="6" borderId="0" xfId="0" applyFont="1" applyFill="1"/>
    <xf numFmtId="3" fontId="7" fillId="6" borderId="6" xfId="0" applyNumberFormat="1" applyFont="1" applyFill="1" applyBorder="1" applyAlignment="1">
      <alignment horizontal="right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1" xfId="2" applyNumberFormat="1" applyFont="1" applyFill="1" applyBorder="1" applyAlignment="1">
      <alignment horizontal="righ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3" fontId="7" fillId="0" borderId="1" xfId="2" applyNumberFormat="1" applyFont="1" applyFill="1" applyBorder="1" applyAlignment="1">
      <alignment horizontal="center" vertical="center" wrapText="1"/>
    </xf>
    <xf numFmtId="3" fontId="9" fillId="5" borderId="1" xfId="0" applyNumberFormat="1" applyFont="1" applyFill="1" applyBorder="1" applyAlignment="1">
      <alignment horizontal="right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9" fontId="8" fillId="5" borderId="1" xfId="0" applyNumberFormat="1" applyFont="1" applyFill="1" applyBorder="1" applyAlignment="1">
      <alignment horizontal="center" vertical="center" wrapText="1"/>
    </xf>
    <xf numFmtId="9" fontId="7" fillId="0" borderId="1" xfId="1" applyFont="1" applyBorder="1" applyAlignment="1">
      <alignment horizontal="right" vertical="center" wrapText="1"/>
    </xf>
    <xf numFmtId="3" fontId="8" fillId="6" borderId="1" xfId="0" applyNumberFormat="1" applyFont="1" applyFill="1" applyBorder="1" applyAlignment="1">
      <alignment horizontal="right" vertical="center" wrapText="1"/>
    </xf>
    <xf numFmtId="9" fontId="7" fillId="0" borderId="1" xfId="1" applyFont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left" vertical="center" wrapText="1"/>
    </xf>
    <xf numFmtId="0" fontId="6" fillId="3" borderId="1" xfId="1" applyNumberFormat="1" applyFont="1" applyFill="1" applyBorder="1" applyAlignment="1">
      <alignment horizontal="center" vertical="center" wrapText="1"/>
    </xf>
    <xf numFmtId="3" fontId="6" fillId="3" borderId="4" xfId="1" applyNumberFormat="1" applyFont="1" applyFill="1" applyBorder="1" applyAlignment="1">
      <alignment horizontal="center" vertical="center" wrapText="1"/>
    </xf>
    <xf numFmtId="9" fontId="6" fillId="3" borderId="1" xfId="1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right" vertical="center" wrapText="1"/>
    </xf>
    <xf numFmtId="49" fontId="6" fillId="3" borderId="1" xfId="0" applyNumberFormat="1" applyFont="1" applyFill="1" applyBorder="1" applyAlignment="1">
      <alignment horizontal="justify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/>
    </xf>
    <xf numFmtId="1" fontId="7" fillId="0" borderId="0" xfId="0" applyNumberFormat="1" applyFont="1"/>
    <xf numFmtId="3" fontId="7" fillId="0" borderId="0" xfId="0" applyNumberFormat="1" applyFont="1" applyFill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Fill="1"/>
    <xf numFmtId="3" fontId="7" fillId="0" borderId="0" xfId="0" applyNumberFormat="1" applyFont="1"/>
    <xf numFmtId="0" fontId="12" fillId="0" borderId="0" xfId="4" applyFont="1"/>
    <xf numFmtId="0" fontId="7" fillId="0" borderId="0" xfId="4" applyFont="1" applyFill="1" applyBorder="1"/>
    <xf numFmtId="0" fontId="13" fillId="0" borderId="0" xfId="4" applyFont="1" applyFill="1" applyBorder="1" applyAlignment="1">
      <alignment vertical="center"/>
    </xf>
    <xf numFmtId="0" fontId="6" fillId="0" borderId="0" xfId="4" applyFont="1" applyFill="1" applyBorder="1" applyAlignment="1"/>
    <xf numFmtId="0" fontId="14" fillId="0" borderId="0" xfId="4" applyFont="1" applyAlignment="1"/>
    <xf numFmtId="0" fontId="6" fillId="2" borderId="1" xfId="4" applyFont="1" applyFill="1" applyBorder="1" applyAlignment="1">
      <alignment horizontal="center" vertical="center"/>
    </xf>
    <xf numFmtId="0" fontId="7" fillId="5" borderId="1" xfId="4" applyFont="1" applyFill="1" applyBorder="1" applyAlignment="1">
      <alignment horizontal="center" vertical="center" wrapText="1"/>
    </xf>
    <xf numFmtId="0" fontId="7" fillId="5" borderId="1" xfId="4" applyFont="1" applyFill="1" applyBorder="1" applyAlignment="1">
      <alignment horizontal="justify" vertical="center" wrapText="1"/>
    </xf>
    <xf numFmtId="3" fontId="7" fillId="5" borderId="1" xfId="4" applyNumberFormat="1" applyFont="1" applyFill="1" applyBorder="1" applyAlignment="1">
      <alignment horizontal="center" vertical="center"/>
    </xf>
    <xf numFmtId="0" fontId="6" fillId="5" borderId="1" xfId="4" applyFont="1" applyFill="1" applyBorder="1" applyAlignment="1">
      <alignment horizontal="center" vertical="center" wrapText="1"/>
    </xf>
    <xf numFmtId="3" fontId="7" fillId="5" borderId="1" xfId="4" applyNumberFormat="1" applyFont="1" applyFill="1" applyBorder="1" applyAlignment="1">
      <alignment horizontal="center" vertical="center" wrapText="1"/>
    </xf>
    <xf numFmtId="3" fontId="16" fillId="5" borderId="1" xfId="4" applyNumberFormat="1" applyFont="1" applyFill="1" applyBorder="1" applyAlignment="1">
      <alignment horizontal="center" vertical="center" wrapText="1"/>
    </xf>
    <xf numFmtId="0" fontId="6" fillId="5" borderId="1" xfId="4" applyFont="1" applyFill="1" applyBorder="1" applyAlignment="1">
      <alignment horizontal="right" vertical="center" wrapText="1"/>
    </xf>
    <xf numFmtId="3" fontId="7" fillId="5" borderId="1" xfId="4" applyNumberFormat="1" applyFont="1" applyFill="1" applyBorder="1" applyAlignment="1">
      <alignment horizontal="right" vertical="center" wrapText="1"/>
    </xf>
    <xf numFmtId="3" fontId="7" fillId="0" borderId="1" xfId="4" applyNumberFormat="1" applyFont="1" applyFill="1" applyBorder="1" applyAlignment="1">
      <alignment horizontal="center" vertical="center" wrapText="1"/>
    </xf>
    <xf numFmtId="9" fontId="7" fillId="0" borderId="1" xfId="2" applyNumberFormat="1" applyFont="1" applyFill="1" applyBorder="1" applyAlignment="1">
      <alignment horizontal="justify" vertical="center" wrapText="1"/>
    </xf>
    <xf numFmtId="3" fontId="16" fillId="0" borderId="1" xfId="4" applyNumberFormat="1" applyFont="1" applyBorder="1" applyAlignment="1">
      <alignment horizontal="right" vertical="center" wrapText="1"/>
    </xf>
    <xf numFmtId="49" fontId="16" fillId="0" borderId="1" xfId="4" applyNumberFormat="1" applyFont="1" applyBorder="1" applyAlignment="1">
      <alignment horizontal="justify" vertical="center" wrapText="1"/>
    </xf>
    <xf numFmtId="0" fontId="7" fillId="5" borderId="1" xfId="4" applyFont="1" applyFill="1" applyBorder="1"/>
    <xf numFmtId="0" fontId="7" fillId="5" borderId="1" xfId="4" applyFont="1" applyFill="1" applyBorder="1" applyAlignment="1">
      <alignment horizontal="right" vertical="center" wrapText="1"/>
    </xf>
    <xf numFmtId="1" fontId="7" fillId="5" borderId="1" xfId="4" applyNumberFormat="1" applyFont="1" applyFill="1" applyBorder="1" applyAlignment="1">
      <alignment horizontal="right" vertical="center" wrapText="1"/>
    </xf>
    <xf numFmtId="3" fontId="7" fillId="6" borderId="1" xfId="4" applyNumberFormat="1" applyFont="1" applyFill="1" applyBorder="1" applyAlignment="1">
      <alignment horizontal="right" vertical="center" wrapText="1"/>
    </xf>
    <xf numFmtId="49" fontId="16" fillId="6" borderId="1" xfId="4" applyNumberFormat="1" applyFont="1" applyFill="1" applyBorder="1" applyAlignment="1">
      <alignment horizontal="justify" vertical="center" wrapText="1"/>
    </xf>
    <xf numFmtId="3" fontId="7" fillId="0" borderId="1" xfId="2" applyNumberFormat="1" applyFont="1" applyFill="1" applyBorder="1" applyAlignment="1">
      <alignment horizontal="justify" vertical="center" wrapText="1"/>
    </xf>
    <xf numFmtId="0" fontId="7" fillId="0" borderId="1" xfId="4" applyFont="1" applyFill="1" applyBorder="1" applyAlignment="1">
      <alignment horizontal="right" vertical="center" wrapText="1"/>
    </xf>
    <xf numFmtId="3" fontId="7" fillId="0" borderId="1" xfId="4" applyNumberFormat="1" applyFont="1" applyFill="1" applyBorder="1" applyAlignment="1">
      <alignment horizontal="right" vertical="center" wrapText="1"/>
    </xf>
    <xf numFmtId="1" fontId="7" fillId="0" borderId="1" xfId="4" applyNumberFormat="1" applyFont="1" applyFill="1" applyBorder="1" applyAlignment="1">
      <alignment horizontal="right" vertical="center" wrapText="1"/>
    </xf>
    <xf numFmtId="0" fontId="7" fillId="0" borderId="1" xfId="4" applyFont="1" applyFill="1" applyBorder="1"/>
    <xf numFmtId="49" fontId="7" fillId="0" borderId="1" xfId="4" applyNumberFormat="1" applyFont="1" applyBorder="1" applyAlignment="1">
      <alignment horizontal="center" vertical="center" wrapText="1"/>
    </xf>
    <xf numFmtId="49" fontId="7" fillId="0" borderId="1" xfId="4" applyNumberFormat="1" applyFont="1" applyBorder="1" applyAlignment="1">
      <alignment horizontal="justify" vertical="center" wrapText="1"/>
    </xf>
    <xf numFmtId="0" fontId="7" fillId="6" borderId="1" xfId="4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justify" vertical="center" wrapText="1"/>
    </xf>
    <xf numFmtId="0" fontId="7" fillId="0" borderId="0" xfId="4" applyFont="1"/>
    <xf numFmtId="0" fontId="7" fillId="0" borderId="1" xfId="2" applyFont="1" applyFill="1" applyBorder="1" applyAlignment="1">
      <alignment horizontal="justify" vertical="center" wrapText="1"/>
    </xf>
    <xf numFmtId="3" fontId="7" fillId="0" borderId="1" xfId="4" applyNumberFormat="1" applyFont="1" applyBorder="1" applyAlignment="1">
      <alignment horizontal="right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6" borderId="1" xfId="4" applyFont="1" applyFill="1" applyBorder="1" applyAlignment="1">
      <alignment horizontal="justify" vertical="center" wrapText="1"/>
    </xf>
    <xf numFmtId="3" fontId="7" fillId="6" borderId="1" xfId="4" applyNumberFormat="1" applyFont="1" applyFill="1" applyBorder="1" applyAlignment="1">
      <alignment horizontal="center" vertical="center" wrapText="1"/>
    </xf>
    <xf numFmtId="49" fontId="7" fillId="5" borderId="1" xfId="4" applyNumberFormat="1" applyFont="1" applyFill="1" applyBorder="1" applyAlignment="1">
      <alignment horizontal="center" vertical="center" wrapText="1"/>
    </xf>
    <xf numFmtId="49" fontId="7" fillId="5" borderId="1" xfId="4" applyNumberFormat="1" applyFont="1" applyFill="1" applyBorder="1" applyAlignment="1">
      <alignment horizontal="justify" vertical="center" wrapText="1"/>
    </xf>
    <xf numFmtId="49" fontId="7" fillId="0" borderId="1" xfId="4" applyNumberFormat="1" applyFont="1" applyFill="1" applyBorder="1" applyAlignment="1">
      <alignment horizontal="justify" vertical="center" wrapText="1"/>
    </xf>
    <xf numFmtId="49" fontId="7" fillId="6" borderId="1" xfId="4" applyNumberFormat="1" applyFont="1" applyFill="1" applyBorder="1" applyAlignment="1">
      <alignment horizontal="center" vertical="center" wrapText="1"/>
    </xf>
    <xf numFmtId="3" fontId="7" fillId="0" borderId="7" xfId="4" applyNumberFormat="1" applyFont="1" applyBorder="1" applyAlignment="1">
      <alignment horizontal="center" vertical="center" wrapText="1"/>
    </xf>
    <xf numFmtId="4" fontId="7" fillId="6" borderId="1" xfId="4" applyNumberFormat="1" applyFont="1" applyFill="1" applyBorder="1" applyAlignment="1">
      <alignment horizontal="right" vertical="center" wrapText="1"/>
    </xf>
    <xf numFmtId="9" fontId="7" fillId="5" borderId="1" xfId="4" applyNumberFormat="1" applyFont="1" applyFill="1" applyBorder="1" applyAlignment="1">
      <alignment horizontal="justify" vertical="center" wrapText="1"/>
    </xf>
    <xf numFmtId="0" fontId="12" fillId="3" borderId="1" xfId="4" applyFont="1" applyFill="1" applyBorder="1"/>
    <xf numFmtId="3" fontId="7" fillId="3" borderId="1" xfId="4" applyNumberFormat="1" applyFont="1" applyFill="1" applyBorder="1" applyAlignment="1">
      <alignment horizontal="center" vertical="center" wrapText="1"/>
    </xf>
    <xf numFmtId="3" fontId="12" fillId="3" borderId="1" xfId="4" applyNumberFormat="1" applyFont="1" applyFill="1" applyBorder="1" applyAlignment="1">
      <alignment horizontal="center" vertical="center" wrapText="1"/>
    </xf>
    <xf numFmtId="0" fontId="12" fillId="3" borderId="1" xfId="4" applyFont="1" applyFill="1" applyBorder="1" applyAlignment="1">
      <alignment horizontal="right" vertical="center" wrapText="1"/>
    </xf>
    <xf numFmtId="3" fontId="7" fillId="3" borderId="1" xfId="4" applyNumberFormat="1" applyFont="1" applyFill="1" applyBorder="1" applyAlignment="1">
      <alignment horizontal="right" vertical="center" wrapText="1"/>
    </xf>
    <xf numFmtId="1" fontId="12" fillId="3" borderId="1" xfId="4" applyNumberFormat="1" applyFont="1" applyFill="1" applyBorder="1" applyAlignment="1">
      <alignment horizontal="right" vertical="center" wrapText="1"/>
    </xf>
    <xf numFmtId="1" fontId="12" fillId="0" borderId="0" xfId="4" applyNumberFormat="1" applyFont="1"/>
    <xf numFmtId="0" fontId="7" fillId="0" borderId="0" xfId="2" applyFont="1"/>
    <xf numFmtId="49" fontId="6" fillId="2" borderId="14" xfId="2" applyNumberFormat="1" applyFont="1" applyFill="1" applyBorder="1" applyAlignment="1">
      <alignment horizontal="center" vertical="center" wrapText="1"/>
    </xf>
    <xf numFmtId="0" fontId="6" fillId="2" borderId="29" xfId="2" applyFont="1" applyFill="1" applyBorder="1" applyAlignment="1">
      <alignment horizontal="center" vertical="center"/>
    </xf>
    <xf numFmtId="0" fontId="6" fillId="2" borderId="30" xfId="2" applyFont="1" applyFill="1" applyBorder="1" applyAlignment="1">
      <alignment horizontal="center" vertical="center"/>
    </xf>
    <xf numFmtId="0" fontId="6" fillId="2" borderId="39" xfId="2" applyFont="1" applyFill="1" applyBorder="1" applyAlignment="1">
      <alignment horizontal="center" vertical="center"/>
    </xf>
    <xf numFmtId="0" fontId="6" fillId="2" borderId="40" xfId="2" applyFont="1" applyFill="1" applyBorder="1" applyAlignment="1">
      <alignment horizontal="center" vertical="center"/>
    </xf>
    <xf numFmtId="49" fontId="7" fillId="5" borderId="1" xfId="2" applyNumberFormat="1" applyFont="1" applyFill="1" applyBorder="1" applyAlignment="1">
      <alignment horizontal="center" vertical="center" wrapText="1"/>
    </xf>
    <xf numFmtId="0" fontId="7" fillId="5" borderId="1" xfId="2" applyFont="1" applyFill="1" applyBorder="1" applyAlignment="1">
      <alignment horizontal="justify" vertical="center" wrapText="1"/>
    </xf>
    <xf numFmtId="0" fontId="7" fillId="5" borderId="1" xfId="2" applyFont="1" applyFill="1" applyBorder="1" applyAlignment="1">
      <alignment horizontal="justify" vertical="center"/>
    </xf>
    <xf numFmtId="4" fontId="7" fillId="5" borderId="1" xfId="2" applyNumberFormat="1" applyFont="1" applyFill="1" applyBorder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right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0" fontId="7" fillId="6" borderId="1" xfId="2" applyFont="1" applyFill="1" applyBorder="1" applyAlignment="1">
      <alignment horizontal="center" vertical="center" wrapText="1"/>
    </xf>
    <xf numFmtId="0" fontId="7" fillId="6" borderId="1" xfId="2" applyFont="1" applyFill="1" applyBorder="1" applyAlignment="1">
      <alignment horizontal="justify" vertical="center" wrapText="1"/>
    </xf>
    <xf numFmtId="3" fontId="7" fillId="6" borderId="1" xfId="2" applyNumberFormat="1" applyFont="1" applyFill="1" applyBorder="1" applyAlignment="1">
      <alignment horizontal="center" vertical="center" wrapText="1"/>
    </xf>
    <xf numFmtId="9" fontId="7" fillId="6" borderId="1" xfId="2" applyNumberFormat="1" applyFont="1" applyFill="1" applyBorder="1" applyAlignment="1">
      <alignment horizontal="justify" vertical="center" wrapText="1"/>
    </xf>
    <xf numFmtId="4" fontId="7" fillId="6" borderId="1" xfId="2" applyNumberFormat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right" vertical="center" wrapText="1"/>
    </xf>
    <xf numFmtId="41" fontId="7" fillId="0" borderId="1" xfId="2" applyNumberFormat="1" applyFont="1" applyFill="1" applyBorder="1" applyAlignment="1">
      <alignment horizontal="right" vertical="center" wrapText="1"/>
    </xf>
    <xf numFmtId="3" fontId="7" fillId="0" borderId="1" xfId="16" applyNumberFormat="1" applyFont="1" applyFill="1" applyBorder="1" applyAlignment="1">
      <alignment horizontal="right" vertical="center" wrapText="1"/>
    </xf>
    <xf numFmtId="3" fontId="7" fillId="0" borderId="1" xfId="17" applyNumberFormat="1" applyFont="1" applyFill="1" applyBorder="1" applyAlignment="1">
      <alignment horizontal="right" vertical="center" wrapText="1"/>
    </xf>
    <xf numFmtId="3" fontId="7" fillId="6" borderId="1" xfId="2" applyNumberFormat="1" applyFont="1" applyFill="1" applyBorder="1" applyAlignment="1">
      <alignment horizontal="right" vertical="center" wrapText="1"/>
    </xf>
    <xf numFmtId="0" fontId="7" fillId="0" borderId="1" xfId="5" applyFont="1" applyFill="1" applyBorder="1" applyAlignment="1">
      <alignment horizontal="right" vertical="center" wrapText="1"/>
    </xf>
    <xf numFmtId="3" fontId="7" fillId="0" borderId="1" xfId="5" applyNumberFormat="1" applyFont="1" applyFill="1" applyBorder="1" applyAlignment="1">
      <alignment horizontal="right" vertical="center" wrapText="1"/>
    </xf>
    <xf numFmtId="3" fontId="7" fillId="0" borderId="1" xfId="2" applyNumberFormat="1" applyFont="1" applyFill="1" applyBorder="1" applyAlignment="1">
      <alignment horizontal="center" vertical="center"/>
    </xf>
    <xf numFmtId="49" fontId="7" fillId="0" borderId="1" xfId="2" applyNumberFormat="1" applyFont="1" applyFill="1" applyBorder="1" applyAlignment="1">
      <alignment horizontal="center" vertical="center" wrapText="1"/>
    </xf>
    <xf numFmtId="3" fontId="7" fillId="0" borderId="1" xfId="16" applyNumberFormat="1" applyFont="1" applyFill="1" applyBorder="1" applyAlignment="1">
      <alignment horizontal="center" vertical="center" wrapText="1"/>
    </xf>
    <xf numFmtId="0" fontId="7" fillId="5" borderId="1" xfId="2" applyFont="1" applyFill="1" applyBorder="1" applyAlignment="1">
      <alignment horizontal="center" vertical="center" wrapText="1"/>
    </xf>
    <xf numFmtId="3" fontId="7" fillId="5" borderId="1" xfId="19" applyNumberFormat="1" applyFont="1" applyFill="1" applyBorder="1" applyAlignment="1">
      <alignment horizontal="right" vertical="center" wrapText="1"/>
    </xf>
    <xf numFmtId="3" fontId="7" fillId="5" borderId="1" xfId="16" applyNumberFormat="1" applyFont="1" applyFill="1" applyBorder="1" applyAlignment="1">
      <alignment horizontal="right" vertical="center" wrapText="1"/>
    </xf>
    <xf numFmtId="49" fontId="7" fillId="6" borderId="1" xfId="2" applyNumberFormat="1" applyFont="1" applyFill="1" applyBorder="1" applyAlignment="1">
      <alignment horizontal="center" vertical="center" wrapText="1"/>
    </xf>
    <xf numFmtId="4" fontId="7" fillId="0" borderId="1" xfId="2" applyNumberFormat="1" applyFont="1" applyFill="1" applyBorder="1" applyAlignment="1">
      <alignment horizontal="center" vertical="center" wrapText="1"/>
    </xf>
    <xf numFmtId="0" fontId="7" fillId="0" borderId="0" xfId="2" applyFont="1" applyFill="1"/>
    <xf numFmtId="3" fontId="7" fillId="5" borderId="1" xfId="16" applyNumberFormat="1" applyFont="1" applyFill="1" applyBorder="1" applyAlignment="1">
      <alignment horizontal="center" vertical="center" wrapText="1"/>
    </xf>
    <xf numFmtId="49" fontId="7" fillId="0" borderId="1" xfId="2" applyNumberFormat="1" applyFont="1" applyFill="1" applyBorder="1" applyAlignment="1">
      <alignment horizontal="right" vertical="center" wrapText="1"/>
    </xf>
    <xf numFmtId="1" fontId="7" fillId="0" borderId="1" xfId="5" applyNumberFormat="1" applyFont="1" applyFill="1" applyBorder="1" applyAlignment="1">
      <alignment horizontal="right" vertical="center" wrapText="1"/>
    </xf>
    <xf numFmtId="3" fontId="7" fillId="0" borderId="0" xfId="2" applyNumberFormat="1" applyFont="1"/>
    <xf numFmtId="49" fontId="7" fillId="0" borderId="1" xfId="2" applyNumberFormat="1" applyFont="1" applyFill="1" applyBorder="1" applyAlignment="1">
      <alignment vertical="center" wrapText="1"/>
    </xf>
    <xf numFmtId="4" fontId="7" fillId="0" borderId="1" xfId="20" applyNumberFormat="1" applyFont="1" applyFill="1" applyBorder="1" applyAlignment="1">
      <alignment horizontal="center" vertical="center" wrapText="1"/>
    </xf>
    <xf numFmtId="3" fontId="7" fillId="0" borderId="1" xfId="20" applyNumberFormat="1" applyFont="1" applyFill="1" applyBorder="1" applyAlignment="1">
      <alignment horizontal="right" vertical="center" wrapText="1"/>
    </xf>
    <xf numFmtId="0" fontId="7" fillId="0" borderId="1" xfId="20" applyFont="1" applyFill="1" applyBorder="1" applyAlignment="1">
      <alignment horizontal="justify" vertical="center" wrapText="1"/>
    </xf>
    <xf numFmtId="49" fontId="7" fillId="5" borderId="1" xfId="2" applyNumberFormat="1" applyFont="1" applyFill="1" applyBorder="1" applyAlignment="1">
      <alignment vertical="center" wrapText="1"/>
    </xf>
    <xf numFmtId="3" fontId="7" fillId="5" borderId="1" xfId="20" applyNumberFormat="1" applyFont="1" applyFill="1" applyBorder="1" applyAlignment="1">
      <alignment horizontal="center" vertical="center" wrapText="1"/>
    </xf>
    <xf numFmtId="3" fontId="7" fillId="5" borderId="1" xfId="20" applyNumberFormat="1" applyFont="1" applyFill="1" applyBorder="1" applyAlignment="1">
      <alignment horizontal="right" vertical="center" wrapText="1"/>
    </xf>
    <xf numFmtId="0" fontId="7" fillId="5" borderId="1" xfId="20" applyFont="1" applyFill="1" applyBorder="1" applyAlignment="1">
      <alignment horizontal="justify" vertical="center" wrapText="1"/>
    </xf>
    <xf numFmtId="41" fontId="7" fillId="0" borderId="1" xfId="16" applyNumberFormat="1" applyFont="1" applyBorder="1" applyAlignment="1">
      <alignment vertical="center"/>
    </xf>
    <xf numFmtId="3" fontId="7" fillId="7" borderId="1" xfId="2" applyNumberFormat="1" applyFont="1" applyFill="1" applyBorder="1" applyAlignment="1">
      <alignment horizontal="center" vertical="center" wrapText="1"/>
    </xf>
    <xf numFmtId="3" fontId="7" fillId="0" borderId="1" xfId="20" applyNumberFormat="1" applyFont="1" applyFill="1" applyBorder="1" applyAlignment="1">
      <alignment horizontal="center" vertical="center" wrapText="1"/>
    </xf>
    <xf numFmtId="41" fontId="7" fillId="0" borderId="1" xfId="16" applyNumberFormat="1" applyFont="1" applyBorder="1" applyAlignment="1">
      <alignment horizontal="center" vertical="center"/>
    </xf>
    <xf numFmtId="4" fontId="7" fillId="5" borderId="1" xfId="20" applyNumberFormat="1" applyFont="1" applyFill="1" applyBorder="1" applyAlignment="1">
      <alignment horizontal="center" vertical="center" wrapText="1"/>
    </xf>
    <xf numFmtId="0" fontId="7" fillId="5" borderId="1" xfId="2" applyFont="1" applyFill="1" applyBorder="1" applyAlignment="1">
      <alignment horizontal="right" vertical="center" wrapText="1"/>
    </xf>
    <xf numFmtId="0" fontId="7" fillId="0" borderId="1" xfId="16" applyFont="1" applyFill="1" applyBorder="1" applyAlignment="1">
      <alignment horizontal="center" vertical="center"/>
    </xf>
    <xf numFmtId="49" fontId="7" fillId="8" borderId="1" xfId="2" applyNumberFormat="1" applyFont="1" applyFill="1" applyBorder="1" applyAlignment="1">
      <alignment horizontal="center" vertical="center" wrapText="1"/>
    </xf>
    <xf numFmtId="0" fontId="7" fillId="8" borderId="1" xfId="2" applyFont="1" applyFill="1" applyBorder="1" applyAlignment="1">
      <alignment horizontal="center" vertical="center" wrapText="1"/>
    </xf>
    <xf numFmtId="4" fontId="7" fillId="8" borderId="1" xfId="2" applyNumberFormat="1" applyFont="1" applyFill="1" applyBorder="1" applyAlignment="1">
      <alignment horizontal="center" vertical="center" wrapText="1"/>
    </xf>
    <xf numFmtId="3" fontId="7" fillId="8" borderId="1" xfId="2" applyNumberFormat="1" applyFont="1" applyFill="1" applyBorder="1" applyAlignment="1">
      <alignment horizontal="center" vertical="center" wrapText="1"/>
    </xf>
    <xf numFmtId="0" fontId="7" fillId="8" borderId="1" xfId="20" applyFont="1" applyFill="1" applyBorder="1" applyAlignment="1">
      <alignment horizontal="justify" vertical="center" wrapText="1"/>
    </xf>
    <xf numFmtId="0" fontId="7" fillId="0" borderId="1" xfId="2" applyFont="1" applyBorder="1" applyAlignment="1">
      <alignment horizontal="center" vertical="center"/>
    </xf>
    <xf numFmtId="3" fontId="7" fillId="0" borderId="1" xfId="5" applyNumberFormat="1" applyFont="1" applyFill="1" applyBorder="1" applyAlignment="1">
      <alignment horizontal="center" vertical="center"/>
    </xf>
    <xf numFmtId="0" fontId="7" fillId="0" borderId="1" xfId="2" applyNumberFormat="1" applyFont="1" applyFill="1" applyBorder="1" applyAlignment="1">
      <alignment horizontal="right" vertical="center" wrapText="1"/>
    </xf>
    <xf numFmtId="0" fontId="7" fillId="0" borderId="1" xfId="18" applyNumberFormat="1" applyFont="1" applyFill="1" applyBorder="1" applyAlignment="1">
      <alignment horizontal="right" vertical="center" wrapText="1"/>
    </xf>
    <xf numFmtId="0" fontId="7" fillId="0" borderId="1" xfId="2" applyFont="1" applyFill="1" applyBorder="1" applyAlignment="1" applyProtection="1">
      <alignment horizontal="justify" vertical="center" wrapText="1"/>
      <protection locked="0"/>
    </xf>
    <xf numFmtId="3" fontId="7" fillId="0" borderId="1" xfId="5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/>
    </xf>
    <xf numFmtId="49" fontId="7" fillId="0" borderId="1" xfId="2" applyNumberFormat="1" applyFont="1" applyFill="1" applyBorder="1" applyAlignment="1">
      <alignment horizontal="justify" vertical="center" wrapText="1"/>
    </xf>
    <xf numFmtId="0" fontId="7" fillId="0" borderId="1" xfId="2" applyNumberFormat="1" applyFont="1" applyFill="1" applyBorder="1" applyAlignment="1">
      <alignment horizontal="justify" vertical="center" wrapText="1"/>
    </xf>
    <xf numFmtId="0" fontId="7" fillId="0" borderId="1" xfId="16" applyFont="1" applyFill="1" applyBorder="1" applyAlignment="1">
      <alignment horizontal="justify" vertical="center" wrapText="1"/>
    </xf>
    <xf numFmtId="0" fontId="7" fillId="0" borderId="1" xfId="16" applyFont="1" applyFill="1" applyBorder="1" applyAlignment="1">
      <alignment horizontal="center" vertical="center" wrapText="1"/>
    </xf>
    <xf numFmtId="3" fontId="7" fillId="6" borderId="1" xfId="5" applyNumberFormat="1" applyFont="1" applyFill="1" applyBorder="1" applyAlignment="1">
      <alignment horizontal="justify" vertical="center" wrapText="1"/>
    </xf>
    <xf numFmtId="169" fontId="7" fillId="0" borderId="1" xfId="5" applyNumberFormat="1" applyFont="1" applyFill="1" applyBorder="1" applyAlignment="1">
      <alignment horizontal="right" vertical="center" wrapText="1"/>
    </xf>
    <xf numFmtId="3" fontId="7" fillId="0" borderId="1" xfId="5" applyNumberFormat="1" applyFont="1" applyFill="1" applyBorder="1" applyAlignment="1">
      <alignment horizontal="justify" vertical="center" wrapText="1"/>
    </xf>
    <xf numFmtId="3" fontId="7" fillId="7" borderId="1" xfId="5" applyNumberFormat="1" applyFont="1" applyFill="1" applyBorder="1" applyAlignment="1">
      <alignment horizontal="center" vertical="center" wrapText="1"/>
    </xf>
    <xf numFmtId="0" fontId="7" fillId="5" borderId="1" xfId="2" applyNumberFormat="1" applyFont="1" applyFill="1" applyBorder="1" applyAlignment="1">
      <alignment horizontal="justify" vertical="center" wrapText="1"/>
    </xf>
    <xf numFmtId="9" fontId="7" fillId="5" borderId="1" xfId="2" applyNumberFormat="1" applyFont="1" applyFill="1" applyBorder="1" applyAlignment="1">
      <alignment horizontal="justify" vertical="center" wrapText="1"/>
    </xf>
    <xf numFmtId="3" fontId="6" fillId="5" borderId="1" xfId="2" applyNumberFormat="1" applyFont="1" applyFill="1" applyBorder="1" applyAlignment="1">
      <alignment horizontal="right" vertical="center" wrapText="1"/>
    </xf>
    <xf numFmtId="3" fontId="6" fillId="9" borderId="1" xfId="2" applyNumberFormat="1" applyFont="1" applyFill="1" applyBorder="1" applyAlignment="1">
      <alignment horizontal="right" vertical="center" wrapText="1"/>
    </xf>
    <xf numFmtId="0" fontId="7" fillId="5" borderId="1" xfId="2" applyFont="1" applyFill="1" applyBorder="1" applyAlignment="1" applyProtection="1">
      <alignment horizontal="center" vertical="center" wrapText="1"/>
      <protection locked="0"/>
    </xf>
    <xf numFmtId="0" fontId="7" fillId="0" borderId="10" xfId="2" applyFont="1" applyFill="1" applyBorder="1" applyAlignment="1">
      <alignment vertical="top" wrapText="1"/>
    </xf>
    <xf numFmtId="3" fontId="7" fillId="0" borderId="10" xfId="2" applyNumberFormat="1" applyFont="1" applyFill="1" applyBorder="1" applyAlignment="1">
      <alignment vertical="top" wrapText="1"/>
    </xf>
    <xf numFmtId="49" fontId="7" fillId="0" borderId="0" xfId="2" applyNumberFormat="1" applyFont="1"/>
    <xf numFmtId="0" fontId="7" fillId="9" borderId="0" xfId="2" applyFont="1" applyFill="1"/>
    <xf numFmtId="49" fontId="7" fillId="9" borderId="0" xfId="2" applyNumberFormat="1" applyFont="1" applyFill="1"/>
    <xf numFmtId="0" fontId="7" fillId="0" borderId="0" xfId="2" applyFont="1" applyFill="1" applyBorder="1"/>
    <xf numFmtId="0" fontId="7" fillId="0" borderId="0" xfId="2" applyFont="1" applyFill="1" applyBorder="1" applyAlignment="1"/>
    <xf numFmtId="0" fontId="7" fillId="0" borderId="0" xfId="2" applyFont="1" applyAlignment="1"/>
    <xf numFmtId="0" fontId="7" fillId="0" borderId="0" xfId="2" applyFont="1" applyAlignment="1">
      <alignment horizontal="center" vertical="center" wrapText="1"/>
    </xf>
    <xf numFmtId="0" fontId="7" fillId="5" borderId="1" xfId="76" applyFont="1" applyFill="1" applyBorder="1" applyAlignment="1">
      <alignment horizontal="center" vertical="center" wrapText="1"/>
    </xf>
    <xf numFmtId="0" fontId="7" fillId="5" borderId="1" xfId="76" applyFont="1" applyFill="1" applyBorder="1" applyAlignment="1">
      <alignment horizontal="justify" vertical="center" wrapText="1"/>
    </xf>
    <xf numFmtId="3" fontId="7" fillId="5" borderId="1" xfId="76" applyNumberFormat="1" applyFont="1" applyFill="1" applyBorder="1" applyAlignment="1">
      <alignment horizontal="center" vertical="center" wrapText="1"/>
    </xf>
    <xf numFmtId="0" fontId="7" fillId="0" borderId="1" xfId="76" applyFont="1" applyFill="1" applyBorder="1" applyAlignment="1">
      <alignment horizontal="center" vertical="center" wrapText="1"/>
    </xf>
    <xf numFmtId="0" fontId="7" fillId="0" borderId="1" xfId="76" applyFont="1" applyFill="1" applyBorder="1" applyAlignment="1">
      <alignment horizontal="justify" vertical="center" wrapText="1"/>
    </xf>
    <xf numFmtId="3" fontId="7" fillId="0" borderId="1" xfId="76" applyNumberFormat="1" applyFont="1" applyFill="1" applyBorder="1" applyAlignment="1">
      <alignment horizontal="center" vertical="center" wrapText="1"/>
    </xf>
    <xf numFmtId="0" fontId="7" fillId="6" borderId="1" xfId="2" applyNumberFormat="1" applyFont="1" applyFill="1" applyBorder="1" applyAlignment="1">
      <alignment horizontal="justify" vertical="center" wrapText="1"/>
    </xf>
    <xf numFmtId="0" fontId="7" fillId="0" borderId="1" xfId="19" applyFont="1" applyBorder="1" applyAlignment="1">
      <alignment horizontal="center" vertical="center" wrapText="1"/>
    </xf>
    <xf numFmtId="0" fontId="7" fillId="0" borderId="1" xfId="19" applyFont="1" applyFill="1" applyBorder="1" applyAlignment="1">
      <alignment horizontal="justify" vertical="center" wrapText="1"/>
    </xf>
    <xf numFmtId="0" fontId="7" fillId="6" borderId="1" xfId="75" applyFont="1" applyFill="1" applyBorder="1" applyAlignment="1">
      <alignment horizontal="justify" vertical="center" wrapText="1"/>
    </xf>
    <xf numFmtId="0" fontId="7" fillId="0" borderId="1" xfId="2" applyFont="1" applyBorder="1" applyAlignment="1">
      <alignment horizontal="justify" vertical="center" wrapText="1"/>
    </xf>
    <xf numFmtId="0" fontId="7" fillId="0" borderId="11" xfId="2" applyFont="1" applyFill="1" applyBorder="1" applyAlignment="1">
      <alignment horizontal="justify" vertical="center" wrapText="1"/>
    </xf>
    <xf numFmtId="0" fontId="7" fillId="5" borderId="50" xfId="75" applyFont="1" applyFill="1" applyBorder="1" applyAlignment="1">
      <alignment horizontal="center" vertical="center" wrapText="1"/>
    </xf>
    <xf numFmtId="0" fontId="7" fillId="5" borderId="11" xfId="75" applyFont="1" applyFill="1" applyBorder="1" applyAlignment="1">
      <alignment horizontal="center" vertical="center" wrapText="1"/>
    </xf>
    <xf numFmtId="0" fontId="7" fillId="5" borderId="11" xfId="75" applyFont="1" applyFill="1" applyBorder="1" applyAlignment="1">
      <alignment horizontal="justify" vertical="center" wrapText="1"/>
    </xf>
    <xf numFmtId="3" fontId="7" fillId="5" borderId="11" xfId="75" applyNumberFormat="1" applyFont="1" applyFill="1" applyBorder="1" applyAlignment="1">
      <alignment horizontal="center" vertical="center" wrapText="1"/>
    </xf>
    <xf numFmtId="0" fontId="7" fillId="6" borderId="51" xfId="75" applyFont="1" applyFill="1" applyBorder="1" applyAlignment="1">
      <alignment horizontal="center" vertical="center" wrapText="1"/>
    </xf>
    <xf numFmtId="0" fontId="7" fillId="6" borderId="52" xfId="75" applyFont="1" applyFill="1" applyBorder="1" applyAlignment="1">
      <alignment horizontal="center" vertical="center" wrapText="1"/>
    </xf>
    <xf numFmtId="0" fontId="7" fillId="0" borderId="52" xfId="75" applyFont="1" applyFill="1" applyBorder="1" applyAlignment="1">
      <alignment horizontal="center" vertical="center" wrapText="1"/>
    </xf>
    <xf numFmtId="0" fontId="7" fillId="6" borderId="1" xfId="75" applyFont="1" applyFill="1" applyBorder="1" applyAlignment="1">
      <alignment horizontal="center" vertical="center" wrapText="1"/>
    </xf>
    <xf numFmtId="9" fontId="7" fillId="6" borderId="1" xfId="75" applyNumberFormat="1" applyFont="1" applyFill="1" applyBorder="1" applyAlignment="1">
      <alignment horizontal="justify" vertical="center" wrapText="1"/>
    </xf>
    <xf numFmtId="0" fontId="6" fillId="3" borderId="1" xfId="2" applyFont="1" applyFill="1" applyBorder="1" applyAlignment="1">
      <alignment horizontal="center" vertical="center"/>
    </xf>
    <xf numFmtId="0" fontId="7" fillId="3" borderId="1" xfId="2" applyFont="1" applyFill="1" applyBorder="1"/>
    <xf numFmtId="3" fontId="7" fillId="3" borderId="1" xfId="2" applyNumberFormat="1" applyFont="1" applyFill="1" applyBorder="1" applyAlignment="1">
      <alignment horizontal="center" vertical="center" wrapText="1"/>
    </xf>
    <xf numFmtId="3" fontId="7" fillId="3" borderId="1" xfId="2" applyNumberFormat="1" applyFont="1" applyFill="1" applyBorder="1" applyAlignment="1">
      <alignment horizontal="right" vertical="center" wrapText="1"/>
    </xf>
    <xf numFmtId="0" fontId="7" fillId="3" borderId="1" xfId="2" applyFont="1" applyFill="1" applyBorder="1" applyAlignment="1">
      <alignment horizontal="justify" vertical="center" wrapText="1"/>
    </xf>
    <xf numFmtId="1" fontId="7" fillId="0" borderId="0" xfId="2" applyNumberFormat="1" applyFont="1"/>
    <xf numFmtId="0" fontId="7" fillId="0" borderId="0" xfId="2" applyFont="1" applyFill="1" applyBorder="1" applyAlignment="1">
      <alignment horizontal="fill" vertical="center" wrapText="1"/>
    </xf>
    <xf numFmtId="0" fontId="6" fillId="0" borderId="0" xfId="2" applyFont="1" applyFill="1" applyBorder="1" applyAlignment="1">
      <alignment vertical="center"/>
    </xf>
    <xf numFmtId="1" fontId="6" fillId="0" borderId="0" xfId="2" applyNumberFormat="1" applyFont="1" applyFill="1" applyBorder="1" applyAlignment="1"/>
    <xf numFmtId="0" fontId="6" fillId="0" borderId="0" xfId="2" applyFont="1" applyFill="1" applyBorder="1" applyAlignment="1"/>
    <xf numFmtId="0" fontId="6" fillId="0" borderId="0" xfId="2" applyFont="1" applyAlignment="1"/>
    <xf numFmtId="0" fontId="12" fillId="0" borderId="0" xfId="13" applyFont="1"/>
    <xf numFmtId="0" fontId="6" fillId="2" borderId="1" xfId="13" applyFont="1" applyFill="1" applyBorder="1" applyAlignment="1">
      <alignment horizontal="center" vertical="center"/>
    </xf>
    <xf numFmtId="49" fontId="7" fillId="5" borderId="1" xfId="2" applyNumberFormat="1" applyFont="1" applyFill="1" applyBorder="1" applyAlignment="1">
      <alignment horizontal="justify" vertical="center" wrapText="1"/>
    </xf>
    <xf numFmtId="3" fontId="8" fillId="5" borderId="1" xfId="2" applyNumberFormat="1" applyFont="1" applyFill="1" applyBorder="1" applyAlignment="1">
      <alignment horizontal="center" vertical="center" wrapText="1"/>
    </xf>
    <xf numFmtId="0" fontId="7" fillId="0" borderId="1" xfId="75" applyFont="1" applyFill="1" applyBorder="1" applyAlignment="1">
      <alignment horizontal="center" vertical="center" wrapText="1"/>
    </xf>
    <xf numFmtId="0" fontId="7" fillId="0" borderId="5" xfId="75" applyFont="1" applyBorder="1" applyAlignment="1">
      <alignment horizontal="justify" vertical="center" wrapText="1"/>
    </xf>
    <xf numFmtId="2" fontId="7" fillId="0" borderId="1" xfId="2" applyNumberFormat="1" applyFont="1" applyBorder="1" applyAlignment="1">
      <alignment horizontal="center" vertical="center" wrapText="1"/>
    </xf>
    <xf numFmtId="1" fontId="7" fillId="0" borderId="1" xfId="2" applyNumberFormat="1" applyFont="1" applyBorder="1" applyAlignment="1">
      <alignment horizontal="center" vertical="center" wrapText="1"/>
    </xf>
    <xf numFmtId="3" fontId="7" fillId="0" borderId="1" xfId="1424" applyNumberFormat="1" applyFont="1" applyFill="1" applyBorder="1" applyAlignment="1">
      <alignment horizontal="right" vertical="center" wrapText="1"/>
    </xf>
    <xf numFmtId="3" fontId="7" fillId="0" borderId="1" xfId="1527" applyNumberFormat="1" applyFont="1" applyFill="1" applyBorder="1" applyAlignment="1">
      <alignment horizontal="right" vertical="center" wrapText="1"/>
    </xf>
    <xf numFmtId="3" fontId="7" fillId="0" borderId="1" xfId="75" applyNumberFormat="1" applyFont="1" applyBorder="1" applyAlignment="1">
      <alignment horizontal="right" vertical="center" wrapText="1"/>
    </xf>
    <xf numFmtId="3" fontId="7" fillId="0" borderId="1" xfId="2" applyNumberFormat="1" applyFont="1" applyBorder="1" applyAlignment="1">
      <alignment horizontal="right" vertical="center" wrapText="1"/>
    </xf>
    <xf numFmtId="0" fontId="7" fillId="0" borderId="5" xfId="2" applyNumberFormat="1" applyFont="1" applyFill="1" applyBorder="1" applyAlignment="1">
      <alignment horizontal="justify" vertical="center" wrapText="1"/>
    </xf>
    <xf numFmtId="0" fontId="7" fillId="0" borderId="1" xfId="75" applyFont="1" applyBorder="1" applyAlignment="1">
      <alignment horizontal="justify" vertical="center" wrapText="1"/>
    </xf>
    <xf numFmtId="0" fontId="7" fillId="6" borderId="6" xfId="75" applyFont="1" applyFill="1" applyBorder="1" applyAlignment="1">
      <alignment horizontal="justify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75" applyFont="1" applyFill="1" applyBorder="1" applyAlignment="1">
      <alignment horizontal="justify" vertical="center" wrapText="1"/>
    </xf>
    <xf numFmtId="0" fontId="7" fillId="7" borderId="1" xfId="75" applyFont="1" applyFill="1" applyBorder="1" applyAlignment="1">
      <alignment horizontal="center" vertical="center" wrapText="1"/>
    </xf>
    <xf numFmtId="0" fontId="7" fillId="5" borderId="1" xfId="75" applyFont="1" applyFill="1" applyBorder="1" applyAlignment="1">
      <alignment horizontal="center" vertical="center" wrapText="1"/>
    </xf>
    <xf numFmtId="49" fontId="7" fillId="5" borderId="1" xfId="75" applyNumberFormat="1" applyFont="1" applyFill="1" applyBorder="1" applyAlignment="1">
      <alignment horizontal="justify" vertical="center" wrapText="1"/>
    </xf>
    <xf numFmtId="3" fontId="7" fillId="5" borderId="1" xfId="75" applyNumberFormat="1" applyFont="1" applyFill="1" applyBorder="1" applyAlignment="1">
      <alignment horizontal="center" vertical="center" wrapText="1"/>
    </xf>
    <xf numFmtId="49" fontId="7" fillId="5" borderId="1" xfId="75" applyNumberFormat="1" applyFont="1" applyFill="1" applyBorder="1" applyAlignment="1">
      <alignment horizontal="center" vertical="center" wrapText="1"/>
    </xf>
    <xf numFmtId="4" fontId="7" fillId="5" borderId="1" xfId="75" applyNumberFormat="1" applyFont="1" applyFill="1" applyBorder="1" applyAlignment="1">
      <alignment horizontal="center" vertical="center" wrapText="1"/>
    </xf>
    <xf numFmtId="3" fontId="7" fillId="5" borderId="1" xfId="75" applyNumberFormat="1" applyFont="1" applyFill="1" applyBorder="1" applyAlignment="1">
      <alignment horizontal="right" vertical="center" wrapText="1"/>
    </xf>
    <xf numFmtId="0" fontId="7" fillId="0" borderId="1" xfId="75" applyFont="1" applyBorder="1" applyAlignment="1">
      <alignment horizontal="center" vertical="center" wrapText="1"/>
    </xf>
    <xf numFmtId="49" fontId="7" fillId="0" borderId="1" xfId="75" applyNumberFormat="1" applyFont="1" applyFill="1" applyBorder="1" applyAlignment="1">
      <alignment horizontal="justify" vertical="center" wrapText="1"/>
    </xf>
    <xf numFmtId="1" fontId="7" fillId="0" borderId="1" xfId="75" applyNumberFormat="1" applyFont="1" applyBorder="1" applyAlignment="1">
      <alignment horizontal="center" vertical="center" wrapText="1"/>
    </xf>
    <xf numFmtId="3" fontId="7" fillId="0" borderId="1" xfId="75" applyNumberFormat="1" applyFont="1" applyFill="1" applyBorder="1" applyAlignment="1">
      <alignment horizontal="right" vertical="center" wrapText="1"/>
    </xf>
    <xf numFmtId="3" fontId="7" fillId="0" borderId="1" xfId="75" applyNumberFormat="1" applyFont="1" applyFill="1" applyBorder="1" applyAlignment="1">
      <alignment horizontal="center" vertical="center" wrapText="1"/>
    </xf>
    <xf numFmtId="1" fontId="7" fillId="0" borderId="1" xfId="2" applyNumberFormat="1" applyFont="1" applyFill="1" applyBorder="1" applyAlignment="1">
      <alignment horizontal="center" vertical="center" wrapText="1"/>
    </xf>
    <xf numFmtId="3" fontId="7" fillId="0" borderId="1" xfId="13" applyNumberFormat="1" applyFont="1" applyFill="1" applyBorder="1" applyAlignment="1">
      <alignment horizontal="right" vertical="center" wrapText="1"/>
    </xf>
    <xf numFmtId="1" fontId="7" fillId="5" borderId="1" xfId="2" applyNumberFormat="1" applyFont="1" applyFill="1" applyBorder="1" applyAlignment="1">
      <alignment horizontal="justify" vertical="center" wrapText="1"/>
    </xf>
    <xf numFmtId="49" fontId="7" fillId="0" borderId="1" xfId="75" applyNumberFormat="1" applyFont="1" applyFill="1" applyBorder="1" applyAlignment="1">
      <alignment horizontal="center" vertical="center" wrapText="1"/>
    </xf>
    <xf numFmtId="2" fontId="7" fillId="0" borderId="1" xfId="2" applyNumberFormat="1" applyFont="1" applyFill="1" applyBorder="1" applyAlignment="1">
      <alignment horizontal="center" vertical="center" wrapText="1"/>
    </xf>
    <xf numFmtId="0" fontId="7" fillId="5" borderId="1" xfId="1528" applyFont="1" applyFill="1" applyBorder="1" applyAlignment="1">
      <alignment horizontal="center" vertical="center" wrapText="1"/>
    </xf>
    <xf numFmtId="0" fontId="7" fillId="5" borderId="1" xfId="1528" applyFont="1" applyFill="1" applyBorder="1" applyAlignment="1">
      <alignment horizontal="justify" vertical="center" wrapText="1"/>
    </xf>
    <xf numFmtId="3" fontId="7" fillId="5" borderId="7" xfId="2" applyNumberFormat="1" applyFont="1" applyFill="1" applyBorder="1" applyAlignment="1">
      <alignment horizontal="center" vertical="center" wrapText="1"/>
    </xf>
    <xf numFmtId="0" fontId="7" fillId="5" borderId="7" xfId="2" applyFont="1" applyFill="1" applyBorder="1" applyAlignment="1">
      <alignment horizontal="justify" vertical="center" wrapText="1"/>
    </xf>
    <xf numFmtId="2" fontId="7" fillId="5" borderId="1" xfId="2" applyNumberFormat="1" applyFont="1" applyFill="1" applyBorder="1" applyAlignment="1">
      <alignment horizontal="center" vertical="center" wrapText="1"/>
    </xf>
    <xf numFmtId="1" fontId="7" fillId="5" borderId="7" xfId="2" applyNumberFormat="1" applyFont="1" applyFill="1" applyBorder="1" applyAlignment="1">
      <alignment horizontal="center" vertical="center" wrapText="1"/>
    </xf>
    <xf numFmtId="1" fontId="7" fillId="5" borderId="1" xfId="2" applyNumberFormat="1" applyFont="1" applyFill="1" applyBorder="1" applyAlignment="1">
      <alignment horizontal="center" vertical="center" wrapText="1"/>
    </xf>
    <xf numFmtId="49" fontId="7" fillId="5" borderId="7" xfId="2" applyNumberFormat="1" applyFont="1" applyFill="1" applyBorder="1" applyAlignment="1">
      <alignment horizontal="justify" vertical="center" wrapText="1"/>
    </xf>
    <xf numFmtId="0" fontId="7" fillId="0" borderId="1" xfId="1529" applyFont="1" applyFill="1" applyBorder="1" applyAlignment="1">
      <alignment horizontal="center" vertical="center" wrapText="1"/>
    </xf>
    <xf numFmtId="0" fontId="7" fillId="0" borderId="1" xfId="1529" applyFont="1" applyFill="1" applyBorder="1" applyAlignment="1">
      <alignment horizontal="justify" vertical="center" wrapText="1"/>
    </xf>
    <xf numFmtId="0" fontId="7" fillId="0" borderId="1" xfId="680" applyFont="1" applyBorder="1" applyAlignment="1">
      <alignment horizontal="center" vertical="center" wrapText="1"/>
    </xf>
    <xf numFmtId="0" fontId="7" fillId="0" borderId="1" xfId="680" applyFont="1" applyBorder="1" applyAlignment="1">
      <alignment horizontal="justify" vertical="center" wrapText="1"/>
    </xf>
    <xf numFmtId="1" fontId="7" fillId="0" borderId="1" xfId="680" applyNumberFormat="1" applyFont="1" applyBorder="1" applyAlignment="1">
      <alignment horizontal="center" vertical="center" wrapText="1"/>
    </xf>
    <xf numFmtId="3" fontId="7" fillId="0" borderId="1" xfId="613" applyNumberFormat="1" applyFont="1" applyBorder="1" applyAlignment="1">
      <alignment horizontal="right" vertical="center" wrapText="1"/>
    </xf>
    <xf numFmtId="49" fontId="7" fillId="0" borderId="1" xfId="2" applyNumberFormat="1" applyFont="1" applyBorder="1" applyAlignment="1">
      <alignment horizontal="center" vertical="center" wrapText="1"/>
    </xf>
    <xf numFmtId="164" fontId="7" fillId="0" borderId="1" xfId="2" applyNumberFormat="1" applyFont="1" applyBorder="1" applyAlignment="1">
      <alignment horizontal="center" vertical="center" wrapText="1"/>
    </xf>
    <xf numFmtId="0" fontId="7" fillId="0" borderId="1" xfId="13" applyFont="1" applyFill="1" applyBorder="1" applyAlignment="1">
      <alignment horizontal="justify" vertical="center" wrapText="1"/>
    </xf>
    <xf numFmtId="3" fontId="7" fillId="6" borderId="1" xfId="75" applyNumberFormat="1" applyFont="1" applyFill="1" applyBorder="1" applyAlignment="1">
      <alignment horizontal="center" vertical="center" wrapText="1"/>
    </xf>
    <xf numFmtId="3" fontId="7" fillId="6" borderId="1" xfId="75" applyNumberFormat="1" applyFont="1" applyFill="1" applyBorder="1" applyAlignment="1">
      <alignment horizontal="right" vertical="center" wrapText="1"/>
    </xf>
    <xf numFmtId="0" fontId="7" fillId="6" borderId="0" xfId="2" applyFont="1" applyFill="1"/>
    <xf numFmtId="0" fontId="7" fillId="0" borderId="5" xfId="13" applyFont="1" applyFill="1" applyBorder="1" applyAlignment="1">
      <alignment horizontal="justify" vertical="center" wrapText="1"/>
    </xf>
    <xf numFmtId="1" fontId="7" fillId="6" borderId="1" xfId="2" applyNumberFormat="1" applyFont="1" applyFill="1" applyBorder="1" applyAlignment="1">
      <alignment horizontal="center" vertical="center" wrapText="1"/>
    </xf>
    <xf numFmtId="3" fontId="7" fillId="0" borderId="1" xfId="1530" applyNumberFormat="1" applyFont="1" applyBorder="1" applyAlignment="1">
      <alignment horizontal="right" vertical="center" wrapText="1"/>
    </xf>
    <xf numFmtId="0" fontId="7" fillId="32" borderId="1" xfId="2" applyFont="1" applyFill="1" applyBorder="1" applyAlignment="1">
      <alignment horizontal="center" vertical="center" wrapText="1"/>
    </xf>
    <xf numFmtId="49" fontId="7" fillId="32" borderId="1" xfId="2" applyNumberFormat="1" applyFont="1" applyFill="1" applyBorder="1" applyAlignment="1">
      <alignment horizontal="center" vertical="center" wrapText="1"/>
    </xf>
    <xf numFmtId="3" fontId="7" fillId="32" borderId="1" xfId="2" applyNumberFormat="1" applyFont="1" applyFill="1" applyBorder="1" applyAlignment="1">
      <alignment horizontal="center" vertical="center" wrapText="1"/>
    </xf>
    <xf numFmtId="49" fontId="7" fillId="32" borderId="1" xfId="2" applyNumberFormat="1" applyFont="1" applyFill="1" applyBorder="1" applyAlignment="1">
      <alignment horizontal="justify" vertical="center" wrapText="1"/>
    </xf>
    <xf numFmtId="1" fontId="7" fillId="32" borderId="1" xfId="2" applyNumberFormat="1" applyFont="1" applyFill="1" applyBorder="1" applyAlignment="1">
      <alignment horizontal="center" vertical="center" wrapText="1"/>
    </xf>
    <xf numFmtId="3" fontId="7" fillId="32" borderId="1" xfId="2" applyNumberFormat="1" applyFont="1" applyFill="1" applyBorder="1" applyAlignment="1">
      <alignment horizontal="right" vertical="center" wrapText="1"/>
    </xf>
    <xf numFmtId="1" fontId="7" fillId="32" borderId="1" xfId="2" applyNumberFormat="1" applyFont="1" applyFill="1" applyBorder="1" applyAlignment="1">
      <alignment horizontal="justify" vertical="center" wrapText="1"/>
    </xf>
    <xf numFmtId="0" fontId="7" fillId="0" borderId="0" xfId="2" applyFont="1" applyAlignment="1">
      <alignment horizontal="center"/>
    </xf>
    <xf numFmtId="1" fontId="7" fillId="0" borderId="0" xfId="2" applyNumberFormat="1" applyFont="1" applyAlignment="1">
      <alignment horizontal="center"/>
    </xf>
    <xf numFmtId="11" fontId="7" fillId="0" borderId="0" xfId="2" applyNumberFormat="1" applyFont="1"/>
    <xf numFmtId="0" fontId="7" fillId="0" borderId="0" xfId="75" applyFont="1"/>
    <xf numFmtId="0" fontId="7" fillId="0" borderId="0" xfId="75" applyFont="1" applyFill="1" applyBorder="1"/>
    <xf numFmtId="2" fontId="7" fillId="0" borderId="0" xfId="75" applyNumberFormat="1" applyFont="1" applyFill="1" applyBorder="1"/>
    <xf numFmtId="2" fontId="6" fillId="0" borderId="0" xfId="75" applyNumberFormat="1" applyFont="1" applyFill="1" applyBorder="1" applyAlignment="1"/>
    <xf numFmtId="0" fontId="6" fillId="0" borderId="0" xfId="75" applyFont="1" applyFill="1" applyBorder="1" applyAlignment="1"/>
    <xf numFmtId="44" fontId="6" fillId="0" borderId="0" xfId="75" applyNumberFormat="1" applyFont="1" applyFill="1" applyBorder="1" applyAlignment="1"/>
    <xf numFmtId="0" fontId="7" fillId="5" borderId="1" xfId="3" applyFont="1" applyFill="1" applyBorder="1" applyAlignment="1">
      <alignment horizontal="center" vertical="center" wrapText="1"/>
    </xf>
    <xf numFmtId="0" fontId="7" fillId="5" borderId="1" xfId="3" applyFont="1" applyFill="1" applyBorder="1" applyAlignment="1">
      <alignment horizontal="justify" vertical="center" wrapText="1"/>
    </xf>
    <xf numFmtId="3" fontId="7" fillId="5" borderId="1" xfId="3" applyNumberFormat="1" applyFont="1" applyFill="1" applyBorder="1" applyAlignment="1">
      <alignment horizontal="center" vertical="center" wrapText="1"/>
    </xf>
    <xf numFmtId="2" fontId="7" fillId="5" borderId="1" xfId="3" applyNumberFormat="1" applyFont="1" applyFill="1" applyBorder="1" applyAlignment="1">
      <alignment horizontal="justify" vertical="center" wrapText="1"/>
    </xf>
    <xf numFmtId="4" fontId="7" fillId="5" borderId="1" xfId="75" applyNumberFormat="1" applyFont="1" applyFill="1" applyBorder="1" applyAlignment="1">
      <alignment horizontal="right" vertical="center" wrapText="1"/>
    </xf>
    <xf numFmtId="3" fontId="7" fillId="0" borderId="1" xfId="3" applyNumberFormat="1" applyFont="1" applyFill="1" applyBorder="1" applyAlignment="1">
      <alignment horizontal="center" vertical="center" wrapText="1"/>
    </xf>
    <xf numFmtId="3" fontId="7" fillId="33" borderId="1" xfId="3" applyNumberFormat="1" applyFont="1" applyFill="1" applyBorder="1" applyAlignment="1">
      <alignment horizontal="center" vertical="center" wrapText="1"/>
    </xf>
    <xf numFmtId="4" fontId="7" fillId="6" borderId="1" xfId="75" applyNumberFormat="1" applyFont="1" applyFill="1" applyBorder="1" applyAlignment="1">
      <alignment horizontal="right" vertical="center" wrapText="1"/>
    </xf>
    <xf numFmtId="39" fontId="7" fillId="6" borderId="1" xfId="75" applyNumberFormat="1" applyFont="1" applyFill="1" applyBorder="1" applyAlignment="1">
      <alignment horizontal="right" vertical="center" wrapText="1"/>
    </xf>
    <xf numFmtId="0" fontId="7" fillId="6" borderId="1" xfId="3" applyFont="1" applyFill="1" applyBorder="1" applyAlignment="1">
      <alignment horizontal="justify" vertical="center" wrapText="1"/>
    </xf>
    <xf numFmtId="3" fontId="7" fillId="6" borderId="1" xfId="3" applyNumberFormat="1" applyFont="1" applyFill="1" applyBorder="1" applyAlignment="1">
      <alignment horizontal="center" vertical="center" wrapText="1"/>
    </xf>
    <xf numFmtId="0" fontId="7" fillId="6" borderId="1" xfId="3" applyFont="1" applyFill="1" applyBorder="1" applyAlignment="1">
      <alignment horizontal="center" vertical="center" wrapText="1"/>
    </xf>
    <xf numFmtId="0" fontId="7" fillId="6" borderId="0" xfId="75" applyFont="1" applyFill="1"/>
    <xf numFmtId="0" fontId="7" fillId="0" borderId="1" xfId="3" applyFont="1" applyFill="1" applyBorder="1" applyAlignment="1">
      <alignment horizontal="center" vertical="center" wrapText="1"/>
    </xf>
    <xf numFmtId="2" fontId="7" fillId="0" borderId="1" xfId="3" applyNumberFormat="1" applyFont="1" applyFill="1" applyBorder="1" applyAlignment="1">
      <alignment horizontal="justify" vertical="center" wrapText="1"/>
    </xf>
    <xf numFmtId="2" fontId="7" fillId="0" borderId="1" xfId="3" applyNumberFormat="1" applyFont="1" applyBorder="1" applyAlignment="1">
      <alignment horizontal="justify"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1" xfId="3" applyFont="1" applyFill="1" applyBorder="1" applyAlignment="1">
      <alignment horizontal="justify" vertical="center" wrapText="1"/>
    </xf>
    <xf numFmtId="4" fontId="7" fillId="6" borderId="1" xfId="3" applyNumberFormat="1" applyFont="1" applyFill="1" applyBorder="1" applyAlignment="1">
      <alignment horizontal="right" vertical="center" wrapText="1"/>
    </xf>
    <xf numFmtId="0" fontId="7" fillId="6" borderId="1" xfId="1540" applyFont="1" applyFill="1" applyBorder="1" applyAlignment="1">
      <alignment horizontal="justify" vertical="center" wrapText="1"/>
    </xf>
    <xf numFmtId="0" fontId="7" fillId="6" borderId="1" xfId="75" applyFont="1" applyFill="1" applyBorder="1" applyAlignment="1">
      <alignment horizontal="center" vertical="center"/>
    </xf>
    <xf numFmtId="3" fontId="7" fillId="5" borderId="1" xfId="3" applyNumberFormat="1" applyFont="1" applyFill="1" applyBorder="1" applyAlignment="1">
      <alignment horizontal="justify" vertical="center" wrapText="1"/>
    </xf>
    <xf numFmtId="0" fontId="7" fillId="6" borderId="1" xfId="1540" applyFont="1" applyFill="1" applyBorder="1" applyAlignment="1">
      <alignment horizontal="center" vertical="center" wrapText="1"/>
    </xf>
    <xf numFmtId="4" fontId="7" fillId="5" borderId="1" xfId="3" applyNumberFormat="1" applyFont="1" applyFill="1" applyBorder="1" applyAlignment="1">
      <alignment horizontal="right" vertical="center" wrapText="1"/>
    </xf>
    <xf numFmtId="39" fontId="7" fillId="5" borderId="1" xfId="3" applyNumberFormat="1" applyFont="1" applyFill="1" applyBorder="1" applyAlignment="1">
      <alignment horizontal="right" vertical="center" wrapText="1"/>
    </xf>
    <xf numFmtId="39" fontId="7" fillId="5" borderId="1" xfId="75" applyNumberFormat="1" applyFont="1" applyFill="1" applyBorder="1" applyAlignment="1">
      <alignment horizontal="right" vertical="center" wrapText="1"/>
    </xf>
    <xf numFmtId="49" fontId="7" fillId="6" borderId="1" xfId="3" applyNumberFormat="1" applyFont="1" applyFill="1" applyBorder="1" applyAlignment="1">
      <alignment horizontal="justify" vertical="center" wrapText="1"/>
    </xf>
    <xf numFmtId="0" fontId="7" fillId="6" borderId="1" xfId="1541" applyFont="1" applyFill="1" applyBorder="1" applyAlignment="1">
      <alignment horizontal="justify" vertical="center" wrapText="1"/>
    </xf>
    <xf numFmtId="0" fontId="7" fillId="0" borderId="1" xfId="1541" applyFont="1" applyBorder="1" applyAlignment="1">
      <alignment horizontal="justify" vertical="center" wrapText="1"/>
    </xf>
    <xf numFmtId="44" fontId="7" fillId="5" borderId="1" xfId="75" applyNumberFormat="1" applyFont="1" applyFill="1" applyBorder="1" applyAlignment="1">
      <alignment horizontal="right" vertical="center" wrapText="1"/>
    </xf>
    <xf numFmtId="39" fontId="7" fillId="6" borderId="1" xfId="3" applyNumberFormat="1" applyFont="1" applyFill="1" applyBorder="1" applyAlignment="1">
      <alignment horizontal="right" vertical="center" wrapText="1"/>
    </xf>
    <xf numFmtId="3" fontId="7" fillId="6" borderId="1" xfId="3" applyNumberFormat="1" applyFont="1" applyFill="1" applyBorder="1" applyAlignment="1">
      <alignment horizontal="right" vertical="center" wrapText="1"/>
    </xf>
    <xf numFmtId="1" fontId="7" fillId="0" borderId="0" xfId="75" applyNumberFormat="1" applyFont="1"/>
    <xf numFmtId="2" fontId="7" fillId="0" borderId="0" xfId="75" applyNumberFormat="1" applyFont="1"/>
    <xf numFmtId="44" fontId="7" fillId="0" borderId="0" xfId="75" applyNumberFormat="1" applyFont="1"/>
    <xf numFmtId="44" fontId="7" fillId="4" borderId="0" xfId="75" applyNumberFormat="1" applyFont="1" applyFill="1"/>
    <xf numFmtId="44" fontId="6" fillId="0" borderId="0" xfId="75" applyNumberFormat="1" applyFont="1"/>
    <xf numFmtId="9" fontId="7" fillId="0" borderId="1" xfId="2" applyNumberFormat="1" applyFont="1" applyFill="1" applyBorder="1" applyAlignment="1">
      <alignment horizontal="justify" vertical="center" wrapText="1"/>
    </xf>
    <xf numFmtId="3" fontId="7" fillId="0" borderId="1" xfId="2" applyNumberFormat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justify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42" fillId="0" borderId="0" xfId="1542" applyFont="1" applyFill="1" applyBorder="1"/>
    <xf numFmtId="0" fontId="42" fillId="0" borderId="0" xfId="1542" applyFont="1" applyFill="1" applyBorder="1" applyAlignment="1">
      <alignment horizontal="center"/>
    </xf>
    <xf numFmtId="0" fontId="41" fillId="0" borderId="0" xfId="1542" applyFont="1" applyFill="1" applyBorder="1" applyAlignment="1"/>
    <xf numFmtId="3" fontId="41" fillId="0" borderId="0" xfId="1542" applyNumberFormat="1" applyFont="1" applyFill="1" applyBorder="1" applyAlignment="1"/>
    <xf numFmtId="0" fontId="41" fillId="2" borderId="1" xfId="1542" applyFont="1" applyFill="1" applyBorder="1" applyAlignment="1">
      <alignment horizontal="center" vertical="center"/>
    </xf>
    <xf numFmtId="0" fontId="42" fillId="8" borderId="1" xfId="1542" applyFont="1" applyFill="1" applyBorder="1" applyAlignment="1">
      <alignment horizontal="center" vertical="center" wrapText="1"/>
    </xf>
    <xf numFmtId="0" fontId="42" fillId="8" borderId="1" xfId="1542" applyFont="1" applyFill="1" applyBorder="1" applyAlignment="1">
      <alignment horizontal="justify" vertical="center" wrapText="1"/>
    </xf>
    <xf numFmtId="3" fontId="42" fillId="8" borderId="1" xfId="1542" applyNumberFormat="1" applyFont="1" applyFill="1" applyBorder="1" applyAlignment="1">
      <alignment horizontal="center" vertical="center" wrapText="1"/>
    </xf>
    <xf numFmtId="9" fontId="42" fillId="8" borderId="1" xfId="1542" applyNumberFormat="1" applyFont="1" applyFill="1" applyBorder="1" applyAlignment="1">
      <alignment horizontal="right" vertical="center" wrapText="1"/>
    </xf>
    <xf numFmtId="3" fontId="42" fillId="8" borderId="1" xfId="1542" applyNumberFormat="1" applyFont="1" applyFill="1" applyBorder="1" applyAlignment="1">
      <alignment horizontal="right" vertical="center" wrapText="1"/>
    </xf>
    <xf numFmtId="0" fontId="42" fillId="0" borderId="1" xfId="1542" applyFont="1" applyFill="1" applyBorder="1" applyAlignment="1">
      <alignment horizontal="center" vertical="center" wrapText="1"/>
    </xf>
    <xf numFmtId="0" fontId="42" fillId="0" borderId="1" xfId="1542" applyFont="1" applyFill="1" applyBorder="1" applyAlignment="1">
      <alignment horizontal="justify" vertical="center" wrapText="1"/>
    </xf>
    <xf numFmtId="3" fontId="42" fillId="0" borderId="1" xfId="1542" applyNumberFormat="1" applyFont="1" applyFill="1" applyBorder="1" applyAlignment="1">
      <alignment horizontal="center" vertical="center" wrapText="1"/>
    </xf>
    <xf numFmtId="49" fontId="42" fillId="0" borderId="1" xfId="1542" applyNumberFormat="1" applyFont="1" applyFill="1" applyBorder="1" applyAlignment="1">
      <alignment horizontal="justify" vertical="center" wrapText="1"/>
    </xf>
    <xf numFmtId="1" fontId="42" fillId="0" borderId="1" xfId="1542" applyNumberFormat="1" applyFont="1" applyFill="1" applyBorder="1" applyAlignment="1">
      <alignment horizontal="center" vertical="center" wrapText="1"/>
    </xf>
    <xf numFmtId="3" fontId="42" fillId="0" borderId="1" xfId="1542" applyNumberFormat="1" applyFont="1" applyFill="1" applyBorder="1" applyAlignment="1">
      <alignment horizontal="right" vertical="center" wrapText="1"/>
    </xf>
    <xf numFmtId="3" fontId="42" fillId="7" borderId="1" xfId="1542" applyNumberFormat="1" applyFont="1" applyFill="1" applyBorder="1" applyAlignment="1">
      <alignment horizontal="right" vertical="center" wrapText="1"/>
    </xf>
    <xf numFmtId="169" fontId="42" fillId="0" borderId="1" xfId="563" applyNumberFormat="1" applyFont="1" applyFill="1" applyBorder="1" applyAlignment="1">
      <alignment horizontal="right" vertical="center" wrapText="1"/>
    </xf>
    <xf numFmtId="0" fontId="42" fillId="0" borderId="1" xfId="1542" applyFont="1" applyFill="1" applyBorder="1" applyAlignment="1">
      <alignment horizontal="right" vertical="center" wrapText="1"/>
    </xf>
    <xf numFmtId="49" fontId="42" fillId="0" borderId="1" xfId="2" applyNumberFormat="1" applyFont="1" applyFill="1" applyBorder="1" applyAlignment="1">
      <alignment horizontal="center" vertical="center" wrapText="1"/>
    </xf>
    <xf numFmtId="0" fontId="42" fillId="0" borderId="1" xfId="1543" applyFont="1" applyFill="1" applyBorder="1" applyAlignment="1">
      <alignment horizontal="justify" vertical="center" wrapText="1"/>
    </xf>
    <xf numFmtId="3" fontId="42" fillId="6" borderId="1" xfId="1542" applyNumberFormat="1" applyFont="1" applyFill="1" applyBorder="1" applyAlignment="1">
      <alignment horizontal="center" vertical="center" wrapText="1"/>
    </xf>
    <xf numFmtId="49" fontId="42" fillId="0" borderId="1" xfId="1542" applyNumberFormat="1" applyFont="1" applyFill="1" applyBorder="1" applyAlignment="1">
      <alignment horizontal="center" vertical="center" wrapText="1"/>
    </xf>
    <xf numFmtId="169" fontId="41" fillId="0" borderId="1" xfId="1542" applyNumberFormat="1" applyFont="1" applyFill="1" applyBorder="1" applyAlignment="1">
      <alignment horizontal="right" vertical="center" wrapText="1"/>
    </xf>
    <xf numFmtId="0" fontId="41" fillId="0" borderId="1" xfId="1542" applyFont="1" applyFill="1" applyBorder="1" applyAlignment="1">
      <alignment horizontal="right" vertical="center" wrapText="1"/>
    </xf>
    <xf numFmtId="3" fontId="41" fillId="0" borderId="1" xfId="1542" applyNumberFormat="1" applyFont="1" applyFill="1" applyBorder="1" applyAlignment="1">
      <alignment horizontal="right" vertical="center" wrapText="1"/>
    </xf>
    <xf numFmtId="0" fontId="42" fillId="0" borderId="0" xfId="1542" applyFont="1"/>
    <xf numFmtId="3" fontId="43" fillId="8" borderId="1" xfId="1542" applyNumberFormat="1" applyFont="1" applyFill="1" applyBorder="1" applyAlignment="1">
      <alignment horizontal="right" vertical="center" wrapText="1"/>
    </xf>
    <xf numFmtId="49" fontId="42" fillId="0" borderId="1" xfId="1542" applyNumberFormat="1" applyFont="1" applyBorder="1" applyAlignment="1">
      <alignment horizontal="center" vertical="center" wrapText="1"/>
    </xf>
    <xf numFmtId="169" fontId="42" fillId="0" borderId="1" xfId="1542" applyNumberFormat="1" applyFont="1" applyFill="1" applyBorder="1" applyAlignment="1">
      <alignment horizontal="right" vertical="center" wrapText="1"/>
    </xf>
    <xf numFmtId="0" fontId="42" fillId="0" borderId="1" xfId="1542" applyFont="1" applyBorder="1" applyAlignment="1">
      <alignment horizontal="center" vertical="center" wrapText="1"/>
    </xf>
    <xf numFmtId="3" fontId="42" fillId="0" borderId="1" xfId="1542" applyNumberFormat="1" applyFont="1" applyBorder="1" applyAlignment="1">
      <alignment horizontal="right" vertical="center" wrapText="1"/>
    </xf>
    <xf numFmtId="1" fontId="42" fillId="0" borderId="1" xfId="1542" applyNumberFormat="1" applyFont="1" applyBorder="1" applyAlignment="1">
      <alignment horizontal="center" vertical="center" wrapText="1"/>
    </xf>
    <xf numFmtId="169" fontId="42" fillId="0" borderId="1" xfId="1542" applyNumberFormat="1" applyFont="1" applyBorder="1" applyAlignment="1">
      <alignment horizontal="right" vertical="center" wrapText="1"/>
    </xf>
    <xf numFmtId="3" fontId="42" fillId="0" borderId="1" xfId="1542" applyNumberFormat="1" applyFont="1" applyBorder="1" applyAlignment="1">
      <alignment horizontal="justify" vertical="center" wrapText="1"/>
    </xf>
    <xf numFmtId="49" fontId="42" fillId="6" borderId="1" xfId="1542" applyNumberFormat="1" applyFont="1" applyFill="1" applyBorder="1" applyAlignment="1">
      <alignment horizontal="justify" vertical="center" wrapText="1"/>
    </xf>
    <xf numFmtId="3" fontId="42" fillId="0" borderId="1" xfId="1542" applyNumberFormat="1" applyFont="1" applyFill="1" applyBorder="1" applyAlignment="1">
      <alignment horizontal="justify" vertical="center" wrapText="1"/>
    </xf>
    <xf numFmtId="1" fontId="42" fillId="6" borderId="1" xfId="1542" applyNumberFormat="1" applyFont="1" applyFill="1" applyBorder="1" applyAlignment="1">
      <alignment vertical="center"/>
    </xf>
    <xf numFmtId="3" fontId="42" fillId="6" borderId="1" xfId="1542" applyNumberFormat="1" applyFont="1" applyFill="1" applyBorder="1" applyAlignment="1">
      <alignment horizontal="center" vertical="center"/>
    </xf>
    <xf numFmtId="1" fontId="42" fillId="6" borderId="1" xfId="1542" applyNumberFormat="1" applyFont="1" applyFill="1" applyBorder="1" applyAlignment="1">
      <alignment horizontal="center" vertical="center"/>
    </xf>
    <xf numFmtId="3" fontId="42" fillId="0" borderId="1" xfId="1542" applyNumberFormat="1" applyFont="1" applyFill="1" applyBorder="1" applyAlignment="1">
      <alignment horizontal="center" vertical="center"/>
    </xf>
    <xf numFmtId="169" fontId="42" fillId="0" borderId="1" xfId="563" applyNumberFormat="1" applyFont="1" applyFill="1" applyBorder="1" applyAlignment="1">
      <alignment horizontal="center" vertical="center" wrapText="1"/>
    </xf>
    <xf numFmtId="0" fontId="42" fillId="0" borderId="1" xfId="1542" applyFont="1" applyFill="1" applyBorder="1" applyAlignment="1">
      <alignment horizontal="center" vertical="center"/>
    </xf>
    <xf numFmtId="0" fontId="42" fillId="7" borderId="4" xfId="1543" applyFont="1" applyFill="1" applyBorder="1" applyAlignment="1">
      <alignment horizontal="center" vertical="center" wrapText="1"/>
    </xf>
    <xf numFmtId="3" fontId="42" fillId="0" borderId="4" xfId="1542" applyNumberFormat="1" applyFont="1" applyFill="1" applyBorder="1" applyAlignment="1">
      <alignment horizontal="center" vertical="center" wrapText="1"/>
    </xf>
    <xf numFmtId="0" fontId="42" fillId="0" borderId="7" xfId="1542" applyFont="1" applyBorder="1" applyAlignment="1">
      <alignment horizontal="center" vertical="center" wrapText="1"/>
    </xf>
    <xf numFmtId="9" fontId="42" fillId="8" borderId="1" xfId="1542" applyNumberFormat="1" applyFont="1" applyFill="1" applyBorder="1" applyAlignment="1">
      <alignment horizontal="center" vertical="center" wrapText="1"/>
    </xf>
    <xf numFmtId="9" fontId="42" fillId="8" borderId="1" xfId="1542" applyNumberFormat="1" applyFont="1" applyFill="1" applyBorder="1" applyAlignment="1">
      <alignment horizontal="justify" vertical="center" wrapText="1"/>
    </xf>
    <xf numFmtId="0" fontId="42" fillId="0" borderId="0" xfId="1542" applyFont="1" applyFill="1"/>
    <xf numFmtId="0" fontId="42" fillId="0" borderId="4" xfId="1543" applyFont="1" applyFill="1" applyBorder="1" applyAlignment="1">
      <alignment horizontal="center" vertical="center" wrapText="1"/>
    </xf>
    <xf numFmtId="49" fontId="42" fillId="0" borderId="1" xfId="2" applyNumberFormat="1" applyFont="1" applyFill="1" applyBorder="1" applyAlignment="1">
      <alignment horizontal="justify" vertical="center" wrapText="1"/>
    </xf>
    <xf numFmtId="0" fontId="42" fillId="7" borderId="1" xfId="1542" applyFont="1" applyFill="1" applyBorder="1" applyAlignment="1">
      <alignment horizontal="center" vertical="center" wrapText="1"/>
    </xf>
    <xf numFmtId="0" fontId="42" fillId="7" borderId="1" xfId="1542" applyFont="1" applyFill="1" applyBorder="1" applyAlignment="1">
      <alignment horizontal="justify" vertical="center" wrapText="1"/>
    </xf>
    <xf numFmtId="0" fontId="42" fillId="6" borderId="4" xfId="1543" applyFont="1" applyFill="1" applyBorder="1" applyAlignment="1">
      <alignment horizontal="center" vertical="center" wrapText="1"/>
    </xf>
    <xf numFmtId="49" fontId="42" fillId="7" borderId="1" xfId="2" applyNumberFormat="1" applyFont="1" applyFill="1" applyBorder="1" applyAlignment="1">
      <alignment horizontal="justify" vertical="center" wrapText="1"/>
    </xf>
    <xf numFmtId="1" fontId="42" fillId="0" borderId="1" xfId="1542" applyNumberFormat="1" applyFont="1" applyFill="1" applyBorder="1" applyAlignment="1">
      <alignment horizontal="right" vertical="center" wrapText="1"/>
    </xf>
    <xf numFmtId="49" fontId="42" fillId="7" borderId="1" xfId="1542" applyNumberFormat="1" applyFont="1" applyFill="1" applyBorder="1" applyAlignment="1">
      <alignment horizontal="center" vertical="center" wrapText="1"/>
    </xf>
    <xf numFmtId="0" fontId="42" fillId="8" borderId="1" xfId="1542" applyFont="1" applyFill="1" applyBorder="1" applyAlignment="1">
      <alignment horizontal="right" vertical="center" wrapText="1"/>
    </xf>
    <xf numFmtId="1" fontId="42" fillId="8" borderId="1" xfId="1542" applyNumberFormat="1" applyFont="1" applyFill="1" applyBorder="1" applyAlignment="1">
      <alignment horizontal="right" vertical="center" wrapText="1"/>
    </xf>
    <xf numFmtId="49" fontId="42" fillId="7" borderId="1" xfId="1542" applyNumberFormat="1" applyFont="1" applyFill="1" applyBorder="1" applyAlignment="1">
      <alignment horizontal="justify" vertical="center" wrapText="1"/>
    </xf>
    <xf numFmtId="3" fontId="42" fillId="7" borderId="1" xfId="1542" applyNumberFormat="1" applyFont="1" applyFill="1" applyBorder="1" applyAlignment="1">
      <alignment horizontal="center" vertical="center" wrapText="1"/>
    </xf>
    <xf numFmtId="169" fontId="42" fillId="7" borderId="1" xfId="563" applyNumberFormat="1" applyFont="1" applyFill="1" applyBorder="1" applyAlignment="1">
      <alignment horizontal="right" vertical="center" wrapText="1"/>
    </xf>
    <xf numFmtId="0" fontId="42" fillId="7" borderId="1" xfId="1542" applyFont="1" applyFill="1" applyBorder="1" applyAlignment="1">
      <alignment horizontal="right" vertical="center" wrapText="1"/>
    </xf>
    <xf numFmtId="169" fontId="42" fillId="7" borderId="1" xfId="1542" applyNumberFormat="1" applyFont="1" applyFill="1" applyBorder="1" applyAlignment="1">
      <alignment horizontal="right" vertical="center" wrapText="1"/>
    </xf>
    <xf numFmtId="0" fontId="44" fillId="8" borderId="1" xfId="1542" applyFont="1" applyFill="1" applyBorder="1" applyAlignment="1">
      <alignment horizontal="justify" vertical="center" wrapText="1"/>
    </xf>
    <xf numFmtId="3" fontId="42" fillId="0" borderId="1" xfId="1542" applyNumberFormat="1" applyFont="1" applyBorder="1" applyAlignment="1">
      <alignment horizontal="center" vertical="center" wrapText="1"/>
    </xf>
    <xf numFmtId="0" fontId="42" fillId="0" borderId="1" xfId="1542" applyFont="1" applyBorder="1" applyAlignment="1">
      <alignment horizontal="right" vertical="center" wrapText="1"/>
    </xf>
    <xf numFmtId="1" fontId="42" fillId="0" borderId="1" xfId="1542" applyNumberFormat="1" applyFont="1" applyBorder="1" applyAlignment="1">
      <alignment horizontal="right" vertical="center" wrapText="1"/>
    </xf>
    <xf numFmtId="0" fontId="42" fillId="0" borderId="1" xfId="1542" applyFont="1" applyBorder="1" applyAlignment="1">
      <alignment horizontal="justify" vertical="center" wrapText="1"/>
    </xf>
    <xf numFmtId="0" fontId="42" fillId="5" borderId="1" xfId="1542" applyFont="1" applyFill="1" applyBorder="1" applyAlignment="1">
      <alignment horizontal="justify" vertical="center" wrapText="1"/>
    </xf>
    <xf numFmtId="49" fontId="42" fillId="8" borderId="1" xfId="1542" applyNumberFormat="1" applyFont="1" applyFill="1" applyBorder="1" applyAlignment="1">
      <alignment horizontal="justify" vertical="center" wrapText="1"/>
    </xf>
    <xf numFmtId="0" fontId="41" fillId="2" borderId="1" xfId="1542" applyFont="1" applyFill="1" applyBorder="1" applyAlignment="1">
      <alignment vertical="center"/>
    </xf>
    <xf numFmtId="3" fontId="41" fillId="2" borderId="1" xfId="1542" applyNumberFormat="1" applyFont="1" applyFill="1" applyBorder="1" applyAlignment="1">
      <alignment horizontal="center" vertical="center" wrapText="1"/>
    </xf>
    <xf numFmtId="0" fontId="41" fillId="2" borderId="1" xfId="1542" applyFont="1" applyFill="1" applyBorder="1" applyAlignment="1">
      <alignment horizontal="right" vertical="center" wrapText="1"/>
    </xf>
    <xf numFmtId="3" fontId="41" fillId="2" borderId="1" xfId="1542" applyNumberFormat="1" applyFont="1" applyFill="1" applyBorder="1" applyAlignment="1">
      <alignment horizontal="right" vertical="center" wrapText="1"/>
    </xf>
    <xf numFmtId="1" fontId="41" fillId="2" borderId="1" xfId="1542" applyNumberFormat="1" applyFont="1" applyFill="1" applyBorder="1" applyAlignment="1">
      <alignment horizontal="right" vertical="center" wrapText="1"/>
    </xf>
    <xf numFmtId="0" fontId="7" fillId="0" borderId="0" xfId="621" applyFont="1"/>
    <xf numFmtId="0" fontId="7" fillId="0" borderId="0" xfId="621" applyFont="1" applyFill="1" applyBorder="1"/>
    <xf numFmtId="0" fontId="13" fillId="0" borderId="0" xfId="621" applyFont="1" applyFill="1" applyBorder="1" applyAlignment="1">
      <alignment vertical="center"/>
    </xf>
    <xf numFmtId="0" fontId="6" fillId="0" borderId="0" xfId="621" applyFont="1" applyFill="1" applyBorder="1" applyAlignment="1"/>
    <xf numFmtId="0" fontId="6" fillId="0" borderId="0" xfId="621" applyFont="1" applyAlignment="1"/>
    <xf numFmtId="0" fontId="6" fillId="2" borderId="1" xfId="621" applyFont="1" applyFill="1" applyBorder="1" applyAlignment="1">
      <alignment horizontal="center" vertical="center"/>
    </xf>
    <xf numFmtId="0" fontId="7" fillId="5" borderId="1" xfId="621" applyFont="1" applyFill="1" applyBorder="1" applyAlignment="1">
      <alignment horizontal="center" vertical="center" wrapText="1"/>
    </xf>
    <xf numFmtId="0" fontId="7" fillId="5" borderId="1" xfId="621" applyFont="1" applyFill="1" applyBorder="1" applyAlignment="1">
      <alignment horizontal="justify" vertical="center" wrapText="1"/>
    </xf>
    <xf numFmtId="1" fontId="7" fillId="5" borderId="1" xfId="15" applyNumberFormat="1" applyFont="1" applyFill="1" applyBorder="1" applyAlignment="1">
      <alignment horizontal="center" vertical="center" wrapText="1"/>
    </xf>
    <xf numFmtId="3" fontId="7" fillId="5" borderId="1" xfId="621" applyNumberFormat="1" applyFont="1" applyFill="1" applyBorder="1" applyAlignment="1">
      <alignment horizontal="center" vertical="center" wrapText="1"/>
    </xf>
    <xf numFmtId="9" fontId="7" fillId="5" borderId="1" xfId="621" applyNumberFormat="1" applyFont="1" applyFill="1" applyBorder="1" applyAlignment="1">
      <alignment horizontal="center" vertical="center" wrapText="1"/>
    </xf>
    <xf numFmtId="9" fontId="7" fillId="5" borderId="1" xfId="621" applyNumberFormat="1" applyFont="1" applyFill="1" applyBorder="1" applyAlignment="1">
      <alignment horizontal="justify" vertical="center" wrapText="1"/>
    </xf>
    <xf numFmtId="2" fontId="7" fillId="5" borderId="1" xfId="621" applyNumberFormat="1" applyFont="1" applyFill="1" applyBorder="1" applyAlignment="1">
      <alignment horizontal="center" vertical="center" wrapText="1"/>
    </xf>
    <xf numFmtId="4" fontId="7" fillId="5" borderId="1" xfId="621" applyNumberFormat="1" applyFont="1" applyFill="1" applyBorder="1" applyAlignment="1">
      <alignment horizontal="center" vertical="center" wrapText="1"/>
    </xf>
    <xf numFmtId="3" fontId="7" fillId="5" borderId="1" xfId="15" applyNumberFormat="1" applyFont="1" applyFill="1" applyBorder="1" applyAlignment="1">
      <alignment horizontal="center" vertical="center" wrapText="1"/>
    </xf>
    <xf numFmtId="0" fontId="7" fillId="6" borderId="1" xfId="621" applyFont="1" applyFill="1" applyBorder="1" applyAlignment="1">
      <alignment horizontal="center" vertical="center" wrapText="1"/>
    </xf>
    <xf numFmtId="9" fontId="7" fillId="0" borderId="1" xfId="621" applyNumberFormat="1" applyFont="1" applyFill="1" applyBorder="1" applyAlignment="1">
      <alignment horizontal="justify" vertical="center" wrapText="1"/>
    </xf>
    <xf numFmtId="3" fontId="7" fillId="6" borderId="1" xfId="15" applyNumberFormat="1" applyFont="1" applyFill="1" applyBorder="1" applyAlignment="1">
      <alignment horizontal="center" vertical="center" wrapText="1"/>
    </xf>
    <xf numFmtId="3" fontId="7" fillId="0" borderId="1" xfId="621" applyNumberFormat="1" applyFont="1" applyFill="1" applyBorder="1" applyAlignment="1">
      <alignment horizontal="center" vertical="center" wrapText="1"/>
    </xf>
    <xf numFmtId="49" fontId="7" fillId="0" borderId="1" xfId="621" applyNumberFormat="1" applyFont="1" applyFill="1" applyBorder="1" applyAlignment="1">
      <alignment horizontal="justify" vertical="center" wrapText="1"/>
    </xf>
    <xf numFmtId="2" fontId="7" fillId="0" borderId="1" xfId="621" applyNumberFormat="1" applyFont="1" applyFill="1" applyBorder="1" applyAlignment="1">
      <alignment horizontal="center" vertical="center" wrapText="1"/>
    </xf>
    <xf numFmtId="3" fontId="7" fillId="0" borderId="1" xfId="621" applyNumberFormat="1" applyFont="1" applyFill="1" applyBorder="1" applyAlignment="1">
      <alignment horizontal="center" vertical="center"/>
    </xf>
    <xf numFmtId="3" fontId="7" fillId="6" borderId="1" xfId="621" applyNumberFormat="1" applyFont="1" applyFill="1" applyBorder="1" applyAlignment="1">
      <alignment horizontal="center" vertical="center"/>
    </xf>
    <xf numFmtId="0" fontId="6" fillId="0" borderId="1" xfId="621" applyFont="1" applyFill="1" applyBorder="1" applyAlignment="1">
      <alignment horizontal="center" vertical="center" wrapText="1"/>
    </xf>
    <xf numFmtId="0" fontId="7" fillId="0" borderId="1" xfId="621" applyFont="1" applyFill="1" applyBorder="1" applyAlignment="1">
      <alignment horizontal="center" vertical="center" wrapText="1"/>
    </xf>
    <xf numFmtId="3" fontId="7" fillId="6" borderId="1" xfId="621" applyNumberFormat="1" applyFont="1" applyFill="1" applyBorder="1" applyAlignment="1">
      <alignment horizontal="center" vertical="center" wrapText="1"/>
    </xf>
    <xf numFmtId="1" fontId="7" fillId="0" borderId="1" xfId="621" applyNumberFormat="1" applyFont="1" applyFill="1" applyBorder="1" applyAlignment="1">
      <alignment horizontal="center" vertical="center"/>
    </xf>
    <xf numFmtId="0" fontId="7" fillId="0" borderId="1" xfId="621" applyFont="1" applyFill="1" applyBorder="1" applyAlignment="1">
      <alignment horizontal="justify" vertical="center" wrapText="1"/>
    </xf>
    <xf numFmtId="0" fontId="6" fillId="3" borderId="1" xfId="621" applyFont="1" applyFill="1" applyBorder="1" applyAlignment="1">
      <alignment horizontal="center" vertical="center" wrapText="1"/>
    </xf>
    <xf numFmtId="0" fontId="6" fillId="3" borderId="1" xfId="621" applyFont="1" applyFill="1" applyBorder="1" applyAlignment="1">
      <alignment horizontal="center" vertical="center" textRotation="255" wrapText="1"/>
    </xf>
    <xf numFmtId="1" fontId="7" fillId="3" borderId="1" xfId="15" applyNumberFormat="1" applyFont="1" applyFill="1" applyBorder="1" applyAlignment="1">
      <alignment horizontal="center" vertical="center" wrapText="1"/>
    </xf>
    <xf numFmtId="3" fontId="6" fillId="3" borderId="1" xfId="621" applyNumberFormat="1" applyFont="1" applyFill="1" applyBorder="1" applyAlignment="1">
      <alignment horizontal="center" vertical="center" wrapText="1"/>
    </xf>
    <xf numFmtId="9" fontId="7" fillId="3" borderId="1" xfId="621" applyNumberFormat="1" applyFont="1" applyFill="1" applyBorder="1" applyAlignment="1">
      <alignment horizontal="center" vertical="center" wrapText="1"/>
    </xf>
    <xf numFmtId="2" fontId="7" fillId="3" borderId="1" xfId="621" applyNumberFormat="1" applyFont="1" applyFill="1" applyBorder="1" applyAlignment="1">
      <alignment horizontal="center" vertical="center" wrapText="1"/>
    </xf>
    <xf numFmtId="4" fontId="7" fillId="3" borderId="1" xfId="621" applyNumberFormat="1" applyFont="1" applyFill="1" applyBorder="1" applyAlignment="1">
      <alignment horizontal="center" vertical="center" wrapText="1"/>
    </xf>
    <xf numFmtId="3" fontId="7" fillId="3" borderId="1" xfId="621" applyNumberFormat="1" applyFont="1" applyFill="1" applyBorder="1" applyAlignment="1">
      <alignment horizontal="center" vertical="center"/>
    </xf>
    <xf numFmtId="0" fontId="7" fillId="3" borderId="1" xfId="621" applyFont="1" applyFill="1" applyBorder="1" applyAlignment="1">
      <alignment horizontal="center" vertical="center" wrapText="1"/>
    </xf>
    <xf numFmtId="1" fontId="7" fillId="0" borderId="0" xfId="621" applyNumberFormat="1" applyFont="1"/>
    <xf numFmtId="0" fontId="7" fillId="8" borderId="1" xfId="621" applyFont="1" applyFill="1" applyBorder="1" applyAlignment="1">
      <alignment horizontal="center" vertical="center" wrapText="1"/>
    </xf>
    <xf numFmtId="0" fontId="7" fillId="8" borderId="1" xfId="621" applyFont="1" applyFill="1" applyBorder="1" applyAlignment="1">
      <alignment horizontal="justify" vertical="center" wrapText="1"/>
    </xf>
    <xf numFmtId="3" fontId="7" fillId="8" borderId="1" xfId="621" applyNumberFormat="1" applyFont="1" applyFill="1" applyBorder="1" applyAlignment="1">
      <alignment horizontal="center" vertical="center"/>
    </xf>
    <xf numFmtId="0" fontId="6" fillId="8" borderId="1" xfId="621" applyFont="1" applyFill="1" applyBorder="1" applyAlignment="1">
      <alignment horizontal="center" vertical="center" wrapText="1"/>
    </xf>
    <xf numFmtId="3" fontId="7" fillId="8" borderId="1" xfId="621" applyNumberFormat="1" applyFont="1" applyFill="1" applyBorder="1" applyAlignment="1">
      <alignment horizontal="center" vertical="center" wrapText="1"/>
    </xf>
    <xf numFmtId="3" fontId="34" fillId="8" borderId="1" xfId="621" applyNumberFormat="1" applyFont="1" applyFill="1" applyBorder="1" applyAlignment="1">
      <alignment horizontal="center" vertical="center" wrapText="1"/>
    </xf>
    <xf numFmtId="0" fontId="6" fillId="8" borderId="1" xfId="621" applyFont="1" applyFill="1" applyBorder="1" applyAlignment="1">
      <alignment horizontal="right" vertical="center" wrapText="1"/>
    </xf>
    <xf numFmtId="3" fontId="7" fillId="8" borderId="1" xfId="621" applyNumberFormat="1" applyFont="1" applyFill="1" applyBorder="1" applyAlignment="1">
      <alignment horizontal="right" vertical="center" wrapText="1"/>
    </xf>
    <xf numFmtId="0" fontId="6" fillId="8" borderId="1" xfId="621" applyFont="1" applyFill="1" applyBorder="1" applyAlignment="1">
      <alignment horizontal="justify" vertical="center" wrapText="1"/>
    </xf>
    <xf numFmtId="0" fontId="7" fillId="7" borderId="1" xfId="621" applyFont="1" applyFill="1" applyBorder="1" applyAlignment="1">
      <alignment horizontal="center" vertical="center" wrapText="1"/>
    </xf>
    <xf numFmtId="3" fontId="34" fillId="0" borderId="1" xfId="621" applyNumberFormat="1" applyFont="1" applyBorder="1" applyAlignment="1">
      <alignment horizontal="center" vertical="center" wrapText="1"/>
    </xf>
    <xf numFmtId="3" fontId="34" fillId="0" borderId="1" xfId="621" applyNumberFormat="1" applyFont="1" applyBorder="1" applyAlignment="1">
      <alignment horizontal="right" vertical="center" wrapText="1"/>
    </xf>
    <xf numFmtId="3" fontId="7" fillId="0" borderId="7" xfId="2" applyNumberFormat="1" applyFont="1" applyFill="1" applyBorder="1" applyAlignment="1">
      <alignment horizontal="right" vertical="center" wrapText="1"/>
    </xf>
    <xf numFmtId="3" fontId="7" fillId="0" borderId="6" xfId="2" applyNumberFormat="1" applyFont="1" applyFill="1" applyBorder="1" applyAlignment="1">
      <alignment horizontal="right" vertical="center" wrapText="1"/>
    </xf>
    <xf numFmtId="3" fontId="7" fillId="0" borderId="7" xfId="2" applyNumberFormat="1" applyFont="1" applyBorder="1" applyAlignment="1">
      <alignment horizontal="right" vertical="center" wrapText="1"/>
    </xf>
    <xf numFmtId="49" fontId="34" fillId="0" borderId="1" xfId="621" applyNumberFormat="1" applyFont="1" applyBorder="1" applyAlignment="1">
      <alignment horizontal="justify" vertical="center" wrapText="1"/>
    </xf>
    <xf numFmtId="0" fontId="7" fillId="0" borderId="4" xfId="2" applyFont="1" applyFill="1" applyBorder="1" applyAlignment="1">
      <alignment horizontal="justify" vertical="center" wrapText="1"/>
    </xf>
    <xf numFmtId="0" fontId="7" fillId="2" borderId="1" xfId="621" applyFont="1" applyFill="1" applyBorder="1"/>
    <xf numFmtId="0" fontId="7" fillId="2" borderId="1" xfId="621" applyFont="1" applyFill="1" applyBorder="1" applyAlignment="1">
      <alignment horizontal="center" vertical="center" wrapText="1"/>
    </xf>
    <xf numFmtId="3" fontId="7" fillId="2" borderId="1" xfId="621" applyNumberFormat="1" applyFont="1" applyFill="1" applyBorder="1" applyAlignment="1">
      <alignment horizontal="center" vertical="center" wrapText="1"/>
    </xf>
    <xf numFmtId="0" fontId="7" fillId="2" borderId="1" xfId="621" applyFont="1" applyFill="1" applyBorder="1" applyAlignment="1">
      <alignment horizontal="right" vertical="center" wrapText="1"/>
    </xf>
    <xf numFmtId="3" fontId="7" fillId="2" borderId="1" xfId="621" applyNumberFormat="1" applyFont="1" applyFill="1" applyBorder="1" applyAlignment="1">
      <alignment horizontal="right" vertical="center" wrapText="1"/>
    </xf>
    <xf numFmtId="1" fontId="7" fillId="2" borderId="1" xfId="621" applyNumberFormat="1" applyFont="1" applyFill="1" applyBorder="1" applyAlignment="1">
      <alignment horizontal="right" vertical="center" wrapText="1"/>
    </xf>
    <xf numFmtId="0" fontId="7" fillId="0" borderId="0" xfId="621" applyFont="1" applyBorder="1"/>
    <xf numFmtId="0" fontId="7" fillId="7" borderId="0" xfId="621" applyFont="1" applyFill="1" applyBorder="1"/>
    <xf numFmtId="0" fontId="13" fillId="7" borderId="0" xfId="621" applyFont="1" applyFill="1" applyBorder="1" applyAlignment="1">
      <alignment vertical="center"/>
    </xf>
    <xf numFmtId="1" fontId="7" fillId="7" borderId="0" xfId="621" applyNumberFormat="1" applyFont="1" applyFill="1" applyBorder="1"/>
    <xf numFmtId="0" fontId="7" fillId="7" borderId="0" xfId="621" applyFont="1" applyFill="1"/>
    <xf numFmtId="0" fontId="7" fillId="7" borderId="0" xfId="621" applyFont="1" applyFill="1" applyBorder="1" applyAlignment="1">
      <alignment horizontal="center"/>
    </xf>
    <xf numFmtId="1" fontId="7" fillId="0" borderId="0" xfId="621" applyNumberFormat="1" applyFont="1" applyBorder="1"/>
    <xf numFmtId="0" fontId="7" fillId="0" borderId="54" xfId="621" applyFont="1" applyBorder="1"/>
    <xf numFmtId="3" fontId="7" fillId="5" borderId="1" xfId="621" applyNumberFormat="1" applyFont="1" applyFill="1" applyBorder="1" applyAlignment="1">
      <alignment horizontal="justify" vertical="center" wrapText="1"/>
    </xf>
    <xf numFmtId="3" fontId="7" fillId="5" borderId="1" xfId="1544" applyNumberFormat="1" applyFont="1" applyFill="1" applyBorder="1" applyAlignment="1">
      <alignment horizontal="center" vertical="center" wrapText="1"/>
    </xf>
    <xf numFmtId="3" fontId="7" fillId="5" borderId="1" xfId="1544" applyNumberFormat="1" applyFont="1" applyFill="1" applyBorder="1" applyAlignment="1">
      <alignment horizontal="right" vertical="center" wrapText="1"/>
    </xf>
    <xf numFmtId="3" fontId="7" fillId="5" borderId="1" xfId="621" applyNumberFormat="1" applyFont="1" applyFill="1" applyBorder="1" applyAlignment="1">
      <alignment horizontal="right" vertical="center" wrapText="1"/>
    </xf>
    <xf numFmtId="175" fontId="7" fillId="5" borderId="1" xfId="15" applyNumberFormat="1" applyFont="1" applyFill="1" applyBorder="1" applyAlignment="1">
      <alignment horizontal="justify" vertical="center" wrapText="1"/>
    </xf>
    <xf numFmtId="176" fontId="7" fillId="5" borderId="1" xfId="621" applyNumberFormat="1" applyFont="1" applyFill="1" applyBorder="1" applyAlignment="1">
      <alignment horizontal="left" vertical="center" wrapText="1"/>
    </xf>
    <xf numFmtId="3" fontId="7" fillId="0" borderId="0" xfId="621" applyNumberFormat="1" applyFont="1" applyFill="1"/>
    <xf numFmtId="0" fontId="7" fillId="0" borderId="0" xfId="621" applyFont="1" applyFill="1"/>
    <xf numFmtId="3" fontId="7" fillId="0" borderId="1" xfId="621" applyNumberFormat="1" applyFont="1" applyFill="1" applyBorder="1" applyAlignment="1">
      <alignment horizontal="justify" vertical="center" wrapText="1"/>
    </xf>
    <xf numFmtId="3" fontId="6" fillId="0" borderId="1" xfId="621" applyNumberFormat="1" applyFont="1" applyFill="1" applyBorder="1" applyAlignment="1">
      <alignment horizontal="center" vertical="center" wrapText="1"/>
    </xf>
    <xf numFmtId="3" fontId="6" fillId="0" borderId="1" xfId="1544" applyNumberFormat="1" applyFont="1" applyFill="1" applyBorder="1" applyAlignment="1">
      <alignment horizontal="right" vertical="center" wrapText="1"/>
    </xf>
    <xf numFmtId="3" fontId="7" fillId="0" borderId="1" xfId="1544" applyNumberFormat="1" applyFont="1" applyFill="1" applyBorder="1" applyAlignment="1">
      <alignment horizontal="right" vertical="center" wrapText="1"/>
    </xf>
    <xf numFmtId="3" fontId="6" fillId="0" borderId="1" xfId="621" applyNumberFormat="1" applyFont="1" applyFill="1" applyBorder="1" applyAlignment="1">
      <alignment horizontal="right" vertical="center" wrapText="1"/>
    </xf>
    <xf numFmtId="176" fontId="6" fillId="0" borderId="1" xfId="621" applyNumberFormat="1" applyFont="1" applyFill="1" applyBorder="1" applyAlignment="1">
      <alignment horizontal="left" vertical="center" wrapText="1"/>
    </xf>
    <xf numFmtId="176" fontId="7" fillId="0" borderId="0" xfId="621" applyNumberFormat="1" applyFont="1" applyFill="1"/>
    <xf numFmtId="3" fontId="7" fillId="0" borderId="1" xfId="621" applyNumberFormat="1" applyFont="1" applyFill="1" applyBorder="1" applyAlignment="1">
      <alignment horizontal="right" vertical="center" wrapText="1"/>
    </xf>
    <xf numFmtId="3" fontId="7" fillId="6" borderId="1" xfId="621" applyNumberFormat="1" applyFont="1" applyFill="1" applyBorder="1" applyAlignment="1">
      <alignment horizontal="justify" vertical="center" wrapText="1"/>
    </xf>
    <xf numFmtId="9" fontId="7" fillId="6" borderId="1" xfId="621" applyNumberFormat="1" applyFont="1" applyFill="1" applyBorder="1" applyAlignment="1">
      <alignment horizontal="justify" vertical="center" wrapText="1"/>
    </xf>
    <xf numFmtId="3" fontId="7" fillId="6" borderId="1" xfId="1544" applyNumberFormat="1" applyFont="1" applyFill="1" applyBorder="1" applyAlignment="1">
      <alignment horizontal="right" vertical="center" wrapText="1"/>
    </xf>
    <xf numFmtId="3" fontId="7" fillId="6" borderId="1" xfId="621" applyNumberFormat="1" applyFont="1" applyFill="1" applyBorder="1" applyAlignment="1">
      <alignment horizontal="right" vertical="center" wrapText="1"/>
    </xf>
    <xf numFmtId="176" fontId="6" fillId="6" borderId="1" xfId="621" applyNumberFormat="1" applyFont="1" applyFill="1" applyBorder="1" applyAlignment="1">
      <alignment horizontal="left" vertical="center" wrapText="1"/>
    </xf>
    <xf numFmtId="0" fontId="7" fillId="6" borderId="0" xfId="621" applyFont="1" applyFill="1"/>
    <xf numFmtId="0" fontId="7" fillId="0" borderId="1" xfId="621" applyFont="1" applyBorder="1" applyAlignment="1">
      <alignment horizontal="justify" vertical="center" wrapText="1"/>
    </xf>
    <xf numFmtId="43" fontId="7" fillId="0" borderId="0" xfId="621" applyNumberFormat="1" applyFont="1" applyFill="1"/>
    <xf numFmtId="0" fontId="7" fillId="0" borderId="0" xfId="621" applyFont="1" applyFill="1" applyBorder="1" applyAlignment="1">
      <alignment horizontal="center" vertical="center" wrapText="1"/>
    </xf>
    <xf numFmtId="0" fontId="7" fillId="0" borderId="0" xfId="621" applyFont="1" applyFill="1" applyBorder="1" applyAlignment="1">
      <alignment horizontal="left" vertical="center" wrapText="1"/>
    </xf>
    <xf numFmtId="3" fontId="7" fillId="0" borderId="0" xfId="621" applyNumberFormat="1" applyFont="1" applyFill="1" applyBorder="1" applyAlignment="1">
      <alignment horizontal="left" vertical="center" wrapText="1"/>
    </xf>
    <xf numFmtId="9" fontId="7" fillId="0" borderId="0" xfId="621" applyNumberFormat="1" applyFont="1" applyFill="1" applyBorder="1" applyAlignment="1">
      <alignment horizontal="left" vertical="center" wrapText="1"/>
    </xf>
    <xf numFmtId="9" fontId="7" fillId="0" borderId="0" xfId="621" applyNumberFormat="1" applyFont="1" applyFill="1" applyBorder="1" applyAlignment="1">
      <alignment horizontal="center" vertical="center" wrapText="1"/>
    </xf>
    <xf numFmtId="3" fontId="7" fillId="0" borderId="0" xfId="621" applyNumberFormat="1" applyFont="1" applyFill="1" applyBorder="1" applyAlignment="1">
      <alignment horizontal="center" vertical="center"/>
    </xf>
    <xf numFmtId="175" fontId="7" fillId="0" borderId="0" xfId="1545" applyNumberFormat="1" applyFont="1" applyFill="1" applyBorder="1" applyAlignment="1">
      <alignment horizontal="center" vertical="center" wrapText="1"/>
    </xf>
    <xf numFmtId="0" fontId="6" fillId="0" borderId="0" xfId="621" applyFont="1" applyFill="1" applyBorder="1" applyAlignment="1">
      <alignment horizontal="center" vertical="center" wrapText="1"/>
    </xf>
    <xf numFmtId="3" fontId="7" fillId="0" borderId="0" xfId="621" applyNumberFormat="1" applyFont="1"/>
    <xf numFmtId="49" fontId="7" fillId="0" borderId="1" xfId="0" applyNumberFormat="1" applyFont="1" applyBorder="1" applyAlignment="1">
      <alignment horizontal="justify" vertical="center" wrapText="1"/>
    </xf>
    <xf numFmtId="0" fontId="6" fillId="0" borderId="0" xfId="1546" applyFont="1" applyFill="1" applyBorder="1" applyAlignment="1">
      <alignment vertical="center"/>
    </xf>
    <xf numFmtId="0" fontId="7" fillId="0" borderId="0" xfId="1546" applyFont="1" applyFill="1" applyBorder="1"/>
    <xf numFmtId="0" fontId="6" fillId="0" borderId="0" xfId="1546" applyFont="1" applyFill="1" applyBorder="1" applyAlignment="1"/>
    <xf numFmtId="0" fontId="6" fillId="0" borderId="0" xfId="1546" applyFont="1" applyAlignment="1"/>
    <xf numFmtId="49" fontId="7" fillId="5" borderId="1" xfId="1546" applyNumberFormat="1" applyFont="1" applyFill="1" applyBorder="1" applyAlignment="1">
      <alignment horizontal="justify" vertical="center" wrapText="1"/>
    </xf>
    <xf numFmtId="3" fontId="7" fillId="5" borderId="1" xfId="1546" applyNumberFormat="1" applyFont="1" applyFill="1" applyBorder="1" applyAlignment="1">
      <alignment horizontal="center" vertical="center" wrapText="1"/>
    </xf>
    <xf numFmtId="49" fontId="7" fillId="5" borderId="1" xfId="1546" applyNumberFormat="1" applyFont="1" applyFill="1" applyBorder="1" applyAlignment="1">
      <alignment horizontal="center" vertical="center" wrapText="1"/>
    </xf>
    <xf numFmtId="178" fontId="7" fillId="5" borderId="1" xfId="1547" applyNumberFormat="1" applyFont="1" applyFill="1" applyBorder="1" applyAlignment="1">
      <alignment horizontal="center" vertical="center" wrapText="1"/>
    </xf>
    <xf numFmtId="3" fontId="7" fillId="5" borderId="1" xfId="1546" applyNumberFormat="1" applyFont="1" applyFill="1" applyBorder="1" applyAlignment="1">
      <alignment horizontal="right" vertical="center" wrapText="1"/>
    </xf>
    <xf numFmtId="49" fontId="7" fillId="6" borderId="1" xfId="1546" applyNumberFormat="1" applyFont="1" applyFill="1" applyBorder="1" applyAlignment="1">
      <alignment horizontal="justify" vertical="center" wrapText="1"/>
    </xf>
    <xf numFmtId="49" fontId="7" fillId="0" borderId="1" xfId="1546" applyNumberFormat="1" applyFont="1" applyBorder="1" applyAlignment="1">
      <alignment horizontal="center" vertical="center" wrapText="1"/>
    </xf>
    <xf numFmtId="49" fontId="7" fillId="0" borderId="1" xfId="1546" applyNumberFormat="1" applyFont="1" applyFill="1" applyBorder="1" applyAlignment="1">
      <alignment horizontal="justify" vertical="center" wrapText="1"/>
    </xf>
    <xf numFmtId="178" fontId="7" fillId="0" borderId="1" xfId="1547" applyNumberFormat="1" applyFont="1" applyFill="1" applyBorder="1" applyAlignment="1">
      <alignment horizontal="center" vertical="center" wrapText="1"/>
    </xf>
    <xf numFmtId="3" fontId="7" fillId="0" borderId="1" xfId="1546" applyNumberFormat="1" applyFont="1" applyFill="1" applyBorder="1" applyAlignment="1">
      <alignment horizontal="center" vertical="center" wrapText="1"/>
    </xf>
    <xf numFmtId="3" fontId="7" fillId="0" borderId="1" xfId="1546" applyNumberFormat="1" applyFont="1" applyFill="1" applyBorder="1" applyAlignment="1">
      <alignment horizontal="right" vertical="center" wrapText="1"/>
    </xf>
    <xf numFmtId="3" fontId="7" fillId="6" borderId="1" xfId="1546" applyNumberFormat="1" applyFont="1" applyFill="1" applyBorder="1" applyAlignment="1">
      <alignment horizontal="center" vertical="center" wrapText="1"/>
    </xf>
    <xf numFmtId="49" fontId="7" fillId="6" borderId="1" xfId="1546" applyNumberFormat="1" applyFont="1" applyFill="1" applyBorder="1" applyAlignment="1">
      <alignment horizontal="center" vertical="center" wrapText="1"/>
    </xf>
    <xf numFmtId="3" fontId="7" fillId="6" borderId="1" xfId="1546" applyNumberFormat="1" applyFont="1" applyFill="1" applyBorder="1" applyAlignment="1">
      <alignment horizontal="right" vertical="center" wrapText="1"/>
    </xf>
    <xf numFmtId="49" fontId="7" fillId="0" borderId="1" xfId="1546" applyNumberFormat="1" applyFont="1" applyFill="1" applyBorder="1" applyAlignment="1">
      <alignment horizontal="center" vertical="center" wrapText="1"/>
    </xf>
    <xf numFmtId="49" fontId="6" fillId="0" borderId="1" xfId="1546" applyNumberFormat="1" applyFont="1" applyFill="1" applyBorder="1" applyAlignment="1">
      <alignment horizontal="justify" vertical="center" wrapText="1"/>
    </xf>
    <xf numFmtId="0" fontId="7" fillId="6" borderId="1" xfId="1546" applyNumberFormat="1" applyFont="1" applyFill="1" applyBorder="1" applyAlignment="1">
      <alignment horizontal="center" vertical="center" wrapText="1"/>
    </xf>
    <xf numFmtId="0" fontId="7" fillId="6" borderId="0" xfId="1546" applyFont="1" applyFill="1"/>
    <xf numFmtId="0" fontId="7" fillId="5" borderId="1" xfId="1546" applyFont="1" applyFill="1" applyBorder="1" applyAlignment="1">
      <alignment horizontal="center" vertical="center" wrapText="1"/>
    </xf>
    <xf numFmtId="0" fontId="7" fillId="0" borderId="1" xfId="1546" applyFont="1" applyFill="1" applyBorder="1" applyAlignment="1">
      <alignment horizontal="center" vertical="center" wrapText="1"/>
    </xf>
    <xf numFmtId="3" fontId="7" fillId="0" borderId="1" xfId="1548" applyNumberFormat="1" applyFont="1" applyFill="1" applyBorder="1" applyAlignment="1">
      <alignment horizontal="center" vertical="center" wrapText="1"/>
    </xf>
    <xf numFmtId="0" fontId="7" fillId="0" borderId="1" xfId="1548" applyFont="1" applyFill="1" applyBorder="1" applyAlignment="1">
      <alignment horizontal="center" vertical="center" wrapText="1"/>
    </xf>
    <xf numFmtId="175" fontId="7" fillId="0" borderId="1" xfId="7" applyNumberFormat="1" applyFont="1" applyFill="1" applyBorder="1" applyAlignment="1">
      <alignment horizontal="right" vertical="center" wrapText="1"/>
    </xf>
    <xf numFmtId="3" fontId="6" fillId="0" borderId="1" xfId="1546" applyNumberFormat="1" applyFont="1" applyFill="1" applyBorder="1" applyAlignment="1">
      <alignment horizontal="right" vertical="center" wrapText="1"/>
    </xf>
    <xf numFmtId="0" fontId="6" fillId="0" borderId="1" xfId="1546" applyFont="1" applyFill="1" applyBorder="1" applyAlignment="1">
      <alignment horizontal="right" vertical="center" wrapText="1"/>
    </xf>
    <xf numFmtId="0" fontId="6" fillId="0" borderId="1" xfId="1546" applyFont="1" applyFill="1" applyBorder="1" applyAlignment="1">
      <alignment horizontal="center" vertical="center" wrapText="1"/>
    </xf>
    <xf numFmtId="178" fontId="7" fillId="5" borderId="1" xfId="1546" applyNumberFormat="1" applyFont="1" applyFill="1" applyBorder="1" applyAlignment="1">
      <alignment horizontal="right" vertical="center" wrapText="1"/>
    </xf>
    <xf numFmtId="0" fontId="7" fillId="0" borderId="1" xfId="1546" applyFont="1" applyBorder="1" applyAlignment="1">
      <alignment horizontal="center" vertical="center" wrapText="1"/>
    </xf>
    <xf numFmtId="0" fontId="7" fillId="0" borderId="0" xfId="1546" applyFont="1"/>
    <xf numFmtId="0" fontId="6" fillId="3" borderId="1" xfId="1546" applyFont="1" applyFill="1" applyBorder="1" applyAlignment="1">
      <alignment horizontal="center" vertical="center" wrapText="1"/>
    </xf>
    <xf numFmtId="49" fontId="6" fillId="3" borderId="1" xfId="1546" applyNumberFormat="1" applyFont="1" applyFill="1" applyBorder="1" applyAlignment="1">
      <alignment horizontal="center" vertical="center" wrapText="1"/>
    </xf>
    <xf numFmtId="3" fontId="6" fillId="3" borderId="1" xfId="1546" applyNumberFormat="1" applyFont="1" applyFill="1" applyBorder="1" applyAlignment="1">
      <alignment horizontal="center" vertical="center" wrapText="1"/>
    </xf>
    <xf numFmtId="49" fontId="6" fillId="3" borderId="1" xfId="1546" applyNumberFormat="1" applyFont="1" applyFill="1" applyBorder="1" applyAlignment="1">
      <alignment horizontal="justify" vertical="center" wrapText="1"/>
    </xf>
    <xf numFmtId="3" fontId="6" fillId="3" borderId="1" xfId="1546" applyNumberFormat="1" applyFont="1" applyFill="1" applyBorder="1" applyAlignment="1">
      <alignment horizontal="right" vertical="center" wrapText="1"/>
    </xf>
    <xf numFmtId="0" fontId="6" fillId="0" borderId="0" xfId="621" applyFont="1" applyFill="1" applyBorder="1"/>
    <xf numFmtId="0" fontId="6" fillId="0" borderId="0" xfId="621" applyFont="1" applyFill="1" applyBorder="1" applyAlignment="1">
      <alignment vertical="center"/>
    </xf>
    <xf numFmtId="0" fontId="6" fillId="0" borderId="0" xfId="621" applyFont="1" applyFill="1" applyBorder="1" applyAlignment="1">
      <alignment horizontal="center" vertical="center"/>
    </xf>
    <xf numFmtId="179" fontId="7" fillId="0" borderId="0" xfId="621" applyNumberFormat="1" applyFont="1" applyFill="1" applyBorder="1" applyAlignment="1">
      <alignment horizontal="center" vertical="center"/>
    </xf>
    <xf numFmtId="0" fontId="7" fillId="0" borderId="0" xfId="621" applyFont="1" applyAlignment="1">
      <alignment horizontal="center"/>
    </xf>
    <xf numFmtId="0" fontId="6" fillId="0" borderId="0" xfId="621" applyFont="1" applyFill="1" applyBorder="1" applyAlignment="1">
      <alignment horizontal="left" vertical="center"/>
    </xf>
    <xf numFmtId="49" fontId="7" fillId="5" borderId="1" xfId="621" applyNumberFormat="1" applyFont="1" applyFill="1" applyBorder="1" applyAlignment="1">
      <alignment horizontal="center" vertical="center" wrapText="1"/>
    </xf>
    <xf numFmtId="1" fontId="7" fillId="5" borderId="1" xfId="621" applyNumberFormat="1" applyFont="1" applyFill="1" applyBorder="1" applyAlignment="1">
      <alignment horizontal="center" vertical="center" wrapText="1"/>
    </xf>
    <xf numFmtId="3" fontId="7" fillId="5" borderId="1" xfId="1549" applyNumberFormat="1" applyFont="1" applyFill="1" applyBorder="1" applyAlignment="1">
      <alignment horizontal="right" vertical="center" wrapText="1"/>
    </xf>
    <xf numFmtId="3" fontId="7" fillId="5" borderId="1" xfId="15" applyNumberFormat="1" applyFont="1" applyFill="1" applyBorder="1" applyAlignment="1">
      <alignment horizontal="right" vertical="center" wrapText="1"/>
    </xf>
    <xf numFmtId="179" fontId="7" fillId="5" borderId="1" xfId="621" applyNumberFormat="1" applyFont="1" applyFill="1" applyBorder="1" applyAlignment="1">
      <alignment horizontal="center" vertical="center" wrapText="1"/>
    </xf>
    <xf numFmtId="179" fontId="7" fillId="5" borderId="1" xfId="1549" applyNumberFormat="1" applyFont="1" applyFill="1" applyBorder="1" applyAlignment="1">
      <alignment horizontal="justify" vertical="center" wrapText="1"/>
    </xf>
    <xf numFmtId="49" fontId="7" fillId="0" borderId="1" xfId="621" applyNumberFormat="1" applyFont="1" applyFill="1" applyBorder="1" applyAlignment="1">
      <alignment horizontal="center" vertical="center" wrapText="1"/>
    </xf>
    <xf numFmtId="1" fontId="7" fillId="0" borderId="1" xfId="621" applyNumberFormat="1" applyFont="1" applyFill="1" applyBorder="1" applyAlignment="1">
      <alignment horizontal="center" vertical="center" wrapText="1"/>
    </xf>
    <xf numFmtId="3" fontId="7" fillId="0" borderId="1" xfId="1549" applyNumberFormat="1" applyFont="1" applyFill="1" applyBorder="1" applyAlignment="1">
      <alignment horizontal="right" vertical="center" wrapText="1"/>
    </xf>
    <xf numFmtId="179" fontId="7" fillId="0" borderId="1" xfId="621" applyNumberFormat="1" applyFont="1" applyFill="1" applyBorder="1" applyAlignment="1">
      <alignment horizontal="center" vertical="center" wrapText="1"/>
    </xf>
    <xf numFmtId="179" fontId="7" fillId="0" borderId="1" xfId="621" applyNumberFormat="1" applyFont="1" applyFill="1" applyBorder="1" applyAlignment="1">
      <alignment horizontal="justify" vertical="center" wrapText="1"/>
    </xf>
    <xf numFmtId="3" fontId="7" fillId="0" borderId="1" xfId="7" applyNumberFormat="1" applyFont="1" applyFill="1" applyBorder="1" applyAlignment="1">
      <alignment horizontal="right" vertical="center" wrapText="1"/>
    </xf>
    <xf numFmtId="3" fontId="7" fillId="5" borderId="1" xfId="7" applyNumberFormat="1" applyFont="1" applyFill="1" applyBorder="1" applyAlignment="1">
      <alignment horizontal="right" vertical="center" wrapText="1"/>
    </xf>
    <xf numFmtId="3" fontId="7" fillId="0" borderId="1" xfId="1548" applyNumberFormat="1" applyFont="1" applyBorder="1" applyAlignment="1">
      <alignment horizontal="center" vertical="center" wrapText="1"/>
    </xf>
    <xf numFmtId="49" fontId="7" fillId="6" borderId="1" xfId="1548" applyNumberFormat="1" applyFont="1" applyFill="1" applyBorder="1" applyAlignment="1">
      <alignment horizontal="center" vertical="center" wrapText="1"/>
    </xf>
    <xf numFmtId="49" fontId="7" fillId="6" borderId="1" xfId="1548" applyNumberFormat="1" applyFont="1" applyFill="1" applyBorder="1" applyAlignment="1">
      <alignment horizontal="justify" vertical="center" wrapText="1"/>
    </xf>
    <xf numFmtId="179" fontId="7" fillId="5" borderId="1" xfId="2" applyNumberFormat="1" applyFont="1" applyFill="1" applyBorder="1" applyAlignment="1">
      <alignment horizontal="right" vertical="center" wrapText="1"/>
    </xf>
    <xf numFmtId="180" fontId="7" fillId="5" borderId="1" xfId="2" applyNumberFormat="1" applyFont="1" applyFill="1" applyBorder="1" applyAlignment="1">
      <alignment horizontal="justify" vertical="center" wrapText="1"/>
    </xf>
    <xf numFmtId="179" fontId="7" fillId="0" borderId="1" xfId="2" applyNumberFormat="1" applyFont="1" applyFill="1" applyBorder="1" applyAlignment="1">
      <alignment horizontal="right" vertical="center" wrapText="1"/>
    </xf>
    <xf numFmtId="2" fontId="7" fillId="0" borderId="1" xfId="2" applyNumberFormat="1" applyFont="1" applyFill="1" applyBorder="1" applyAlignment="1">
      <alignment horizontal="justify" vertical="center" wrapText="1"/>
    </xf>
    <xf numFmtId="49" fontId="7" fillId="6" borderId="1" xfId="2" applyNumberFormat="1" applyFont="1" applyFill="1" applyBorder="1" applyAlignment="1">
      <alignment horizontal="justify" vertical="center" wrapText="1"/>
    </xf>
    <xf numFmtId="3" fontId="7" fillId="0" borderId="1" xfId="7" applyNumberFormat="1" applyFont="1" applyBorder="1" applyAlignment="1">
      <alignment horizontal="right" vertical="center" wrapText="1"/>
    </xf>
    <xf numFmtId="3" fontId="7" fillId="0" borderId="1" xfId="1549" applyNumberFormat="1" applyFont="1" applyBorder="1" applyAlignment="1">
      <alignment horizontal="right" vertical="center" wrapText="1"/>
    </xf>
    <xf numFmtId="3" fontId="7" fillId="6" borderId="1" xfId="1549" applyNumberFormat="1" applyFont="1" applyFill="1" applyBorder="1" applyAlignment="1">
      <alignment horizontal="right" vertical="center" wrapText="1"/>
    </xf>
    <xf numFmtId="179" fontId="7" fillId="0" borderId="1" xfId="2" applyNumberFormat="1" applyFont="1" applyBorder="1" applyAlignment="1">
      <alignment horizontal="center" vertical="center" wrapText="1"/>
    </xf>
    <xf numFmtId="2" fontId="7" fillId="0" borderId="1" xfId="2" applyNumberFormat="1" applyFont="1" applyBorder="1" applyAlignment="1">
      <alignment horizontal="justify" vertical="center" wrapText="1"/>
    </xf>
    <xf numFmtId="179" fontId="7" fillId="0" borderId="1" xfId="2" applyNumberFormat="1" applyFont="1" applyBorder="1" applyAlignment="1">
      <alignment horizontal="right" vertical="center" wrapText="1"/>
    </xf>
    <xf numFmtId="3" fontId="7" fillId="6" borderId="1" xfId="7" applyNumberFormat="1" applyFont="1" applyFill="1" applyBorder="1" applyAlignment="1">
      <alignment horizontal="right" vertical="center" wrapText="1"/>
    </xf>
    <xf numFmtId="179" fontId="7" fillId="6" borderId="1" xfId="2" applyNumberFormat="1" applyFont="1" applyFill="1" applyBorder="1" applyAlignment="1">
      <alignment horizontal="right" vertical="center" wrapText="1"/>
    </xf>
    <xf numFmtId="179" fontId="7" fillId="6" borderId="1" xfId="621" applyNumberFormat="1" applyFont="1" applyFill="1" applyBorder="1" applyAlignment="1">
      <alignment horizontal="justify" vertical="center" wrapText="1"/>
    </xf>
    <xf numFmtId="3" fontId="6" fillId="3" borderId="1" xfId="2" applyNumberFormat="1" applyFont="1" applyFill="1" applyBorder="1" applyAlignment="1">
      <alignment horizontal="center" vertical="center" wrapText="1"/>
    </xf>
    <xf numFmtId="49" fontId="6" fillId="3" borderId="1" xfId="2" applyNumberFormat="1" applyFont="1" applyFill="1" applyBorder="1" applyAlignment="1">
      <alignment horizontal="center" vertical="center" wrapText="1"/>
    </xf>
    <xf numFmtId="49" fontId="6" fillId="3" borderId="1" xfId="2" applyNumberFormat="1" applyFont="1" applyFill="1" applyBorder="1" applyAlignment="1">
      <alignment horizontal="justify" vertical="center" wrapText="1"/>
    </xf>
    <xf numFmtId="49" fontId="7" fillId="3" borderId="1" xfId="2" applyNumberFormat="1" applyFont="1" applyFill="1" applyBorder="1" applyAlignment="1">
      <alignment horizontal="justify" vertical="center" wrapText="1"/>
    </xf>
    <xf numFmtId="1" fontId="6" fillId="3" borderId="1" xfId="2" applyNumberFormat="1" applyFont="1" applyFill="1" applyBorder="1" applyAlignment="1">
      <alignment horizontal="center" vertical="center" wrapText="1"/>
    </xf>
    <xf numFmtId="3" fontId="6" fillId="3" borderId="1" xfId="2" applyNumberFormat="1" applyFont="1" applyFill="1" applyBorder="1" applyAlignment="1">
      <alignment horizontal="right" vertical="center" wrapText="1"/>
    </xf>
    <xf numFmtId="3" fontId="6" fillId="3" borderId="1" xfId="7" applyNumberFormat="1" applyFont="1" applyFill="1" applyBorder="1" applyAlignment="1">
      <alignment horizontal="right" vertical="center" wrapText="1"/>
    </xf>
    <xf numFmtId="179" fontId="6" fillId="3" borderId="1" xfId="2" applyNumberFormat="1" applyFont="1" applyFill="1" applyBorder="1" applyAlignment="1">
      <alignment horizontal="right" vertical="center" wrapText="1"/>
    </xf>
    <xf numFmtId="179" fontId="6" fillId="3" borderId="1" xfId="2" applyNumberFormat="1" applyFont="1" applyFill="1" applyBorder="1" applyAlignment="1">
      <alignment horizontal="center" vertical="center" wrapText="1"/>
    </xf>
    <xf numFmtId="179" fontId="6" fillId="3" borderId="1" xfId="2" applyNumberFormat="1" applyFont="1" applyFill="1" applyBorder="1" applyAlignment="1">
      <alignment horizontal="justify" vertical="center" wrapText="1"/>
    </xf>
    <xf numFmtId="0" fontId="6" fillId="0" borderId="0" xfId="621" applyFont="1"/>
    <xf numFmtId="1" fontId="6" fillId="0" borderId="0" xfId="621" applyNumberFormat="1" applyFont="1"/>
    <xf numFmtId="3" fontId="7" fillId="6" borderId="0" xfId="621" applyNumberFormat="1" applyFont="1" applyFill="1"/>
    <xf numFmtId="181" fontId="7" fillId="6" borderId="0" xfId="621" applyNumberFormat="1" applyFont="1" applyFill="1"/>
    <xf numFmtId="1" fontId="7" fillId="0" borderId="10" xfId="621" applyNumberFormat="1" applyFont="1" applyBorder="1"/>
    <xf numFmtId="0" fontId="7" fillId="0" borderId="10" xfId="621" applyFont="1" applyBorder="1"/>
    <xf numFmtId="164" fontId="7" fillId="0" borderId="0" xfId="621" applyNumberFormat="1" applyFont="1"/>
    <xf numFmtId="0" fontId="7" fillId="0" borderId="1" xfId="621" applyFont="1" applyBorder="1"/>
    <xf numFmtId="0" fontId="7" fillId="0" borderId="53" xfId="621" applyFont="1" applyBorder="1"/>
    <xf numFmtId="0" fontId="7" fillId="6" borderId="1" xfId="621" applyFont="1" applyFill="1" applyBorder="1"/>
    <xf numFmtId="0" fontId="7" fillId="6" borderId="7" xfId="621" applyFont="1" applyFill="1" applyBorder="1"/>
    <xf numFmtId="49" fontId="7" fillId="5" borderId="7" xfId="621" applyNumberFormat="1" applyFont="1" applyFill="1" applyBorder="1" applyAlignment="1">
      <alignment horizontal="justify" vertical="center" wrapText="1"/>
    </xf>
    <xf numFmtId="3" fontId="7" fillId="5" borderId="7" xfId="621" applyNumberFormat="1" applyFont="1" applyFill="1" applyBorder="1" applyAlignment="1">
      <alignment horizontal="center" vertical="center" wrapText="1"/>
    </xf>
    <xf numFmtId="49" fontId="7" fillId="5" borderId="7" xfId="621" applyNumberFormat="1" applyFont="1" applyFill="1" applyBorder="1" applyAlignment="1">
      <alignment horizontal="center" vertical="center" wrapText="1"/>
    </xf>
    <xf numFmtId="164" fontId="7" fillId="5" borderId="7" xfId="621" applyNumberFormat="1" applyFont="1" applyFill="1" applyBorder="1" applyAlignment="1">
      <alignment horizontal="center" vertical="center" wrapText="1"/>
    </xf>
    <xf numFmtId="3" fontId="7" fillId="5" borderId="7" xfId="621" applyNumberFormat="1" applyFont="1" applyFill="1" applyBorder="1" applyAlignment="1">
      <alignment horizontal="right" vertical="center" wrapText="1"/>
    </xf>
    <xf numFmtId="0" fontId="7" fillId="5" borderId="0" xfId="621" applyFont="1" applyFill="1"/>
    <xf numFmtId="49" fontId="7" fillId="5" borderId="7" xfId="621" applyNumberFormat="1" applyFont="1" applyFill="1" applyBorder="1" applyAlignment="1">
      <alignment horizontal="left" vertical="center" wrapText="1"/>
    </xf>
    <xf numFmtId="49" fontId="7" fillId="6" borderId="1" xfId="621" applyNumberFormat="1" applyFont="1" applyFill="1" applyBorder="1" applyAlignment="1">
      <alignment horizontal="justify" vertical="center" wrapText="1"/>
    </xf>
    <xf numFmtId="49" fontId="7" fillId="6" borderId="1" xfId="621" applyNumberFormat="1" applyFont="1" applyFill="1" applyBorder="1" applyAlignment="1">
      <alignment horizontal="center" vertical="center" wrapText="1"/>
    </xf>
    <xf numFmtId="3" fontId="7" fillId="0" borderId="1" xfId="621" applyNumberFormat="1" applyFont="1" applyBorder="1" applyAlignment="1">
      <alignment horizontal="center" vertical="center" wrapText="1"/>
    </xf>
    <xf numFmtId="49" fontId="7" fillId="6" borderId="7" xfId="621" applyNumberFormat="1" applyFont="1" applyFill="1" applyBorder="1" applyAlignment="1">
      <alignment horizontal="center" vertical="center" wrapText="1"/>
    </xf>
    <xf numFmtId="3" fontId="7" fillId="6" borderId="7" xfId="621" applyNumberFormat="1" applyFont="1" applyFill="1" applyBorder="1" applyAlignment="1">
      <alignment horizontal="right" vertical="center" wrapText="1"/>
    </xf>
    <xf numFmtId="4" fontId="7" fillId="6" borderId="7" xfId="621" applyNumberFormat="1" applyFont="1" applyFill="1" applyBorder="1" applyAlignment="1">
      <alignment horizontal="right" vertical="center" wrapText="1"/>
    </xf>
    <xf numFmtId="0" fontId="7" fillId="5" borderId="7" xfId="621" applyFont="1" applyFill="1" applyBorder="1" applyAlignment="1">
      <alignment horizontal="center" vertical="center" wrapText="1"/>
    </xf>
    <xf numFmtId="181" fontId="7" fillId="0" borderId="0" xfId="621" applyNumberFormat="1" applyFont="1"/>
    <xf numFmtId="0" fontId="7" fillId="0" borderId="0" xfId="621" applyFont="1" applyAlignment="1">
      <alignment horizontal="left"/>
    </xf>
    <xf numFmtId="4" fontId="7" fillId="0" borderId="0" xfId="621" applyNumberFormat="1" applyFont="1"/>
    <xf numFmtId="3" fontId="6" fillId="0" borderId="0" xfId="621" applyNumberFormat="1" applyFont="1"/>
    <xf numFmtId="49" fontId="7" fillId="5" borderId="1" xfId="621" applyNumberFormat="1" applyFont="1" applyFill="1" applyBorder="1" applyAlignment="1">
      <alignment horizontal="justify" vertical="center" wrapText="1"/>
    </xf>
    <xf numFmtId="0" fontId="7" fillId="5" borderId="1" xfId="621" applyFont="1" applyFill="1" applyBorder="1" applyAlignment="1">
      <alignment horizontal="center" vertical="center"/>
    </xf>
    <xf numFmtId="3" fontId="7" fillId="5" borderId="1" xfId="621" applyNumberFormat="1" applyFont="1" applyFill="1" applyBorder="1" applyAlignment="1">
      <alignment horizontal="center" vertical="center"/>
    </xf>
    <xf numFmtId="0" fontId="7" fillId="0" borderId="1" xfId="621" applyFont="1" applyFill="1" applyBorder="1" applyAlignment="1">
      <alignment horizontal="center" vertical="center"/>
    </xf>
    <xf numFmtId="4" fontId="7" fillId="6" borderId="0" xfId="621" applyNumberFormat="1" applyFont="1" applyFill="1" applyAlignment="1">
      <alignment horizontal="center" vertical="center" wrapText="1"/>
    </xf>
    <xf numFmtId="0" fontId="7" fillId="0" borderId="0" xfId="621" applyFont="1" applyAlignment="1">
      <alignment horizontal="center" vertical="center" wrapText="1"/>
    </xf>
    <xf numFmtId="3" fontId="7" fillId="0" borderId="1" xfId="15" applyNumberFormat="1" applyFont="1" applyFill="1" applyBorder="1" applyAlignment="1">
      <alignment horizontal="center" vertical="center" wrapText="1"/>
    </xf>
    <xf numFmtId="0" fontId="7" fillId="0" borderId="1" xfId="621" applyFont="1" applyBorder="1" applyAlignment="1">
      <alignment horizontal="center" vertical="center" wrapText="1"/>
    </xf>
    <xf numFmtId="49" fontId="7" fillId="0" borderId="1" xfId="621" applyNumberFormat="1" applyFont="1" applyBorder="1" applyAlignment="1">
      <alignment horizontal="justify" vertical="center" wrapText="1"/>
    </xf>
    <xf numFmtId="3" fontId="7" fillId="0" borderId="1" xfId="7" applyNumberFormat="1" applyFont="1" applyFill="1" applyBorder="1" applyAlignment="1">
      <alignment horizontal="center" vertical="center" wrapText="1"/>
    </xf>
    <xf numFmtId="49" fontId="6" fillId="3" borderId="1" xfId="621" applyNumberFormat="1" applyFont="1" applyFill="1" applyBorder="1" applyAlignment="1">
      <alignment horizontal="justify" vertical="center" wrapText="1"/>
    </xf>
    <xf numFmtId="3" fontId="6" fillId="3" borderId="1" xfId="621" applyNumberFormat="1" applyFont="1" applyFill="1" applyBorder="1" applyAlignment="1">
      <alignment horizontal="right" vertical="center" wrapText="1"/>
    </xf>
    <xf numFmtId="0" fontId="34" fillId="5" borderId="1" xfId="621" applyFont="1" applyFill="1" applyBorder="1" applyAlignment="1">
      <alignment horizontal="center" vertical="center" wrapText="1"/>
    </xf>
    <xf numFmtId="3" fontId="34" fillId="5" borderId="1" xfId="621" applyNumberFormat="1" applyFont="1" applyFill="1" applyBorder="1" applyAlignment="1">
      <alignment horizontal="center" vertical="center" wrapText="1"/>
    </xf>
    <xf numFmtId="0" fontId="34" fillId="5" borderId="1" xfId="621" applyFont="1" applyFill="1" applyBorder="1" applyAlignment="1">
      <alignment horizontal="justify" vertical="center" wrapText="1"/>
    </xf>
    <xf numFmtId="3" fontId="34" fillId="5" borderId="1" xfId="621" applyNumberFormat="1" applyFont="1" applyFill="1" applyBorder="1" applyAlignment="1">
      <alignment horizontal="right" vertical="center" wrapText="1"/>
    </xf>
    <xf numFmtId="49" fontId="34" fillId="5" borderId="1" xfId="621" applyNumberFormat="1" applyFont="1" applyFill="1" applyBorder="1" applyAlignment="1">
      <alignment horizontal="justify" vertical="center" wrapText="1"/>
    </xf>
    <xf numFmtId="0" fontId="34" fillId="0" borderId="1" xfId="621" applyFont="1" applyBorder="1" applyAlignment="1">
      <alignment horizontal="center" vertical="center" wrapText="1"/>
    </xf>
    <xf numFmtId="49" fontId="34" fillId="7" borderId="1" xfId="621" applyNumberFormat="1" applyFont="1" applyFill="1" applyBorder="1" applyAlignment="1">
      <alignment horizontal="justify" vertical="center" wrapText="1"/>
    </xf>
    <xf numFmtId="0" fontId="34" fillId="7" borderId="1" xfId="621" applyFont="1" applyFill="1" applyBorder="1" applyAlignment="1">
      <alignment horizontal="center" vertical="center" wrapText="1"/>
    </xf>
    <xf numFmtId="0" fontId="34" fillId="7" borderId="1" xfId="621" applyFont="1" applyFill="1" applyBorder="1" applyAlignment="1">
      <alignment horizontal="justify" vertical="center" wrapText="1"/>
    </xf>
    <xf numFmtId="49" fontId="7" fillId="7" borderId="1" xfId="621" applyNumberFormat="1" applyFont="1" applyFill="1" applyBorder="1" applyAlignment="1">
      <alignment horizontal="justify" vertical="center" wrapText="1"/>
    </xf>
    <xf numFmtId="0" fontId="7" fillId="3" borderId="1" xfId="621" applyFont="1" applyFill="1" applyBorder="1"/>
    <xf numFmtId="0" fontId="34" fillId="3" borderId="1" xfId="621" applyFont="1" applyFill="1" applyBorder="1" applyAlignment="1">
      <alignment horizontal="left" indent="2"/>
    </xf>
    <xf numFmtId="3" fontId="7" fillId="3" borderId="1" xfId="621" applyNumberFormat="1" applyFont="1" applyFill="1" applyBorder="1"/>
    <xf numFmtId="1" fontId="7" fillId="3" borderId="1" xfId="621" applyNumberFormat="1" applyFont="1" applyFill="1" applyBorder="1"/>
    <xf numFmtId="0" fontId="7" fillId="0" borderId="0" xfId="621" applyFont="1" applyFill="1" applyBorder="1" applyAlignment="1">
      <alignment horizontal="center"/>
    </xf>
    <xf numFmtId="9" fontId="7" fillId="8" borderId="1" xfId="621" applyNumberFormat="1" applyFont="1" applyFill="1" applyBorder="1" applyAlignment="1">
      <alignment horizontal="justify" vertical="center" wrapText="1"/>
    </xf>
    <xf numFmtId="4" fontId="7" fillId="0" borderId="0" xfId="3" applyNumberFormat="1" applyFont="1" applyAlignment="1">
      <alignment horizontal="center" vertical="center" wrapText="1"/>
    </xf>
    <xf numFmtId="0" fontId="7" fillId="0" borderId="0" xfId="3" applyFont="1"/>
    <xf numFmtId="0" fontId="7" fillId="7" borderId="1" xfId="621" applyFont="1" applyFill="1" applyBorder="1" applyAlignment="1">
      <alignment horizontal="justify" vertical="center" wrapText="1"/>
    </xf>
    <xf numFmtId="3" fontId="7" fillId="0" borderId="1" xfId="15" applyNumberFormat="1" applyFont="1" applyFill="1" applyBorder="1" applyAlignment="1">
      <alignment horizontal="right" vertical="center" wrapText="1"/>
    </xf>
    <xf numFmtId="3" fontId="7" fillId="6" borderId="1" xfId="15" applyNumberFormat="1" applyFont="1" applyFill="1" applyBorder="1" applyAlignment="1">
      <alignment horizontal="right" vertical="center" wrapText="1"/>
    </xf>
    <xf numFmtId="4" fontId="7" fillId="6" borderId="0" xfId="3" applyNumberFormat="1" applyFont="1" applyFill="1" applyAlignment="1">
      <alignment horizontal="center" vertical="center" wrapText="1"/>
    </xf>
    <xf numFmtId="3" fontId="7" fillId="0" borderId="1" xfId="621" applyNumberFormat="1" applyFont="1" applyBorder="1" applyAlignment="1">
      <alignment horizontal="right" vertical="center" wrapText="1"/>
    </xf>
    <xf numFmtId="0" fontId="6" fillId="2" borderId="1" xfId="621" applyFont="1" applyFill="1" applyBorder="1"/>
    <xf numFmtId="0" fontId="6" fillId="2" borderId="1" xfId="621" applyFont="1" applyFill="1" applyBorder="1" applyAlignment="1">
      <alignment horizontal="center"/>
    </xf>
    <xf numFmtId="3" fontId="6" fillId="2" borderId="1" xfId="621" applyNumberFormat="1" applyFont="1" applyFill="1" applyBorder="1" applyAlignment="1">
      <alignment horizontal="center" vertical="center" wrapText="1"/>
    </xf>
    <xf numFmtId="3" fontId="6" fillId="2" borderId="1" xfId="621" applyNumberFormat="1" applyFont="1" applyFill="1" applyBorder="1" applyAlignment="1">
      <alignment horizontal="right" vertical="center" wrapText="1"/>
    </xf>
    <xf numFmtId="49" fontId="7" fillId="0" borderId="5" xfId="0" applyNumberFormat="1" applyFont="1" applyBorder="1" applyAlignment="1">
      <alignment horizontal="justify" vertical="center" wrapText="1"/>
    </xf>
    <xf numFmtId="49" fontId="7" fillId="0" borderId="7" xfId="0" applyNumberFormat="1" applyFont="1" applyBorder="1" applyAlignment="1">
      <alignment horizontal="justify" vertical="center" wrapText="1"/>
    </xf>
    <xf numFmtId="49" fontId="7" fillId="0" borderId="1" xfId="0" applyNumberFormat="1" applyFont="1" applyBorder="1" applyAlignment="1">
      <alignment horizontal="justify" vertical="center" wrapText="1"/>
    </xf>
    <xf numFmtId="9" fontId="7" fillId="0" borderId="1" xfId="2" applyNumberFormat="1" applyFont="1" applyFill="1" applyBorder="1" applyAlignment="1">
      <alignment horizontal="justify" vertical="center" wrapText="1"/>
    </xf>
    <xf numFmtId="0" fontId="7" fillId="6" borderId="1" xfId="2" applyFont="1" applyFill="1" applyBorder="1" applyAlignment="1">
      <alignment horizontal="center" vertical="center" wrapText="1"/>
    </xf>
    <xf numFmtId="3" fontId="7" fillId="0" borderId="1" xfId="2" applyNumberFormat="1" applyFont="1" applyFill="1" applyBorder="1" applyAlignment="1">
      <alignment horizontal="center" vertical="center" wrapText="1"/>
    </xf>
    <xf numFmtId="0" fontId="7" fillId="6" borderId="1" xfId="2" applyFont="1" applyFill="1" applyBorder="1" applyAlignment="1">
      <alignment horizontal="justify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/>
    </xf>
    <xf numFmtId="2" fontId="7" fillId="0" borderId="7" xfId="75" applyNumberFormat="1" applyFont="1" applyBorder="1" applyAlignment="1">
      <alignment horizontal="justify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49" fontId="7" fillId="0" borderId="5" xfId="75" applyNumberFormat="1" applyFont="1" applyFill="1" applyBorder="1" applyAlignment="1">
      <alignment horizontal="justify" vertical="center" wrapText="1"/>
    </xf>
    <xf numFmtId="0" fontId="7" fillId="6" borderId="5" xfId="75" applyFont="1" applyFill="1" applyBorder="1" applyAlignment="1">
      <alignment horizontal="justify" vertical="center" wrapText="1"/>
    </xf>
    <xf numFmtId="1" fontId="7" fillId="6" borderId="7" xfId="2" applyNumberFormat="1" applyFont="1" applyFill="1" applyBorder="1" applyAlignment="1">
      <alignment horizontal="center" vertical="center" wrapText="1"/>
    </xf>
    <xf numFmtId="0" fontId="7" fillId="0" borderId="5" xfId="75" applyFont="1" applyFill="1" applyBorder="1" applyAlignment="1">
      <alignment horizontal="justify" vertical="center" wrapText="1"/>
    </xf>
    <xf numFmtId="49" fontId="7" fillId="0" borderId="1" xfId="2" applyNumberFormat="1" applyFont="1" applyBorder="1" applyAlignment="1">
      <alignment horizontal="justify" vertical="center" wrapText="1"/>
    </xf>
    <xf numFmtId="0" fontId="7" fillId="0" borderId="5" xfId="75" applyFont="1" applyFill="1" applyBorder="1" applyAlignment="1">
      <alignment horizontal="center" vertical="center" wrapText="1"/>
    </xf>
    <xf numFmtId="0" fontId="7" fillId="6" borderId="5" xfId="3" applyFont="1" applyFill="1" applyBorder="1" applyAlignment="1">
      <alignment horizontal="justify" vertical="center" wrapText="1"/>
    </xf>
    <xf numFmtId="2" fontId="7" fillId="6" borderId="1" xfId="3" applyNumberFormat="1" applyFont="1" applyFill="1" applyBorder="1" applyAlignment="1">
      <alignment horizontal="justify" vertical="center" wrapText="1"/>
    </xf>
    <xf numFmtId="0" fontId="41" fillId="0" borderId="0" xfId="1542" applyFont="1" applyFill="1" applyBorder="1" applyAlignment="1">
      <alignment horizontal="center"/>
    </xf>
    <xf numFmtId="3" fontId="41" fillId="2" borderId="1" xfId="1542" applyNumberFormat="1" applyFont="1" applyFill="1" applyBorder="1" applyAlignment="1">
      <alignment horizontal="center" vertical="center"/>
    </xf>
    <xf numFmtId="0" fontId="42" fillId="0" borderId="7" xfId="1542" applyFont="1" applyFill="1" applyBorder="1" applyAlignment="1">
      <alignment horizontal="justify" vertical="center" wrapText="1"/>
    </xf>
    <xf numFmtId="0" fontId="42" fillId="0" borderId="6" xfId="1542" applyFont="1" applyFill="1" applyBorder="1" applyAlignment="1">
      <alignment horizontal="center" vertical="center" wrapText="1"/>
    </xf>
    <xf numFmtId="49" fontId="42" fillId="0" borderId="7" xfId="1542" applyNumberFormat="1" applyFont="1" applyFill="1" applyBorder="1" applyAlignment="1">
      <alignment horizontal="justify" vertical="center" wrapText="1"/>
    </xf>
    <xf numFmtId="4" fontId="7" fillId="0" borderId="0" xfId="2" applyNumberFormat="1" applyFont="1" applyAlignment="1">
      <alignment horizontal="center" vertical="center" wrapText="1"/>
    </xf>
    <xf numFmtId="0" fontId="6" fillId="0" borderId="0" xfId="621" applyFont="1" applyFill="1" applyBorder="1" applyAlignment="1">
      <alignment horizontal="center"/>
    </xf>
    <xf numFmtId="3" fontId="7" fillId="0" borderId="1" xfId="2" applyNumberFormat="1" applyFont="1" applyFill="1" applyBorder="1" applyAlignment="1">
      <alignment horizontal="center" vertical="center" wrapText="1"/>
    </xf>
    <xf numFmtId="49" fontId="7" fillId="0" borderId="1" xfId="2" applyNumberFormat="1" applyFont="1" applyFill="1" applyBorder="1" applyAlignment="1">
      <alignment horizontal="center" vertical="center" wrapText="1"/>
    </xf>
    <xf numFmtId="3" fontId="7" fillId="0" borderId="5" xfId="1546" applyNumberFormat="1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vertical="center"/>
    </xf>
    <xf numFmtId="0" fontId="7" fillId="0" borderId="1" xfId="2" applyNumberFormat="1" applyFont="1" applyBorder="1" applyAlignment="1">
      <alignment horizontal="justify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fill" vertical="center" wrapText="1"/>
    </xf>
    <xf numFmtId="0" fontId="6" fillId="0" borderId="0" xfId="2" applyFont="1" applyFill="1" applyBorder="1" applyAlignment="1">
      <alignment horizontal="center" vertical="center"/>
    </xf>
    <xf numFmtId="1" fontId="6" fillId="0" borderId="0" xfId="2" applyNumberFormat="1" applyFont="1" applyFill="1" applyBorder="1" applyAlignment="1">
      <alignment vertical="center"/>
    </xf>
    <xf numFmtId="0" fontId="6" fillId="0" borderId="53" xfId="2" applyFont="1" applyFill="1" applyBorder="1" applyAlignment="1">
      <alignment horizontal="fill" vertical="center" wrapText="1"/>
    </xf>
    <xf numFmtId="2" fontId="7" fillId="0" borderId="0" xfId="3" applyNumberFormat="1" applyFont="1"/>
    <xf numFmtId="49" fontId="7" fillId="5" borderId="1" xfId="3" applyNumberFormat="1" applyFont="1" applyFill="1" applyBorder="1" applyAlignment="1">
      <alignment horizontal="justify" vertical="center" wrapText="1"/>
    </xf>
    <xf numFmtId="3" fontId="7" fillId="5" borderId="1" xfId="3" applyNumberFormat="1" applyFont="1" applyFill="1" applyBorder="1" applyAlignment="1">
      <alignment horizontal="right" vertical="center" wrapText="1"/>
    </xf>
    <xf numFmtId="4" fontId="7" fillId="5" borderId="1" xfId="3" applyNumberFormat="1" applyFont="1" applyFill="1" applyBorder="1" applyAlignment="1">
      <alignment horizontal="justify" vertical="center" wrapText="1"/>
    </xf>
    <xf numFmtId="0" fontId="6" fillId="0" borderId="0" xfId="75" applyFont="1" applyFill="1" applyBorder="1" applyAlignment="1">
      <alignment vertical="center"/>
    </xf>
    <xf numFmtId="1" fontId="6" fillId="0" borderId="0" xfId="75" applyNumberFormat="1" applyFont="1" applyFill="1" applyBorder="1" applyAlignment="1">
      <alignment vertical="center"/>
    </xf>
    <xf numFmtId="2" fontId="6" fillId="0" borderId="0" xfId="75" applyNumberFormat="1" applyFont="1" applyFill="1" applyBorder="1" applyAlignment="1">
      <alignment vertical="center"/>
    </xf>
    <xf numFmtId="44" fontId="6" fillId="0" borderId="0" xfId="75" applyNumberFormat="1" applyFont="1" applyFill="1" applyBorder="1" applyAlignment="1">
      <alignment vertical="center"/>
    </xf>
    <xf numFmtId="0" fontId="7" fillId="0" borderId="1" xfId="1540" applyFont="1" applyBorder="1" applyAlignment="1">
      <alignment horizontal="center" vertical="center" wrapText="1"/>
    </xf>
    <xf numFmtId="0" fontId="7" fillId="0" borderId="1" xfId="1540" applyFont="1" applyBorder="1" applyAlignment="1">
      <alignment horizontal="justify" vertical="center" wrapText="1"/>
    </xf>
    <xf numFmtId="2" fontId="7" fillId="0" borderId="7" xfId="3" applyNumberFormat="1" applyFont="1" applyBorder="1" applyAlignment="1">
      <alignment horizontal="justify" vertical="center" wrapText="1"/>
    </xf>
    <xf numFmtId="0" fontId="7" fillId="0" borderId="1" xfId="1540" applyFont="1" applyFill="1" applyBorder="1" applyAlignment="1">
      <alignment horizontal="justify" vertical="center" wrapText="1"/>
    </xf>
    <xf numFmtId="4" fontId="7" fillId="6" borderId="1" xfId="3" applyNumberFormat="1" applyFont="1" applyFill="1" applyBorder="1" applyAlignment="1">
      <alignment horizontal="justify" vertical="center" wrapText="1"/>
    </xf>
    <xf numFmtId="49" fontId="7" fillId="6" borderId="1" xfId="3" applyNumberFormat="1" applyFont="1" applyFill="1" applyBorder="1" applyAlignment="1">
      <alignment horizontal="center" vertical="center" wrapText="1"/>
    </xf>
    <xf numFmtId="49" fontId="7" fillId="6" borderId="5" xfId="3" applyNumberFormat="1" applyFont="1" applyFill="1" applyBorder="1" applyAlignment="1">
      <alignment horizontal="justify" vertical="center" wrapText="1"/>
    </xf>
    <xf numFmtId="0" fontId="6" fillId="3" borderId="7" xfId="75" applyFont="1" applyFill="1" applyBorder="1" applyAlignment="1">
      <alignment horizontal="center" vertical="center" wrapText="1"/>
    </xf>
    <xf numFmtId="3" fontId="6" fillId="3" borderId="1" xfId="75" applyNumberFormat="1" applyFont="1" applyFill="1" applyBorder="1" applyAlignment="1">
      <alignment horizontal="center" vertical="center" wrapText="1"/>
    </xf>
    <xf numFmtId="49" fontId="6" fillId="3" borderId="1" xfId="75" applyNumberFormat="1" applyFont="1" applyFill="1" applyBorder="1" applyAlignment="1">
      <alignment horizontal="justify" vertical="center" wrapText="1"/>
    </xf>
    <xf numFmtId="49" fontId="6" fillId="3" borderId="1" xfId="75" applyNumberFormat="1" applyFont="1" applyFill="1" applyBorder="1" applyAlignment="1">
      <alignment horizontal="center" vertical="center" wrapText="1"/>
    </xf>
    <xf numFmtId="2" fontId="6" fillId="3" borderId="1" xfId="75" applyNumberFormat="1" applyFont="1" applyFill="1" applyBorder="1" applyAlignment="1">
      <alignment horizontal="justify" vertical="center" wrapText="1"/>
    </xf>
    <xf numFmtId="3" fontId="6" fillId="3" borderId="7" xfId="75" applyNumberFormat="1" applyFont="1" applyFill="1" applyBorder="1" applyAlignment="1">
      <alignment horizontal="center" vertical="center" wrapText="1"/>
    </xf>
    <xf numFmtId="3" fontId="6" fillId="3" borderId="1" xfId="75" applyNumberFormat="1" applyFont="1" applyFill="1" applyBorder="1" applyAlignment="1">
      <alignment horizontal="right" vertical="center" wrapText="1"/>
    </xf>
    <xf numFmtId="4" fontId="6" fillId="3" borderId="1" xfId="75" applyNumberFormat="1" applyFont="1" applyFill="1" applyBorder="1" applyAlignment="1">
      <alignment horizontal="right" vertical="center" wrapText="1"/>
    </xf>
    <xf numFmtId="4" fontId="6" fillId="3" borderId="1" xfId="75" applyNumberFormat="1" applyFont="1" applyFill="1" applyBorder="1" applyAlignment="1">
      <alignment horizontal="justify" vertical="center" wrapText="1"/>
    </xf>
    <xf numFmtId="0" fontId="6" fillId="3" borderId="1" xfId="75" applyFont="1" applyFill="1" applyBorder="1" applyAlignment="1">
      <alignment horizontal="justify" vertical="center" wrapText="1"/>
    </xf>
    <xf numFmtId="3" fontId="43" fillId="8" borderId="1" xfId="1542" applyNumberFormat="1" applyFont="1" applyFill="1" applyBorder="1" applyAlignment="1">
      <alignment horizontal="center" vertical="center" wrapText="1"/>
    </xf>
    <xf numFmtId="9" fontId="43" fillId="8" borderId="1" xfId="1542" applyNumberFormat="1" applyFont="1" applyFill="1" applyBorder="1" applyAlignment="1">
      <alignment horizontal="justify" vertical="center" wrapText="1"/>
    </xf>
    <xf numFmtId="0" fontId="41" fillId="0" borderId="0" xfId="1542" applyFont="1" applyFill="1" applyBorder="1" applyAlignment="1">
      <alignment vertical="center"/>
    </xf>
    <xf numFmtId="0" fontId="41" fillId="0" borderId="0" xfId="1542" applyFont="1" applyFill="1" applyBorder="1" applyAlignment="1">
      <alignment horizontal="center" vertical="center"/>
    </xf>
    <xf numFmtId="3" fontId="41" fillId="0" borderId="0" xfId="1542" applyNumberFormat="1" applyFont="1" applyFill="1" applyBorder="1" applyAlignment="1">
      <alignment vertical="center"/>
    </xf>
    <xf numFmtId="0" fontId="42" fillId="0" borderId="0" xfId="1542" applyFont="1" applyAlignment="1">
      <alignment vertical="center"/>
    </xf>
    <xf numFmtId="1" fontId="43" fillId="8" borderId="1" xfId="1542" applyNumberFormat="1" applyFont="1" applyFill="1" applyBorder="1" applyAlignment="1">
      <alignment horizontal="center" vertical="center" wrapText="1"/>
    </xf>
    <xf numFmtId="9" fontId="43" fillId="8" borderId="1" xfId="1542" applyNumberFormat="1" applyFont="1" applyFill="1" applyBorder="1" applyAlignment="1">
      <alignment horizontal="center" vertical="center" wrapText="1"/>
    </xf>
    <xf numFmtId="49" fontId="42" fillId="7" borderId="1" xfId="1542" applyNumberFormat="1" applyFont="1" applyFill="1" applyBorder="1" applyAlignment="1">
      <alignment horizontal="justify" vertical="top" wrapText="1"/>
    </xf>
    <xf numFmtId="0" fontId="43" fillId="8" borderId="1" xfId="1542" applyFont="1" applyFill="1" applyBorder="1" applyAlignment="1">
      <alignment horizontal="justify" vertical="center" wrapText="1"/>
    </xf>
    <xf numFmtId="0" fontId="42" fillId="7" borderId="0" xfId="1542" applyFont="1" applyFill="1"/>
    <xf numFmtId="0" fontId="43" fillId="8" borderId="1" xfId="1542" applyFont="1" applyFill="1" applyBorder="1" applyAlignment="1">
      <alignment horizontal="center" vertical="center" wrapText="1"/>
    </xf>
    <xf numFmtId="49" fontId="42" fillId="8" borderId="1" xfId="1542" applyNumberFormat="1" applyFont="1" applyFill="1" applyBorder="1" applyAlignment="1">
      <alignment horizontal="center" vertical="center" wrapText="1"/>
    </xf>
    <xf numFmtId="0" fontId="42" fillId="0" borderId="0" xfId="1542" applyFont="1" applyAlignment="1">
      <alignment horizontal="center"/>
    </xf>
    <xf numFmtId="3" fontId="42" fillId="0" borderId="0" xfId="1542" applyNumberFormat="1" applyFont="1"/>
    <xf numFmtId="1" fontId="42" fillId="0" borderId="0" xfId="1542" applyNumberFormat="1" applyFont="1"/>
    <xf numFmtId="0" fontId="41" fillId="0" borderId="0" xfId="1542" applyFont="1"/>
    <xf numFmtId="1" fontId="42" fillId="0" borderId="0" xfId="1542" applyNumberFormat="1" applyFont="1" applyAlignment="1">
      <alignment horizontal="center"/>
    </xf>
    <xf numFmtId="3" fontId="41" fillId="0" borderId="0" xfId="1542" applyNumberFormat="1" applyFont="1" applyFill="1" applyAlignment="1">
      <alignment horizontal="right"/>
    </xf>
    <xf numFmtId="0" fontId="6" fillId="2" borderId="1" xfId="621" applyFont="1" applyFill="1" applyBorder="1" applyAlignment="1">
      <alignment horizontal="center" vertical="center" wrapText="1"/>
    </xf>
    <xf numFmtId="0" fontId="6" fillId="0" borderId="0" xfId="621" applyFont="1" applyFill="1" applyBorder="1" applyAlignment="1">
      <alignment horizontal="center"/>
    </xf>
    <xf numFmtId="49" fontId="6" fillId="3" borderId="1" xfId="621" applyNumberFormat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6" borderId="7" xfId="621" applyFont="1" applyFill="1" applyBorder="1" applyAlignment="1">
      <alignment horizontal="center" vertical="center" wrapText="1"/>
    </xf>
    <xf numFmtId="49" fontId="7" fillId="6" borderId="6" xfId="621" applyNumberFormat="1" applyFont="1" applyFill="1" applyBorder="1" applyAlignment="1">
      <alignment horizontal="justify" vertical="center" wrapText="1"/>
    </xf>
    <xf numFmtId="49" fontId="7" fillId="6" borderId="7" xfId="621" applyNumberFormat="1" applyFont="1" applyFill="1" applyBorder="1" applyAlignment="1">
      <alignment horizontal="justify" vertical="center" wrapText="1"/>
    </xf>
    <xf numFmtId="49" fontId="7" fillId="6" borderId="5" xfId="621" applyNumberFormat="1" applyFont="1" applyFill="1" applyBorder="1" applyAlignment="1">
      <alignment horizontal="left" vertical="center" wrapText="1"/>
    </xf>
    <xf numFmtId="49" fontId="7" fillId="6" borderId="7" xfId="621" applyNumberFormat="1" applyFont="1" applyFill="1" applyBorder="1" applyAlignment="1">
      <alignment horizontal="left" vertical="center" wrapText="1"/>
    </xf>
    <xf numFmtId="3" fontId="7" fillId="0" borderId="7" xfId="621" applyNumberFormat="1" applyFont="1" applyBorder="1" applyAlignment="1">
      <alignment horizontal="center" vertical="center" wrapText="1"/>
    </xf>
    <xf numFmtId="0" fontId="7" fillId="6" borderId="1" xfId="621" applyFont="1" applyFill="1" applyBorder="1" applyAlignment="1">
      <alignment horizontal="center" vertical="center" wrapText="1"/>
    </xf>
    <xf numFmtId="0" fontId="7" fillId="6" borderId="1" xfId="621" applyFont="1" applyFill="1" applyBorder="1" applyAlignment="1">
      <alignment horizontal="justify" vertical="center" wrapText="1"/>
    </xf>
    <xf numFmtId="3" fontId="7" fillId="6" borderId="7" xfId="621" applyNumberFormat="1" applyFont="1" applyFill="1" applyBorder="1" applyAlignment="1">
      <alignment horizontal="center" vertical="center" wrapText="1"/>
    </xf>
    <xf numFmtId="3" fontId="7" fillId="0" borderId="1" xfId="1546" applyNumberFormat="1" applyFont="1" applyBorder="1" applyAlignment="1">
      <alignment horizontal="center" vertical="center" wrapText="1"/>
    </xf>
    <xf numFmtId="3" fontId="8" fillId="5" borderId="1" xfId="1546" applyNumberFormat="1" applyFont="1" applyFill="1" applyBorder="1" applyAlignment="1">
      <alignment horizontal="right" vertical="center" wrapText="1"/>
    </xf>
    <xf numFmtId="4" fontId="7" fillId="0" borderId="0" xfId="1546" applyNumberFormat="1" applyFont="1" applyAlignment="1">
      <alignment horizontal="center" vertical="center" wrapText="1"/>
    </xf>
    <xf numFmtId="1" fontId="7" fillId="0" borderId="0" xfId="1546" applyNumberFormat="1" applyFont="1"/>
    <xf numFmtId="0" fontId="7" fillId="0" borderId="0" xfId="621" applyFont="1" applyAlignment="1">
      <alignment horizontal="left" indent="2"/>
    </xf>
    <xf numFmtId="179" fontId="7" fillId="0" borderId="0" xfId="1549" applyNumberFormat="1" applyFont="1"/>
    <xf numFmtId="164" fontId="7" fillId="5" borderId="1" xfId="621" applyNumberFormat="1" applyFont="1" applyFill="1" applyBorder="1" applyAlignment="1">
      <alignment horizontal="center" vertical="center" wrapText="1"/>
    </xf>
    <xf numFmtId="49" fontId="7" fillId="0" borderId="1" xfId="621" applyNumberFormat="1" applyFont="1" applyBorder="1" applyAlignment="1">
      <alignment horizontal="center" vertical="center" wrapText="1"/>
    </xf>
    <xf numFmtId="164" fontId="7" fillId="0" borderId="1" xfId="621" applyNumberFormat="1" applyFont="1" applyBorder="1" applyAlignment="1">
      <alignment horizontal="center" vertical="center"/>
    </xf>
    <xf numFmtId="49" fontId="7" fillId="0" borderId="1" xfId="621" applyNumberFormat="1" applyFont="1" applyBorder="1" applyAlignment="1">
      <alignment vertical="center" wrapText="1"/>
    </xf>
    <xf numFmtId="49" fontId="7" fillId="6" borderId="1" xfId="621" applyNumberFormat="1" applyFont="1" applyFill="1" applyBorder="1" applyAlignment="1">
      <alignment vertical="center" wrapText="1"/>
    </xf>
    <xf numFmtId="49" fontId="7" fillId="0" borderId="7" xfId="621" applyNumberFormat="1" applyFont="1" applyBorder="1" applyAlignment="1">
      <alignment horizontal="center" vertical="center" wrapText="1"/>
    </xf>
    <xf numFmtId="3" fontId="7" fillId="0" borderId="7" xfId="621" applyNumberFormat="1" applyFont="1" applyBorder="1" applyAlignment="1">
      <alignment horizontal="right" vertical="center" wrapText="1"/>
    </xf>
    <xf numFmtId="4" fontId="7" fillId="5" borderId="7" xfId="621" applyNumberFormat="1" applyFont="1" applyFill="1" applyBorder="1" applyAlignment="1">
      <alignment horizontal="right" vertical="center" wrapText="1"/>
    </xf>
    <xf numFmtId="164" fontId="7" fillId="0" borderId="1" xfId="621" applyNumberFormat="1" applyFont="1" applyBorder="1" applyAlignment="1">
      <alignment horizontal="center" vertical="center" wrapText="1"/>
    </xf>
    <xf numFmtId="182" fontId="7" fillId="6" borderId="1" xfId="621" applyNumberFormat="1" applyFont="1" applyFill="1" applyBorder="1" applyAlignment="1">
      <alignment horizontal="right" vertical="center" wrapText="1"/>
    </xf>
    <xf numFmtId="164" fontId="7" fillId="6" borderId="1" xfId="621" applyNumberFormat="1" applyFont="1" applyFill="1" applyBorder="1" applyAlignment="1">
      <alignment horizontal="right" vertical="center" wrapText="1"/>
    </xf>
    <xf numFmtId="4" fontId="7" fillId="6" borderId="1" xfId="621" applyNumberFormat="1" applyFont="1" applyFill="1" applyBorder="1" applyAlignment="1">
      <alignment horizontal="right" vertical="center" wrapText="1"/>
    </xf>
    <xf numFmtId="164" fontId="7" fillId="6" borderId="1" xfId="621" applyNumberFormat="1" applyFont="1" applyFill="1" applyBorder="1" applyAlignment="1">
      <alignment horizontal="center" vertical="center" wrapText="1"/>
    </xf>
    <xf numFmtId="3" fontId="7" fillId="6" borderId="1" xfId="621" applyNumberFormat="1" applyFont="1" applyFill="1" applyBorder="1" applyAlignment="1">
      <alignment vertical="center" wrapText="1"/>
    </xf>
    <xf numFmtId="3" fontId="7" fillId="6" borderId="7" xfId="621" applyNumberFormat="1" applyFont="1" applyFill="1" applyBorder="1" applyAlignment="1">
      <alignment vertical="center" wrapText="1"/>
    </xf>
    <xf numFmtId="181" fontId="7" fillId="5" borderId="1" xfId="621" applyNumberFormat="1" applyFont="1" applyFill="1" applyBorder="1" applyAlignment="1">
      <alignment horizontal="center" vertical="center" wrapText="1"/>
    </xf>
    <xf numFmtId="49" fontId="7" fillId="6" borderId="1" xfId="621" applyNumberFormat="1" applyFont="1" applyFill="1" applyBorder="1" applyAlignment="1">
      <alignment horizontal="left" vertical="center" wrapText="1"/>
    </xf>
    <xf numFmtId="49" fontId="7" fillId="6" borderId="5" xfId="621" applyNumberFormat="1" applyFont="1" applyFill="1" applyBorder="1" applyAlignment="1">
      <alignment vertical="center" wrapText="1"/>
    </xf>
    <xf numFmtId="49" fontId="7" fillId="6" borderId="6" xfId="621" applyNumberFormat="1" applyFont="1" applyFill="1" applyBorder="1" applyAlignment="1">
      <alignment vertical="center" wrapText="1"/>
    </xf>
    <xf numFmtId="49" fontId="7" fillId="6" borderId="7" xfId="621" applyNumberFormat="1" applyFont="1" applyFill="1" applyBorder="1" applyAlignment="1">
      <alignment vertical="center" wrapText="1"/>
    </xf>
    <xf numFmtId="181" fontId="7" fillId="6" borderId="7" xfId="621" applyNumberFormat="1" applyFont="1" applyFill="1" applyBorder="1" applyAlignment="1">
      <alignment horizontal="center" vertical="center" wrapText="1"/>
    </xf>
    <xf numFmtId="49" fontId="7" fillId="5" borderId="1" xfId="621" applyNumberFormat="1" applyFont="1" applyFill="1" applyBorder="1" applyAlignment="1">
      <alignment horizontal="right" vertical="center" wrapText="1"/>
    </xf>
    <xf numFmtId="4" fontId="7" fillId="5" borderId="1" xfId="621" applyNumberFormat="1" applyFont="1" applyFill="1" applyBorder="1" applyAlignment="1">
      <alignment horizontal="right" vertical="center" wrapText="1"/>
    </xf>
    <xf numFmtId="164" fontId="7" fillId="6" borderId="7" xfId="621" applyNumberFormat="1" applyFont="1" applyFill="1" applyBorder="1" applyAlignment="1">
      <alignment horizontal="center" vertical="center" wrapText="1"/>
    </xf>
    <xf numFmtId="181" fontId="7" fillId="5" borderId="7" xfId="621" applyNumberFormat="1" applyFont="1" applyFill="1" applyBorder="1" applyAlignment="1">
      <alignment horizontal="center" vertical="center" wrapText="1"/>
    </xf>
    <xf numFmtId="0" fontId="7" fillId="6" borderId="7" xfId="621" applyNumberFormat="1" applyFont="1" applyFill="1" applyBorder="1" applyAlignment="1">
      <alignment horizontal="justify" vertical="center" wrapText="1"/>
    </xf>
    <xf numFmtId="49" fontId="6" fillId="3" borderId="1" xfId="621" applyNumberFormat="1" applyFont="1" applyFill="1" applyBorder="1" applyAlignment="1">
      <alignment horizontal="left" vertical="center" wrapText="1"/>
    </xf>
    <xf numFmtId="4" fontId="6" fillId="3" borderId="1" xfId="621" applyNumberFormat="1" applyFont="1" applyFill="1" applyBorder="1" applyAlignment="1">
      <alignment horizontal="center" vertical="center" wrapText="1"/>
    </xf>
    <xf numFmtId="4" fontId="6" fillId="3" borderId="1" xfId="621" applyNumberFormat="1" applyFont="1" applyFill="1" applyBorder="1" applyAlignment="1">
      <alignment horizontal="right" vertical="center" wrapText="1"/>
    </xf>
    <xf numFmtId="4" fontId="7" fillId="5" borderId="1" xfId="1550" applyNumberFormat="1" applyFont="1" applyFill="1" applyBorder="1" applyAlignment="1">
      <alignment horizontal="center" vertical="center" wrapText="1"/>
    </xf>
    <xf numFmtId="164" fontId="6" fillId="3" borderId="1" xfId="621" applyNumberFormat="1" applyFont="1" applyFill="1" applyBorder="1" applyAlignment="1">
      <alignment horizontal="center" vertical="center" wrapText="1"/>
    </xf>
    <xf numFmtId="0" fontId="7" fillId="0" borderId="0" xfId="1551" applyFont="1" applyAlignment="1">
      <alignment horizontal="center" vertical="center" wrapText="1"/>
    </xf>
    <xf numFmtId="0" fontId="7" fillId="6" borderId="0" xfId="1551" applyFont="1" applyFill="1" applyAlignment="1">
      <alignment horizontal="center" vertical="center" wrapText="1"/>
    </xf>
    <xf numFmtId="0" fontId="5" fillId="0" borderId="0" xfId="621" applyFont="1" applyAlignment="1">
      <alignment horizontal="center"/>
    </xf>
    <xf numFmtId="0" fontId="5" fillId="0" borderId="0" xfId="621" applyFont="1"/>
    <xf numFmtId="1" fontId="5" fillId="0" borderId="0" xfId="621" applyNumberFormat="1" applyFont="1"/>
    <xf numFmtId="3" fontId="7" fillId="0" borderId="5" xfId="4" applyNumberFormat="1" applyFont="1" applyBorder="1" applyAlignment="1">
      <alignment horizontal="center" vertical="center" wrapText="1"/>
    </xf>
    <xf numFmtId="3" fontId="7" fillId="0" borderId="6" xfId="4" applyNumberFormat="1" applyFont="1" applyBorder="1" applyAlignment="1">
      <alignment horizontal="center" vertical="center" wrapText="1"/>
    </xf>
    <xf numFmtId="3" fontId="7" fillId="0" borderId="7" xfId="4" applyNumberFormat="1" applyFont="1" applyBorder="1" applyAlignment="1">
      <alignment horizontal="center" vertical="center" wrapText="1"/>
    </xf>
    <xf numFmtId="3" fontId="12" fillId="0" borderId="7" xfId="4" applyNumberFormat="1" applyFont="1" applyBorder="1" applyAlignment="1">
      <alignment horizontal="center" vertical="center" wrapText="1"/>
    </xf>
    <xf numFmtId="49" fontId="7" fillId="6" borderId="5" xfId="4" applyNumberFormat="1" applyFont="1" applyFill="1" applyBorder="1" applyAlignment="1">
      <alignment horizontal="center" vertical="center" wrapText="1"/>
    </xf>
    <xf numFmtId="49" fontId="7" fillId="6" borderId="6" xfId="4" applyNumberFormat="1" applyFont="1" applyFill="1" applyBorder="1" applyAlignment="1">
      <alignment horizontal="center" vertical="center" wrapText="1"/>
    </xf>
    <xf numFmtId="49" fontId="7" fillId="6" borderId="7" xfId="4" applyNumberFormat="1" applyFont="1" applyFill="1" applyBorder="1" applyAlignment="1">
      <alignment horizontal="center" vertical="center" wrapText="1"/>
    </xf>
    <xf numFmtId="49" fontId="7" fillId="0" borderId="5" xfId="4" applyNumberFormat="1" applyFont="1" applyBorder="1" applyAlignment="1">
      <alignment horizontal="justify" vertical="center" wrapText="1"/>
    </xf>
    <xf numFmtId="49" fontId="7" fillId="0" borderId="6" xfId="4" applyNumberFormat="1" applyFont="1" applyBorder="1" applyAlignment="1">
      <alignment horizontal="justify" vertical="center" wrapText="1"/>
    </xf>
    <xf numFmtId="49" fontId="7" fillId="0" borderId="7" xfId="4" applyNumberFormat="1" applyFont="1" applyBorder="1" applyAlignment="1">
      <alignment horizontal="justify" vertical="center" wrapText="1"/>
    </xf>
    <xf numFmtId="0" fontId="12" fillId="0" borderId="7" xfId="4" applyFont="1" applyBorder="1" applyAlignment="1">
      <alignment horizontal="justify" vertical="center" wrapText="1"/>
    </xf>
    <xf numFmtId="3" fontId="7" fillId="0" borderId="5" xfId="4" applyNumberFormat="1" applyFont="1" applyFill="1" applyBorder="1" applyAlignment="1">
      <alignment horizontal="center" vertical="center" wrapText="1"/>
    </xf>
    <xf numFmtId="3" fontId="7" fillId="0" borderId="6" xfId="4" applyNumberFormat="1" applyFont="1" applyFill="1" applyBorder="1" applyAlignment="1">
      <alignment horizontal="center" vertical="center" wrapText="1"/>
    </xf>
    <xf numFmtId="0" fontId="7" fillId="0" borderId="5" xfId="4" applyFont="1" applyFill="1" applyBorder="1" applyAlignment="1">
      <alignment horizontal="center" vertical="center" wrapText="1"/>
    </xf>
    <xf numFmtId="0" fontId="7" fillId="0" borderId="7" xfId="4" applyFont="1" applyFill="1" applyBorder="1" applyAlignment="1">
      <alignment horizontal="center" vertical="center" wrapText="1"/>
    </xf>
    <xf numFmtId="0" fontId="7" fillId="0" borderId="5" xfId="4" applyFont="1" applyFill="1" applyBorder="1" applyAlignment="1">
      <alignment horizontal="justify" vertical="center" wrapText="1"/>
    </xf>
    <xf numFmtId="0" fontId="7" fillId="0" borderId="7" xfId="4" applyFont="1" applyFill="1" applyBorder="1" applyAlignment="1">
      <alignment horizontal="justify" vertical="center" wrapText="1"/>
    </xf>
    <xf numFmtId="3" fontId="7" fillId="6" borderId="5" xfId="4" applyNumberFormat="1" applyFont="1" applyFill="1" applyBorder="1" applyAlignment="1">
      <alignment horizontal="center" vertical="center" wrapText="1"/>
    </xf>
    <xf numFmtId="3" fontId="7" fillId="6" borderId="7" xfId="4" applyNumberFormat="1" applyFont="1" applyFill="1" applyBorder="1" applyAlignment="1">
      <alignment horizontal="center" vertical="center" wrapText="1"/>
    </xf>
    <xf numFmtId="3" fontId="7" fillId="6" borderId="6" xfId="4" applyNumberFormat="1" applyFont="1" applyFill="1" applyBorder="1" applyAlignment="1">
      <alignment horizontal="center" vertical="center" wrapText="1"/>
    </xf>
    <xf numFmtId="0" fontId="12" fillId="0" borderId="7" xfId="4" applyFont="1" applyBorder="1" applyAlignment="1">
      <alignment horizontal="center" vertical="center" wrapText="1"/>
    </xf>
    <xf numFmtId="0" fontId="7" fillId="6" borderId="5" xfId="4" applyFont="1" applyFill="1" applyBorder="1" applyAlignment="1">
      <alignment horizontal="center" vertical="center" wrapText="1"/>
    </xf>
    <xf numFmtId="0" fontId="7" fillId="6" borderId="7" xfId="4" applyFont="1" applyFill="1" applyBorder="1" applyAlignment="1">
      <alignment horizontal="center" vertical="center" wrapText="1"/>
    </xf>
    <xf numFmtId="0" fontId="7" fillId="6" borderId="6" xfId="4" applyFont="1" applyFill="1" applyBorder="1" applyAlignment="1">
      <alignment horizontal="center" vertical="center" wrapText="1"/>
    </xf>
    <xf numFmtId="0" fontId="7" fillId="6" borderId="5" xfId="4" applyFont="1" applyFill="1" applyBorder="1" applyAlignment="1">
      <alignment horizontal="justify" vertical="center" wrapText="1"/>
    </xf>
    <xf numFmtId="0" fontId="7" fillId="6" borderId="6" xfId="4" applyFont="1" applyFill="1" applyBorder="1" applyAlignment="1">
      <alignment horizontal="justify" vertical="center" wrapText="1"/>
    </xf>
    <xf numFmtId="3" fontId="16" fillId="0" borderId="5" xfId="4" applyNumberFormat="1" applyFont="1" applyBorder="1" applyAlignment="1">
      <alignment horizontal="center" vertical="center" wrapText="1"/>
    </xf>
    <xf numFmtId="3" fontId="16" fillId="0" borderId="6" xfId="4" applyNumberFormat="1" applyFont="1" applyBorder="1" applyAlignment="1">
      <alignment horizontal="center" vertical="center" wrapText="1"/>
    </xf>
    <xf numFmtId="3" fontId="16" fillId="0" borderId="7" xfId="4" applyNumberFormat="1" applyFont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justify" vertical="center" wrapText="1"/>
    </xf>
    <xf numFmtId="3" fontId="12" fillId="0" borderId="6" xfId="4" applyNumberFormat="1" applyFont="1" applyBorder="1" applyAlignment="1">
      <alignment horizontal="center" vertical="center" wrapText="1"/>
    </xf>
    <xf numFmtId="9" fontId="7" fillId="0" borderId="5" xfId="2" applyNumberFormat="1" applyFont="1" applyFill="1" applyBorder="1" applyAlignment="1">
      <alignment horizontal="justify" vertical="center" wrapText="1"/>
    </xf>
    <xf numFmtId="0" fontId="12" fillId="0" borderId="6" xfId="4" applyFont="1" applyBorder="1" applyAlignment="1">
      <alignment horizontal="justify" vertical="center" wrapText="1"/>
    </xf>
    <xf numFmtId="0" fontId="7" fillId="6" borderId="7" xfId="4" applyFont="1" applyFill="1" applyBorder="1" applyAlignment="1">
      <alignment horizontal="justify" vertical="center" wrapText="1"/>
    </xf>
    <xf numFmtId="0" fontId="12" fillId="0" borderId="6" xfId="4" applyFont="1" applyBorder="1" applyAlignment="1">
      <alignment horizontal="center" vertical="center" wrapText="1"/>
    </xf>
    <xf numFmtId="3" fontId="7" fillId="0" borderId="7" xfId="4" applyNumberFormat="1" applyFont="1" applyFill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49" fontId="6" fillId="2" borderId="2" xfId="4" applyNumberFormat="1" applyFont="1" applyFill="1" applyBorder="1" applyAlignment="1">
      <alignment horizontal="center" vertical="center" wrapText="1"/>
    </xf>
    <xf numFmtId="49" fontId="6" fillId="2" borderId="3" xfId="4" applyNumberFormat="1" applyFont="1" applyFill="1" applyBorder="1" applyAlignment="1">
      <alignment horizontal="center" vertical="center" wrapText="1"/>
    </xf>
    <xf numFmtId="49" fontId="6" fillId="2" borderId="4" xfId="4" applyNumberFormat="1" applyFont="1" applyFill="1" applyBorder="1" applyAlignment="1">
      <alignment horizontal="center" vertical="center" wrapText="1"/>
    </xf>
    <xf numFmtId="49" fontId="6" fillId="2" borderId="1" xfId="4" applyNumberFormat="1" applyFont="1" applyFill="1" applyBorder="1" applyAlignment="1">
      <alignment horizontal="center" vertical="center"/>
    </xf>
    <xf numFmtId="49" fontId="6" fillId="2" borderId="1" xfId="4" applyNumberFormat="1" applyFont="1" applyFill="1" applyBorder="1" applyAlignment="1">
      <alignment horizontal="center" vertical="center" wrapText="1"/>
    </xf>
    <xf numFmtId="0" fontId="6" fillId="0" borderId="0" xfId="4" applyFont="1" applyFill="1" applyBorder="1" applyAlignment="1">
      <alignment horizontal="center"/>
    </xf>
    <xf numFmtId="49" fontId="6" fillId="3" borderId="1" xfId="4" applyNumberFormat="1" applyFont="1" applyFill="1" applyBorder="1" applyAlignment="1">
      <alignment horizontal="center" vertical="center" wrapText="1"/>
    </xf>
    <xf numFmtId="0" fontId="6" fillId="0" borderId="0" xfId="621" applyFont="1" applyFill="1" applyBorder="1" applyAlignment="1">
      <alignment horizontal="center"/>
    </xf>
    <xf numFmtId="0" fontId="6" fillId="2" borderId="1" xfId="13" applyFont="1" applyFill="1" applyBorder="1" applyAlignment="1">
      <alignment horizontal="center" vertical="center" wrapText="1"/>
    </xf>
    <xf numFmtId="49" fontId="6" fillId="3" borderId="1" xfId="13" applyNumberFormat="1" applyFont="1" applyFill="1" applyBorder="1" applyAlignment="1">
      <alignment horizontal="center" vertical="center" wrapText="1"/>
    </xf>
    <xf numFmtId="49" fontId="6" fillId="2" borderId="1" xfId="13" applyNumberFormat="1" applyFont="1" applyFill="1" applyBorder="1" applyAlignment="1">
      <alignment horizontal="center" vertical="center" wrapText="1"/>
    </xf>
    <xf numFmtId="49" fontId="6" fillId="2" borderId="1" xfId="13" applyNumberFormat="1" applyFont="1" applyFill="1" applyBorder="1" applyAlignment="1">
      <alignment horizontal="center" vertical="center"/>
    </xf>
    <xf numFmtId="49" fontId="6" fillId="2" borderId="2" xfId="13" applyNumberFormat="1" applyFont="1" applyFill="1" applyBorder="1" applyAlignment="1">
      <alignment horizontal="center" vertical="center" wrapText="1"/>
    </xf>
    <xf numFmtId="49" fontId="6" fillId="2" borderId="3" xfId="13" applyNumberFormat="1" applyFont="1" applyFill="1" applyBorder="1" applyAlignment="1">
      <alignment horizontal="center" vertical="center" wrapText="1"/>
    </xf>
    <xf numFmtId="49" fontId="6" fillId="2" borderId="4" xfId="13" applyNumberFormat="1" applyFont="1" applyFill="1" applyBorder="1" applyAlignment="1">
      <alignment horizontal="center" vertical="center" wrapText="1"/>
    </xf>
    <xf numFmtId="0" fontId="6" fillId="2" borderId="1" xfId="621" applyFont="1" applyFill="1" applyBorder="1" applyAlignment="1">
      <alignment horizontal="center" vertical="center" wrapText="1"/>
    </xf>
    <xf numFmtId="49" fontId="6" fillId="3" borderId="1" xfId="621" applyNumberFormat="1" applyFont="1" applyFill="1" applyBorder="1" applyAlignment="1">
      <alignment horizontal="center" vertical="center" wrapText="1"/>
    </xf>
    <xf numFmtId="49" fontId="6" fillId="2" borderId="1" xfId="621" applyNumberFormat="1" applyFont="1" applyFill="1" applyBorder="1" applyAlignment="1">
      <alignment horizontal="center" vertical="center"/>
    </xf>
    <xf numFmtId="4" fontId="7" fillId="0" borderId="5" xfId="621" applyNumberFormat="1" applyFont="1" applyFill="1" applyBorder="1" applyAlignment="1">
      <alignment horizontal="center" vertical="center" wrapText="1"/>
    </xf>
    <xf numFmtId="4" fontId="7" fillId="0" borderId="6" xfId="621" applyNumberFormat="1" applyFont="1" applyFill="1" applyBorder="1" applyAlignment="1">
      <alignment horizontal="center" vertical="center" wrapText="1"/>
    </xf>
    <xf numFmtId="4" fontId="7" fillId="0" borderId="7" xfId="621" applyNumberFormat="1" applyFont="1" applyFill="1" applyBorder="1" applyAlignment="1">
      <alignment horizontal="center" vertical="center" wrapText="1"/>
    </xf>
    <xf numFmtId="0" fontId="7" fillId="6" borderId="5" xfId="621" applyFont="1" applyFill="1" applyBorder="1" applyAlignment="1">
      <alignment horizontal="center" vertical="center" wrapText="1"/>
    </xf>
    <xf numFmtId="0" fontId="7" fillId="6" borderId="6" xfId="621" applyFont="1" applyFill="1" applyBorder="1" applyAlignment="1">
      <alignment horizontal="center" vertical="center" wrapText="1"/>
    </xf>
    <xf numFmtId="0" fontId="11" fillId="0" borderId="7" xfId="621" applyBorder="1" applyAlignment="1">
      <alignment horizontal="center" vertical="center" wrapText="1"/>
    </xf>
    <xf numFmtId="9" fontId="7" fillId="0" borderId="5" xfId="621" applyNumberFormat="1" applyFont="1" applyFill="1" applyBorder="1" applyAlignment="1">
      <alignment horizontal="justify" vertical="center" wrapText="1"/>
    </xf>
    <xf numFmtId="9" fontId="7" fillId="0" borderId="6" xfId="621" applyNumberFormat="1" applyFont="1" applyFill="1" applyBorder="1" applyAlignment="1">
      <alignment horizontal="justify" vertical="center" wrapText="1"/>
    </xf>
    <xf numFmtId="0" fontId="11" fillId="0" borderId="7" xfId="621" applyBorder="1" applyAlignment="1">
      <alignment horizontal="justify" vertical="center" wrapText="1"/>
    </xf>
    <xf numFmtId="2" fontId="7" fillId="0" borderId="5" xfId="621" applyNumberFormat="1" applyFont="1" applyFill="1" applyBorder="1" applyAlignment="1">
      <alignment horizontal="center" vertical="center" wrapText="1"/>
    </xf>
    <xf numFmtId="2" fontId="7" fillId="0" borderId="6" xfId="621" applyNumberFormat="1" applyFont="1" applyFill="1" applyBorder="1" applyAlignment="1">
      <alignment horizontal="center" vertical="center" wrapText="1"/>
    </xf>
    <xf numFmtId="2" fontId="7" fillId="0" borderId="7" xfId="621" applyNumberFormat="1" applyFont="1" applyFill="1" applyBorder="1" applyAlignment="1">
      <alignment horizontal="center" vertical="center" wrapText="1"/>
    </xf>
    <xf numFmtId="49" fontId="6" fillId="2" borderId="2" xfId="621" applyNumberFormat="1" applyFont="1" applyFill="1" applyBorder="1" applyAlignment="1">
      <alignment horizontal="center" vertical="center" wrapText="1"/>
    </xf>
    <xf numFmtId="49" fontId="6" fillId="2" borderId="3" xfId="621" applyNumberFormat="1" applyFont="1" applyFill="1" applyBorder="1" applyAlignment="1">
      <alignment horizontal="center" vertical="center" wrapText="1"/>
    </xf>
    <xf numFmtId="49" fontId="6" fillId="2" borderId="4" xfId="621" applyNumberFormat="1" applyFont="1" applyFill="1" applyBorder="1" applyAlignment="1">
      <alignment horizontal="center" vertical="center" wrapText="1"/>
    </xf>
    <xf numFmtId="0" fontId="7" fillId="6" borderId="1" xfId="621" applyFont="1" applyFill="1" applyBorder="1" applyAlignment="1">
      <alignment horizontal="center" vertical="center" wrapText="1"/>
    </xf>
    <xf numFmtId="0" fontId="7" fillId="6" borderId="1" xfId="621" applyFont="1" applyFill="1" applyBorder="1" applyAlignment="1">
      <alignment horizontal="justify" vertical="center" wrapText="1"/>
    </xf>
    <xf numFmtId="3" fontId="7" fillId="6" borderId="5" xfId="621" applyNumberFormat="1" applyFont="1" applyFill="1" applyBorder="1" applyAlignment="1">
      <alignment horizontal="center" vertical="center" wrapText="1"/>
    </xf>
    <xf numFmtId="3" fontId="7" fillId="6" borderId="7" xfId="621" applyNumberFormat="1" applyFont="1" applyFill="1" applyBorder="1" applyAlignment="1">
      <alignment horizontal="center" vertical="center" wrapText="1"/>
    </xf>
    <xf numFmtId="0" fontId="6" fillId="3" borderId="1" xfId="13" applyFont="1" applyFill="1" applyBorder="1" applyAlignment="1">
      <alignment horizontal="center" vertical="center" wrapText="1"/>
    </xf>
    <xf numFmtId="0" fontId="7" fillId="7" borderId="0" xfId="621" applyFont="1" applyFill="1" applyBorder="1" applyAlignment="1">
      <alignment horizontal="center"/>
    </xf>
    <xf numFmtId="3" fontId="7" fillId="0" borderId="5" xfId="1546" applyNumberFormat="1" applyFont="1" applyFill="1" applyBorder="1" applyAlignment="1">
      <alignment horizontal="center" vertical="center" wrapText="1"/>
    </xf>
    <xf numFmtId="3" fontId="7" fillId="0" borderId="7" xfId="1546" applyNumberFormat="1" applyFont="1" applyFill="1" applyBorder="1" applyAlignment="1">
      <alignment horizontal="center" vertical="center" wrapText="1"/>
    </xf>
    <xf numFmtId="49" fontId="7" fillId="6" borderId="5" xfId="1546" applyNumberFormat="1" applyFont="1" applyFill="1" applyBorder="1" applyAlignment="1">
      <alignment horizontal="center" vertical="center" wrapText="1"/>
    </xf>
    <xf numFmtId="49" fontId="7" fillId="6" borderId="7" xfId="1546" applyNumberFormat="1" applyFont="1" applyFill="1" applyBorder="1" applyAlignment="1">
      <alignment horizontal="center" vertical="center" wrapText="1"/>
    </xf>
    <xf numFmtId="49" fontId="7" fillId="6" borderId="5" xfId="1546" applyNumberFormat="1" applyFont="1" applyFill="1" applyBorder="1" applyAlignment="1">
      <alignment horizontal="justify" vertical="center" wrapText="1"/>
    </xf>
    <xf numFmtId="49" fontId="7" fillId="6" borderId="7" xfId="1546" applyNumberFormat="1" applyFont="1" applyFill="1" applyBorder="1" applyAlignment="1">
      <alignment horizontal="justify" vertical="center" wrapText="1"/>
    </xf>
    <xf numFmtId="49" fontId="7" fillId="0" borderId="5" xfId="1546" applyNumberFormat="1" applyFont="1" applyFill="1" applyBorder="1" applyAlignment="1">
      <alignment horizontal="justify" vertical="center" wrapText="1"/>
    </xf>
    <xf numFmtId="49" fontId="7" fillId="0" borderId="7" xfId="1546" applyNumberFormat="1" applyFont="1" applyFill="1" applyBorder="1" applyAlignment="1">
      <alignment horizontal="justify" vertical="center" wrapText="1"/>
    </xf>
    <xf numFmtId="0" fontId="7" fillId="6" borderId="5" xfId="1546" applyFont="1" applyFill="1" applyBorder="1" applyAlignment="1">
      <alignment horizontal="center" vertical="center" wrapText="1"/>
    </xf>
    <xf numFmtId="0" fontId="7" fillId="6" borderId="6" xfId="1546" applyFont="1" applyFill="1" applyBorder="1" applyAlignment="1">
      <alignment horizontal="center" vertical="center" wrapText="1"/>
    </xf>
    <xf numFmtId="0" fontId="7" fillId="6" borderId="7" xfId="1546" applyFont="1" applyFill="1" applyBorder="1" applyAlignment="1">
      <alignment horizontal="center" vertical="center" wrapText="1"/>
    </xf>
    <xf numFmtId="49" fontId="7" fillId="6" borderId="6" xfId="1546" applyNumberFormat="1" applyFont="1" applyFill="1" applyBorder="1" applyAlignment="1">
      <alignment horizontal="justify" vertical="center" wrapText="1"/>
    </xf>
    <xf numFmtId="0" fontId="7" fillId="0" borderId="5" xfId="1546" applyFont="1" applyFill="1" applyBorder="1" applyAlignment="1">
      <alignment horizontal="center" vertical="center" wrapText="1"/>
    </xf>
    <xf numFmtId="0" fontId="7" fillId="0" borderId="6" xfId="1546" applyFont="1" applyFill="1" applyBorder="1" applyAlignment="1">
      <alignment horizontal="center" vertical="center" wrapText="1"/>
    </xf>
    <xf numFmtId="0" fontId="7" fillId="0" borderId="7" xfId="1546" applyFont="1" applyFill="1" applyBorder="1" applyAlignment="1">
      <alignment horizontal="center" vertical="center" wrapText="1"/>
    </xf>
    <xf numFmtId="49" fontId="7" fillId="0" borderId="6" xfId="1546" applyNumberFormat="1" applyFont="1" applyFill="1" applyBorder="1" applyAlignment="1">
      <alignment horizontal="justify" vertical="center" wrapText="1"/>
    </xf>
    <xf numFmtId="0" fontId="7" fillId="0" borderId="5" xfId="1546" applyFont="1" applyBorder="1" applyAlignment="1">
      <alignment horizontal="center" vertical="center" wrapText="1"/>
    </xf>
    <xf numFmtId="0" fontId="7" fillId="0" borderId="7" xfId="1546" applyFont="1" applyBorder="1" applyAlignment="1">
      <alignment horizontal="center" vertical="center" wrapText="1"/>
    </xf>
    <xf numFmtId="0" fontId="6" fillId="0" borderId="0" xfId="1546" applyFont="1" applyFill="1" applyBorder="1" applyAlignment="1">
      <alignment horizontal="center"/>
    </xf>
    <xf numFmtId="0" fontId="7" fillId="0" borderId="5" xfId="621" applyFont="1" applyFill="1" applyBorder="1" applyAlignment="1">
      <alignment horizontal="center" vertical="center" wrapText="1"/>
    </xf>
    <xf numFmtId="0" fontId="7" fillId="0" borderId="6" xfId="621" applyFont="1" applyFill="1" applyBorder="1" applyAlignment="1">
      <alignment horizontal="center" vertical="center" wrapText="1"/>
    </xf>
    <xf numFmtId="0" fontId="7" fillId="0" borderId="7" xfId="621" applyFont="1" applyFill="1" applyBorder="1" applyAlignment="1">
      <alignment horizontal="center" vertical="center" wrapText="1"/>
    </xf>
    <xf numFmtId="49" fontId="7" fillId="0" borderId="5" xfId="621" applyNumberFormat="1" applyFont="1" applyFill="1" applyBorder="1" applyAlignment="1">
      <alignment horizontal="center" vertical="center" wrapText="1"/>
    </xf>
    <xf numFmtId="49" fontId="7" fillId="0" borderId="6" xfId="621" applyNumberFormat="1" applyFont="1" applyFill="1" applyBorder="1" applyAlignment="1">
      <alignment horizontal="center" vertical="center" wrapText="1"/>
    </xf>
    <xf numFmtId="49" fontId="7" fillId="0" borderId="7" xfId="621" applyNumberFormat="1" applyFont="1" applyFill="1" applyBorder="1" applyAlignment="1">
      <alignment horizontal="center" vertical="center" wrapText="1"/>
    </xf>
    <xf numFmtId="0" fontId="7" fillId="0" borderId="5" xfId="621" applyFont="1" applyFill="1" applyBorder="1" applyAlignment="1">
      <alignment horizontal="justify" vertical="center" wrapText="1"/>
    </xf>
    <xf numFmtId="0" fontId="7" fillId="0" borderId="6" xfId="621" applyFont="1" applyFill="1" applyBorder="1" applyAlignment="1">
      <alignment horizontal="justify" vertical="center" wrapText="1"/>
    </xf>
    <xf numFmtId="0" fontId="7" fillId="0" borderId="7" xfId="621" applyFont="1" applyFill="1" applyBorder="1" applyAlignment="1">
      <alignment horizontal="justify" vertical="center" wrapText="1"/>
    </xf>
    <xf numFmtId="49" fontId="7" fillId="6" borderId="5" xfId="2" applyNumberFormat="1" applyFont="1" applyFill="1" applyBorder="1" applyAlignment="1">
      <alignment horizontal="justify" vertical="center" wrapText="1"/>
    </xf>
    <xf numFmtId="49" fontId="7" fillId="6" borderId="6" xfId="2" applyNumberFormat="1" applyFont="1" applyFill="1" applyBorder="1" applyAlignment="1">
      <alignment horizontal="justify" vertical="center" wrapText="1"/>
    </xf>
    <xf numFmtId="49" fontId="7" fillId="6" borderId="7" xfId="2" applyNumberFormat="1" applyFont="1" applyFill="1" applyBorder="1" applyAlignment="1">
      <alignment horizontal="justify" vertical="center" wrapText="1"/>
    </xf>
    <xf numFmtId="49" fontId="6" fillId="2" borderId="1" xfId="621" applyNumberFormat="1" applyFont="1" applyFill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49" fontId="7" fillId="0" borderId="5" xfId="2" applyNumberFormat="1" applyFont="1" applyBorder="1" applyAlignment="1">
      <alignment horizontal="justify" vertical="center" wrapText="1"/>
    </xf>
    <xf numFmtId="49" fontId="7" fillId="0" borderId="7" xfId="2" applyNumberFormat="1" applyFont="1" applyBorder="1" applyAlignment="1">
      <alignment horizontal="justify" vertical="center" wrapText="1"/>
    </xf>
    <xf numFmtId="0" fontId="7" fillId="0" borderId="5" xfId="2" applyFont="1" applyBorder="1" applyAlignment="1">
      <alignment horizontal="justify" vertical="center" wrapText="1"/>
    </xf>
    <xf numFmtId="0" fontId="7" fillId="0" borderId="7" xfId="2" applyFont="1" applyBorder="1" applyAlignment="1">
      <alignment horizontal="justify" vertical="center" wrapText="1"/>
    </xf>
    <xf numFmtId="1" fontId="7" fillId="0" borderId="5" xfId="2" applyNumberFormat="1" applyFont="1" applyBorder="1" applyAlignment="1">
      <alignment horizontal="center" vertical="center" wrapText="1"/>
    </xf>
    <xf numFmtId="1" fontId="7" fillId="0" borderId="6" xfId="2" applyNumberFormat="1" applyFont="1" applyBorder="1" applyAlignment="1">
      <alignment horizontal="center" vertical="center" wrapText="1"/>
    </xf>
    <xf numFmtId="1" fontId="7" fillId="0" borderId="7" xfId="2" applyNumberFormat="1" applyFont="1" applyBorder="1" applyAlignment="1">
      <alignment horizontal="center" vertical="center" wrapText="1"/>
    </xf>
    <xf numFmtId="0" fontId="7" fillId="6" borderId="5" xfId="2" applyFont="1" applyFill="1" applyBorder="1" applyAlignment="1">
      <alignment horizontal="justify" vertical="center" wrapText="1"/>
    </xf>
    <xf numFmtId="0" fontId="7" fillId="6" borderId="6" xfId="2" applyFont="1" applyFill="1" applyBorder="1" applyAlignment="1">
      <alignment horizontal="justify" vertical="center" wrapText="1"/>
    </xf>
    <xf numFmtId="0" fontId="7" fillId="6" borderId="7" xfId="2" applyFont="1" applyFill="1" applyBorder="1" applyAlignment="1">
      <alignment horizontal="justify" vertical="center" wrapText="1"/>
    </xf>
    <xf numFmtId="49" fontId="7" fillId="0" borderId="6" xfId="2" applyNumberFormat="1" applyFont="1" applyBorder="1" applyAlignment="1">
      <alignment horizontal="justify" vertical="center" wrapText="1"/>
    </xf>
    <xf numFmtId="49" fontId="7" fillId="0" borderId="1" xfId="2" applyNumberFormat="1" applyFont="1" applyBorder="1" applyAlignment="1">
      <alignment horizontal="justify" vertical="center" wrapText="1"/>
    </xf>
    <xf numFmtId="3" fontId="7" fillId="0" borderId="5" xfId="2" applyNumberFormat="1" applyFont="1" applyBorder="1" applyAlignment="1">
      <alignment horizontal="center" vertical="center" wrapText="1"/>
    </xf>
    <xf numFmtId="3" fontId="7" fillId="0" borderId="6" xfId="2" applyNumberFormat="1" applyFont="1" applyBorder="1" applyAlignment="1">
      <alignment horizontal="center" vertical="center" wrapText="1"/>
    </xf>
    <xf numFmtId="3" fontId="7" fillId="0" borderId="7" xfId="2" applyNumberFormat="1" applyFont="1" applyBorder="1" applyAlignment="1">
      <alignment horizontal="center" vertical="center" wrapText="1"/>
    </xf>
    <xf numFmtId="3" fontId="7" fillId="6" borderId="5" xfId="75" applyNumberFormat="1" applyFont="1" applyFill="1" applyBorder="1" applyAlignment="1">
      <alignment horizontal="center" vertical="center" wrapText="1"/>
    </xf>
    <xf numFmtId="3" fontId="7" fillId="6" borderId="7" xfId="75" applyNumberFormat="1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justify" vertical="center" wrapText="1"/>
    </xf>
    <xf numFmtId="1" fontId="7" fillId="6" borderId="5" xfId="2" applyNumberFormat="1" applyFont="1" applyFill="1" applyBorder="1" applyAlignment="1">
      <alignment horizontal="center" vertical="center" wrapText="1"/>
    </xf>
    <xf numFmtId="1" fontId="7" fillId="6" borderId="6" xfId="2" applyNumberFormat="1" applyFont="1" applyFill="1" applyBorder="1" applyAlignment="1">
      <alignment horizontal="center" vertical="center" wrapText="1"/>
    </xf>
    <xf numFmtId="1" fontId="7" fillId="6" borderId="7" xfId="2" applyNumberFormat="1" applyFont="1" applyFill="1" applyBorder="1" applyAlignment="1">
      <alignment horizontal="center" vertical="center" wrapText="1"/>
    </xf>
    <xf numFmtId="0" fontId="7" fillId="0" borderId="5" xfId="1529" applyFont="1" applyFill="1" applyBorder="1" applyAlignment="1">
      <alignment horizontal="center" vertical="center" wrapText="1"/>
    </xf>
    <xf numFmtId="0" fontId="7" fillId="0" borderId="6" xfId="1529" applyFont="1" applyFill="1" applyBorder="1" applyAlignment="1">
      <alignment horizontal="center" vertical="center" wrapText="1"/>
    </xf>
    <xf numFmtId="0" fontId="7" fillId="0" borderId="7" xfId="1529" applyFont="1" applyFill="1" applyBorder="1" applyAlignment="1">
      <alignment horizontal="center" vertical="center" wrapText="1"/>
    </xf>
    <xf numFmtId="0" fontId="7" fillId="0" borderId="5" xfId="1529" applyFont="1" applyFill="1" applyBorder="1" applyAlignment="1">
      <alignment horizontal="justify" vertical="center" wrapText="1"/>
    </xf>
    <xf numFmtId="0" fontId="7" fillId="0" borderId="6" xfId="1529" applyFont="1" applyFill="1" applyBorder="1" applyAlignment="1">
      <alignment horizontal="justify" vertical="center" wrapText="1"/>
    </xf>
    <xf numFmtId="0" fontId="7" fillId="0" borderId="7" xfId="1529" applyFont="1" applyFill="1" applyBorder="1" applyAlignment="1">
      <alignment horizontal="justify" vertical="center" wrapText="1"/>
    </xf>
    <xf numFmtId="3" fontId="7" fillId="0" borderId="5" xfId="75" applyNumberFormat="1" applyFont="1" applyFill="1" applyBorder="1" applyAlignment="1">
      <alignment horizontal="center" vertical="center" wrapText="1"/>
    </xf>
    <xf numFmtId="3" fontId="7" fillId="0" borderId="6" xfId="75" applyNumberFormat="1" applyFont="1" applyFill="1" applyBorder="1" applyAlignment="1">
      <alignment horizontal="center" vertical="center" wrapText="1"/>
    </xf>
    <xf numFmtId="3" fontId="7" fillId="0" borderId="7" xfId="75" applyNumberFormat="1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justify" vertical="center" wrapText="1"/>
    </xf>
    <xf numFmtId="0" fontId="7" fillId="0" borderId="6" xfId="2" applyFont="1" applyFill="1" applyBorder="1" applyAlignment="1">
      <alignment horizontal="justify" vertical="center" wrapText="1"/>
    </xf>
    <xf numFmtId="0" fontId="7" fillId="0" borderId="7" xfId="2" applyFont="1" applyFill="1" applyBorder="1" applyAlignment="1">
      <alignment horizontal="justify" vertical="center" wrapText="1"/>
    </xf>
    <xf numFmtId="49" fontId="7" fillId="0" borderId="5" xfId="75" applyNumberFormat="1" applyFont="1" applyFill="1" applyBorder="1" applyAlignment="1">
      <alignment horizontal="justify" vertical="center" wrapText="1"/>
    </xf>
    <xf numFmtId="49" fontId="7" fillId="0" borderId="6" xfId="75" applyNumberFormat="1" applyFont="1" applyFill="1" applyBorder="1" applyAlignment="1">
      <alignment horizontal="justify" vertical="center" wrapText="1"/>
    </xf>
    <xf numFmtId="49" fontId="7" fillId="0" borderId="7" xfId="75" applyNumberFormat="1" applyFont="1" applyFill="1" applyBorder="1" applyAlignment="1">
      <alignment horizontal="justify" vertical="center" wrapText="1"/>
    </xf>
    <xf numFmtId="0" fontId="7" fillId="0" borderId="1" xfId="75" applyNumberFormat="1" applyFont="1" applyFill="1" applyBorder="1" applyAlignment="1">
      <alignment horizontal="justify" vertical="center" wrapText="1"/>
    </xf>
    <xf numFmtId="0" fontId="7" fillId="0" borderId="5" xfId="75" applyFont="1" applyFill="1" applyBorder="1" applyAlignment="1">
      <alignment horizontal="center" vertical="center" wrapText="1"/>
    </xf>
    <xf numFmtId="0" fontId="7" fillId="0" borderId="7" xfId="75" applyFont="1" applyFill="1" applyBorder="1" applyAlignment="1">
      <alignment horizontal="center" vertical="center" wrapText="1"/>
    </xf>
    <xf numFmtId="1" fontId="7" fillId="6" borderId="5" xfId="2" applyNumberFormat="1" applyFont="1" applyFill="1" applyBorder="1" applyAlignment="1">
      <alignment horizontal="justify" vertical="center" wrapText="1"/>
    </xf>
    <xf numFmtId="1" fontId="7" fillId="6" borderId="6" xfId="2" applyNumberFormat="1" applyFont="1" applyFill="1" applyBorder="1" applyAlignment="1">
      <alignment horizontal="justify" vertical="center" wrapText="1"/>
    </xf>
    <xf numFmtId="1" fontId="7" fillId="6" borderId="7" xfId="2" applyNumberFormat="1" applyFont="1" applyFill="1" applyBorder="1" applyAlignment="1">
      <alignment horizontal="justify" vertical="center" wrapText="1"/>
    </xf>
    <xf numFmtId="49" fontId="7" fillId="0" borderId="5" xfId="75" applyNumberFormat="1" applyFont="1" applyBorder="1" applyAlignment="1">
      <alignment horizontal="justify" vertical="center" wrapText="1"/>
    </xf>
    <xf numFmtId="49" fontId="7" fillId="0" borderId="6" xfId="75" applyNumberFormat="1" applyFont="1" applyBorder="1" applyAlignment="1">
      <alignment horizontal="justify" vertical="center" wrapText="1"/>
    </xf>
    <xf numFmtId="49" fontId="7" fillId="0" borderId="7" xfId="75" applyNumberFormat="1" applyFont="1" applyBorder="1" applyAlignment="1">
      <alignment horizontal="justify" vertical="center" wrapText="1"/>
    </xf>
    <xf numFmtId="0" fontId="7" fillId="0" borderId="5" xfId="75" applyFont="1" applyBorder="1" applyAlignment="1">
      <alignment horizontal="center" vertical="center" wrapText="1"/>
    </xf>
    <xf numFmtId="0" fontId="7" fillId="0" borderId="7" xfId="75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5" xfId="75" applyFont="1" applyFill="1" applyBorder="1" applyAlignment="1">
      <alignment horizontal="justify" vertical="center" wrapText="1"/>
    </xf>
    <xf numFmtId="0" fontId="7" fillId="0" borderId="7" xfId="75" applyFont="1" applyFill="1" applyBorder="1" applyAlignment="1">
      <alignment horizontal="justify" vertical="center" wrapText="1"/>
    </xf>
    <xf numFmtId="0" fontId="7" fillId="6" borderId="5" xfId="75" applyFont="1" applyFill="1" applyBorder="1" applyAlignment="1">
      <alignment horizontal="justify" vertical="center" wrapText="1"/>
    </xf>
    <xf numFmtId="0" fontId="7" fillId="6" borderId="7" xfId="75" applyFont="1" applyFill="1" applyBorder="1" applyAlignment="1">
      <alignment horizontal="justify" vertical="center" wrapText="1"/>
    </xf>
    <xf numFmtId="1" fontId="7" fillId="0" borderId="5" xfId="75" applyNumberFormat="1" applyFont="1" applyBorder="1" applyAlignment="1">
      <alignment horizontal="center" vertical="center" wrapText="1"/>
    </xf>
    <xf numFmtId="1" fontId="7" fillId="0" borderId="6" xfId="75" applyNumberFormat="1" applyFont="1" applyBorder="1" applyAlignment="1">
      <alignment horizontal="center" vertical="center" wrapText="1"/>
    </xf>
    <xf numFmtId="1" fontId="7" fillId="0" borderId="7" xfId="75" applyNumberFormat="1" applyFont="1" applyBorder="1" applyAlignment="1">
      <alignment horizontal="center" vertical="center" wrapText="1"/>
    </xf>
    <xf numFmtId="2" fontId="7" fillId="0" borderId="5" xfId="75" applyNumberFormat="1" applyFont="1" applyBorder="1" applyAlignment="1">
      <alignment horizontal="justify" vertical="center" wrapText="1"/>
    </xf>
    <xf numFmtId="2" fontId="7" fillId="0" borderId="6" xfId="75" applyNumberFormat="1" applyFont="1" applyBorder="1" applyAlignment="1">
      <alignment horizontal="justify" vertical="center" wrapText="1"/>
    </xf>
    <xf numFmtId="2" fontId="7" fillId="0" borderId="7" xfId="75" applyNumberFormat="1" applyFont="1" applyBorder="1" applyAlignment="1">
      <alignment horizontal="justify" vertical="center" wrapText="1"/>
    </xf>
    <xf numFmtId="0" fontId="6" fillId="0" borderId="0" xfId="2" applyFont="1" applyFill="1" applyBorder="1" applyAlignment="1">
      <alignment horizontal="center"/>
    </xf>
    <xf numFmtId="49" fontId="7" fillId="0" borderId="5" xfId="0" applyNumberFormat="1" applyFont="1" applyFill="1" applyBorder="1" applyAlignment="1">
      <alignment horizontal="justify" vertical="center" wrapText="1"/>
    </xf>
    <xf numFmtId="49" fontId="7" fillId="0" borderId="7" xfId="0" applyNumberFormat="1" applyFont="1" applyFill="1" applyBorder="1" applyAlignment="1">
      <alignment horizontal="justify" vertical="center" wrapText="1"/>
    </xf>
    <xf numFmtId="49" fontId="7" fillId="0" borderId="5" xfId="0" applyNumberFormat="1" applyFont="1" applyFill="1" applyBorder="1" applyAlignment="1">
      <alignment horizontal="left" vertical="center" wrapText="1"/>
    </xf>
    <xf numFmtId="49" fontId="7" fillId="0" borderId="7" xfId="0" applyNumberFormat="1" applyFont="1" applyFill="1" applyBorder="1" applyAlignment="1">
      <alignment horizontal="left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justify" vertical="center" wrapText="1"/>
    </xf>
    <xf numFmtId="49" fontId="7" fillId="0" borderId="7" xfId="0" applyNumberFormat="1" applyFont="1" applyBorder="1" applyAlignment="1">
      <alignment horizontal="justify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0" borderId="0" xfId="75" applyFont="1" applyFill="1" applyBorder="1" applyAlignment="1">
      <alignment horizontal="center"/>
    </xf>
    <xf numFmtId="0" fontId="7" fillId="0" borderId="5" xfId="3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/>
    </xf>
    <xf numFmtId="0" fontId="7" fillId="0" borderId="7" xfId="3" applyFont="1" applyFill="1" applyBorder="1" applyAlignment="1">
      <alignment horizontal="center" vertical="center" wrapText="1"/>
    </xf>
    <xf numFmtId="0" fontId="7" fillId="0" borderId="5" xfId="3" applyFont="1" applyFill="1" applyBorder="1" applyAlignment="1">
      <alignment horizontal="justify" vertical="center" wrapText="1"/>
    </xf>
    <xf numFmtId="0" fontId="7" fillId="0" borderId="6" xfId="3" applyFont="1" applyFill="1" applyBorder="1" applyAlignment="1">
      <alignment horizontal="justify" vertical="center" wrapText="1"/>
    </xf>
    <xf numFmtId="0" fontId="7" fillId="0" borderId="7" xfId="3" applyFont="1" applyFill="1" applyBorder="1" applyAlignment="1">
      <alignment horizontal="justify" vertical="center" wrapText="1"/>
    </xf>
    <xf numFmtId="3" fontId="7" fillId="0" borderId="5" xfId="3" applyNumberFormat="1" applyFont="1" applyFill="1" applyBorder="1" applyAlignment="1">
      <alignment horizontal="center" vertical="center" wrapText="1"/>
    </xf>
    <xf numFmtId="3" fontId="7" fillId="0" borderId="6" xfId="3" applyNumberFormat="1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center" wrapText="1"/>
    </xf>
    <xf numFmtId="0" fontId="7" fillId="0" borderId="5" xfId="1540" applyFont="1" applyBorder="1" applyAlignment="1">
      <alignment horizontal="justify" vertical="center" wrapText="1"/>
    </xf>
    <xf numFmtId="0" fontId="7" fillId="0" borderId="7" xfId="1540" applyFont="1" applyBorder="1" applyAlignment="1">
      <alignment horizontal="justify" vertical="center" wrapText="1"/>
    </xf>
    <xf numFmtId="2" fontId="7" fillId="6" borderId="5" xfId="3" applyNumberFormat="1" applyFont="1" applyFill="1" applyBorder="1" applyAlignment="1">
      <alignment horizontal="justify" vertical="center" wrapText="1"/>
    </xf>
    <xf numFmtId="2" fontId="7" fillId="6" borderId="7" xfId="3" applyNumberFormat="1" applyFont="1" applyFill="1" applyBorder="1" applyAlignment="1">
      <alignment horizontal="justify" vertical="center" wrapText="1"/>
    </xf>
    <xf numFmtId="49" fontId="7" fillId="6" borderId="5" xfId="3" applyNumberFormat="1" applyFont="1" applyFill="1" applyBorder="1" applyAlignment="1">
      <alignment horizontal="justify" vertical="center" wrapText="1"/>
    </xf>
    <xf numFmtId="49" fontId="7" fillId="6" borderId="7" xfId="3" applyNumberFormat="1" applyFont="1" applyFill="1" applyBorder="1" applyAlignment="1">
      <alignment horizontal="justify" vertical="center" wrapText="1"/>
    </xf>
    <xf numFmtId="2" fontId="7" fillId="0" borderId="5" xfId="3" applyNumberFormat="1" applyFont="1" applyBorder="1" applyAlignment="1">
      <alignment horizontal="justify" vertical="center" wrapText="1"/>
    </xf>
    <xf numFmtId="2" fontId="7" fillId="0" borderId="7" xfId="3" applyNumberFormat="1" applyFont="1" applyBorder="1" applyAlignment="1">
      <alignment horizontal="justify" vertical="center" wrapText="1"/>
    </xf>
    <xf numFmtId="0" fontId="7" fillId="0" borderId="5" xfId="1540" applyFont="1" applyFill="1" applyBorder="1" applyAlignment="1">
      <alignment horizontal="justify" vertical="center" wrapText="1"/>
    </xf>
    <xf numFmtId="0" fontId="7" fillId="0" borderId="6" xfId="1540" applyFont="1" applyFill="1" applyBorder="1" applyAlignment="1">
      <alignment horizontal="justify" vertical="center" wrapText="1"/>
    </xf>
    <xf numFmtId="0" fontId="7" fillId="0" borderId="7" xfId="1540" applyFont="1" applyFill="1" applyBorder="1" applyAlignment="1">
      <alignment horizontal="justify" vertical="center" wrapText="1"/>
    </xf>
    <xf numFmtId="49" fontId="7" fillId="6" borderId="1" xfId="3" applyNumberFormat="1" applyFont="1" applyFill="1" applyBorder="1" applyAlignment="1">
      <alignment horizontal="justify" vertical="center" wrapText="1"/>
    </xf>
    <xf numFmtId="0" fontId="7" fillId="6" borderId="5" xfId="3" applyFont="1" applyFill="1" applyBorder="1" applyAlignment="1">
      <alignment horizontal="center" vertical="center" wrapText="1"/>
    </xf>
    <xf numFmtId="0" fontId="7" fillId="6" borderId="7" xfId="3" applyFont="1" applyFill="1" applyBorder="1" applyAlignment="1">
      <alignment horizontal="center" vertical="center" wrapText="1"/>
    </xf>
    <xf numFmtId="0" fontId="7" fillId="6" borderId="5" xfId="3" applyFont="1" applyFill="1" applyBorder="1" applyAlignment="1">
      <alignment horizontal="justify" vertical="center" wrapText="1"/>
    </xf>
    <xf numFmtId="0" fontId="7" fillId="6" borderId="7" xfId="3" applyFont="1" applyFill="1" applyBorder="1" applyAlignment="1">
      <alignment horizontal="justify" vertical="center" wrapText="1"/>
    </xf>
    <xf numFmtId="0" fontId="7" fillId="6" borderId="5" xfId="1540" applyFont="1" applyFill="1" applyBorder="1" applyAlignment="1">
      <alignment horizontal="justify" vertical="center" wrapText="1"/>
    </xf>
    <xf numFmtId="0" fontId="7" fillId="6" borderId="7" xfId="1540" applyFont="1" applyFill="1" applyBorder="1" applyAlignment="1">
      <alignment horizontal="justify" vertical="center" wrapText="1"/>
    </xf>
    <xf numFmtId="0" fontId="7" fillId="6" borderId="6" xfId="3" applyFont="1" applyFill="1" applyBorder="1" applyAlignment="1">
      <alignment horizontal="center" vertical="center" wrapText="1"/>
    </xf>
    <xf numFmtId="0" fontId="7" fillId="6" borderId="6" xfId="3" applyFont="1" applyFill="1" applyBorder="1" applyAlignment="1">
      <alignment horizontal="justify" vertical="center" wrapText="1"/>
    </xf>
    <xf numFmtId="0" fontId="7" fillId="6" borderId="6" xfId="1540" applyFont="1" applyFill="1" applyBorder="1" applyAlignment="1">
      <alignment horizontal="justify" vertical="center" wrapText="1"/>
    </xf>
    <xf numFmtId="2" fontId="7" fillId="6" borderId="1" xfId="3" applyNumberFormat="1" applyFont="1" applyFill="1" applyBorder="1" applyAlignment="1">
      <alignment horizontal="justify" vertical="center" wrapText="1"/>
    </xf>
    <xf numFmtId="2" fontId="7" fillId="6" borderId="6" xfId="3" applyNumberFormat="1" applyFont="1" applyFill="1" applyBorder="1" applyAlignment="1">
      <alignment horizontal="justify" vertical="center" wrapText="1"/>
    </xf>
    <xf numFmtId="49" fontId="7" fillId="6" borderId="6" xfId="3" applyNumberFormat="1" applyFont="1" applyFill="1" applyBorder="1" applyAlignment="1">
      <alignment horizontal="justify" vertical="center" wrapText="1"/>
    </xf>
    <xf numFmtId="0" fontId="12" fillId="6" borderId="6" xfId="3" applyFont="1" applyFill="1" applyBorder="1" applyAlignment="1">
      <alignment horizontal="justify" vertical="center" wrapText="1"/>
    </xf>
    <xf numFmtId="0" fontId="12" fillId="6" borderId="7" xfId="3" applyFont="1" applyFill="1" applyBorder="1" applyAlignment="1">
      <alignment horizontal="justify" vertical="center" wrapText="1"/>
    </xf>
    <xf numFmtId="3" fontId="42" fillId="0" borderId="5" xfId="1542" applyNumberFormat="1" applyFont="1" applyFill="1" applyBorder="1" applyAlignment="1">
      <alignment horizontal="center" vertical="center" wrapText="1"/>
    </xf>
    <xf numFmtId="3" fontId="42" fillId="0" borderId="6" xfId="1542" applyNumberFormat="1" applyFont="1" applyFill="1" applyBorder="1" applyAlignment="1">
      <alignment horizontal="center" vertical="center" wrapText="1"/>
    </xf>
    <xf numFmtId="3" fontId="42" fillId="0" borderId="7" xfId="1542" applyNumberFormat="1" applyFont="1" applyFill="1" applyBorder="1" applyAlignment="1">
      <alignment horizontal="center" vertical="center" wrapText="1"/>
    </xf>
    <xf numFmtId="0" fontId="42" fillId="0" borderId="5" xfId="1542" applyNumberFormat="1" applyFont="1" applyFill="1" applyBorder="1" applyAlignment="1">
      <alignment horizontal="justify" vertical="center" wrapText="1"/>
    </xf>
    <xf numFmtId="0" fontId="42" fillId="0" borderId="6" xfId="1542" applyNumberFormat="1" applyFont="1" applyBorder="1"/>
    <xf numFmtId="0" fontId="42" fillId="0" borderId="7" xfId="1542" applyNumberFormat="1" applyFont="1" applyBorder="1"/>
    <xf numFmtId="49" fontId="42" fillId="7" borderId="5" xfId="1542" applyNumberFormat="1" applyFont="1" applyFill="1" applyBorder="1" applyAlignment="1">
      <alignment horizontal="center" vertical="center" wrapText="1"/>
    </xf>
    <xf numFmtId="49" fontId="42" fillId="7" borderId="7" xfId="1542" applyNumberFormat="1" applyFont="1" applyFill="1" applyBorder="1" applyAlignment="1">
      <alignment horizontal="center" vertical="center" wrapText="1"/>
    </xf>
    <xf numFmtId="3" fontId="42" fillId="7" borderId="5" xfId="1542" applyNumberFormat="1" applyFont="1" applyFill="1" applyBorder="1" applyAlignment="1">
      <alignment horizontal="center" vertical="center" wrapText="1"/>
    </xf>
    <xf numFmtId="3" fontId="42" fillId="7" borderId="7" xfId="1542" applyNumberFormat="1" applyFont="1" applyFill="1" applyBorder="1" applyAlignment="1">
      <alignment horizontal="center" vertical="center" wrapText="1"/>
    </xf>
    <xf numFmtId="3" fontId="42" fillId="0" borderId="5" xfId="1542" applyNumberFormat="1" applyFont="1" applyBorder="1" applyAlignment="1">
      <alignment horizontal="center" vertical="center" wrapText="1"/>
    </xf>
    <xf numFmtId="3" fontId="42" fillId="0" borderId="7" xfId="1542" applyNumberFormat="1" applyFont="1" applyBorder="1" applyAlignment="1">
      <alignment horizontal="center" vertical="center" wrapText="1"/>
    </xf>
    <xf numFmtId="49" fontId="42" fillId="0" borderId="5" xfId="1542" applyNumberFormat="1" applyFont="1" applyFill="1" applyBorder="1" applyAlignment="1">
      <alignment horizontal="justify" vertical="center" wrapText="1"/>
    </xf>
    <xf numFmtId="49" fontId="42" fillId="0" borderId="7" xfId="1542" applyNumberFormat="1" applyFont="1" applyFill="1" applyBorder="1" applyAlignment="1">
      <alignment horizontal="justify" vertical="center" wrapText="1"/>
    </xf>
    <xf numFmtId="0" fontId="42" fillId="0" borderId="5" xfId="1542" applyFont="1" applyFill="1" applyBorder="1" applyAlignment="1">
      <alignment horizontal="center" vertical="center" wrapText="1"/>
    </xf>
    <xf numFmtId="0" fontId="42" fillId="0" borderId="6" xfId="1542" applyFont="1" applyFill="1" applyBorder="1" applyAlignment="1">
      <alignment horizontal="center" vertical="center" wrapText="1"/>
    </xf>
    <xf numFmtId="0" fontId="42" fillId="0" borderId="7" xfId="1542" applyFont="1" applyFill="1" applyBorder="1" applyAlignment="1">
      <alignment horizontal="center" vertical="center" wrapText="1"/>
    </xf>
    <xf numFmtId="0" fontId="42" fillId="0" borderId="6" xfId="1542" applyFont="1" applyBorder="1"/>
    <xf numFmtId="0" fontId="42" fillId="0" borderId="7" xfId="1542" applyFont="1" applyBorder="1"/>
    <xf numFmtId="3" fontId="42" fillId="0" borderId="6" xfId="1542" applyNumberFormat="1" applyFont="1" applyBorder="1" applyAlignment="1">
      <alignment horizontal="center" vertical="center" wrapText="1"/>
    </xf>
    <xf numFmtId="0" fontId="42" fillId="0" borderId="5" xfId="1542" applyFont="1" applyFill="1" applyBorder="1" applyAlignment="1">
      <alignment horizontal="justify" vertical="center" wrapText="1"/>
    </xf>
    <xf numFmtId="0" fontId="42" fillId="0" borderId="7" xfId="1542" applyFont="1" applyFill="1" applyBorder="1" applyAlignment="1">
      <alignment horizontal="justify" vertical="center" wrapText="1"/>
    </xf>
    <xf numFmtId="0" fontId="42" fillId="7" borderId="5" xfId="1542" applyFont="1" applyFill="1" applyBorder="1" applyAlignment="1">
      <alignment horizontal="center" vertical="center" wrapText="1"/>
    </xf>
    <xf numFmtId="0" fontId="42" fillId="7" borderId="7" xfId="1542" applyFont="1" applyFill="1" applyBorder="1" applyAlignment="1">
      <alignment horizontal="center" vertical="center" wrapText="1"/>
    </xf>
    <xf numFmtId="0" fontId="42" fillId="7" borderId="6" xfId="1542" applyFont="1" applyFill="1" applyBorder="1" applyAlignment="1">
      <alignment horizontal="center" vertical="center" wrapText="1"/>
    </xf>
    <xf numFmtId="0" fontId="42" fillId="7" borderId="5" xfId="1542" applyFont="1" applyFill="1" applyBorder="1" applyAlignment="1">
      <alignment horizontal="justify" vertical="center" wrapText="1"/>
    </xf>
    <xf numFmtId="0" fontId="42" fillId="0" borderId="6" xfId="1542" applyFont="1" applyBorder="1" applyAlignment="1">
      <alignment horizontal="justify" vertical="center" wrapText="1"/>
    </xf>
    <xf numFmtId="0" fontId="42" fillId="0" borderId="7" xfId="1542" applyFont="1" applyBorder="1" applyAlignment="1">
      <alignment horizontal="justify" vertical="center" wrapText="1"/>
    </xf>
    <xf numFmtId="49" fontId="42" fillId="0" borderId="5" xfId="1542" applyNumberFormat="1" applyFont="1" applyBorder="1" applyAlignment="1">
      <alignment horizontal="justify" vertical="center" wrapText="1"/>
    </xf>
    <xf numFmtId="49" fontId="42" fillId="0" borderId="7" xfId="1542" applyNumberFormat="1" applyFont="1" applyBorder="1" applyAlignment="1">
      <alignment horizontal="justify" vertical="center" wrapText="1"/>
    </xf>
    <xf numFmtId="0" fontId="42" fillId="6" borderId="5" xfId="1542" applyFont="1" applyFill="1" applyBorder="1" applyAlignment="1">
      <alignment horizontal="justify" vertical="center" wrapText="1"/>
    </xf>
    <xf numFmtId="0" fontId="42" fillId="6" borderId="6" xfId="1542" applyFont="1" applyFill="1" applyBorder="1" applyAlignment="1">
      <alignment horizontal="justify" vertical="center" wrapText="1"/>
    </xf>
    <xf numFmtId="0" fontId="42" fillId="6" borderId="7" xfId="1542" applyFont="1" applyFill="1" applyBorder="1" applyAlignment="1">
      <alignment horizontal="justify" vertical="center" wrapText="1"/>
    </xf>
    <xf numFmtId="3" fontId="41" fillId="2" borderId="1" xfId="1542" applyNumberFormat="1" applyFont="1" applyFill="1" applyBorder="1" applyAlignment="1">
      <alignment horizontal="center" vertical="center"/>
    </xf>
    <xf numFmtId="0" fontId="41" fillId="2" borderId="1" xfId="1542" applyFont="1" applyFill="1" applyBorder="1" applyAlignment="1">
      <alignment horizontal="center" vertical="center" wrapText="1"/>
    </xf>
    <xf numFmtId="49" fontId="41" fillId="2" borderId="2" xfId="1542" applyNumberFormat="1" applyFont="1" applyFill="1" applyBorder="1" applyAlignment="1">
      <alignment horizontal="center" vertical="center" wrapText="1"/>
    </xf>
    <xf numFmtId="49" fontId="41" fillId="2" borderId="3" xfId="1542" applyNumberFormat="1" applyFont="1" applyFill="1" applyBorder="1" applyAlignment="1">
      <alignment horizontal="center" vertical="center" wrapText="1"/>
    </xf>
    <xf numFmtId="49" fontId="41" fillId="2" borderId="4" xfId="1542" applyNumberFormat="1" applyFont="1" applyFill="1" applyBorder="1" applyAlignment="1">
      <alignment horizontal="center" vertical="center" wrapText="1"/>
    </xf>
    <xf numFmtId="49" fontId="41" fillId="2" borderId="1" xfId="1542" applyNumberFormat="1" applyFont="1" applyFill="1" applyBorder="1" applyAlignment="1">
      <alignment horizontal="center" vertical="center"/>
    </xf>
    <xf numFmtId="0" fontId="41" fillId="0" borderId="0" xfId="1542" applyFont="1" applyFill="1" applyBorder="1" applyAlignment="1">
      <alignment horizontal="center"/>
    </xf>
    <xf numFmtId="49" fontId="41" fillId="2" borderId="1" xfId="1542" applyNumberFormat="1" applyFont="1" applyFill="1" applyBorder="1" applyAlignment="1">
      <alignment horizontal="center" vertical="center" wrapText="1"/>
    </xf>
    <xf numFmtId="0" fontId="7" fillId="6" borderId="7" xfId="621" applyFont="1" applyFill="1" applyBorder="1" applyAlignment="1">
      <alignment horizontal="center" vertical="center" wrapText="1"/>
    </xf>
    <xf numFmtId="49" fontId="7" fillId="6" borderId="5" xfId="621" applyNumberFormat="1" applyFont="1" applyFill="1" applyBorder="1" applyAlignment="1">
      <alignment horizontal="justify" vertical="center" wrapText="1"/>
    </xf>
    <xf numFmtId="49" fontId="7" fillId="6" borderId="6" xfId="621" applyNumberFormat="1" applyFont="1" applyFill="1" applyBorder="1" applyAlignment="1">
      <alignment horizontal="justify" vertical="center" wrapText="1"/>
    </xf>
    <xf numFmtId="49" fontId="7" fillId="6" borderId="7" xfId="621" applyNumberFormat="1" applyFont="1" applyFill="1" applyBorder="1" applyAlignment="1">
      <alignment horizontal="justify" vertical="center" wrapText="1"/>
    </xf>
    <xf numFmtId="49" fontId="7" fillId="6" borderId="5" xfId="621" applyNumberFormat="1" applyFont="1" applyFill="1" applyBorder="1" applyAlignment="1">
      <alignment horizontal="left" vertical="center" wrapText="1"/>
    </xf>
    <xf numFmtId="49" fontId="7" fillId="6" borderId="7" xfId="621" applyNumberFormat="1" applyFont="1" applyFill="1" applyBorder="1" applyAlignment="1">
      <alignment horizontal="left" vertical="center" wrapText="1"/>
    </xf>
    <xf numFmtId="49" fontId="7" fillId="6" borderId="5" xfId="621" applyNumberFormat="1" applyFont="1" applyFill="1" applyBorder="1" applyAlignment="1">
      <alignment horizontal="center" vertical="center" wrapText="1"/>
    </xf>
    <xf numFmtId="49" fontId="7" fillId="6" borderId="7" xfId="621" applyNumberFormat="1" applyFont="1" applyFill="1" applyBorder="1" applyAlignment="1">
      <alignment horizontal="center" vertical="center" wrapText="1"/>
    </xf>
    <xf numFmtId="3" fontId="7" fillId="6" borderId="6" xfId="621" applyNumberFormat="1" applyFont="1" applyFill="1" applyBorder="1" applyAlignment="1">
      <alignment horizontal="center" vertical="center" wrapText="1"/>
    </xf>
    <xf numFmtId="0" fontId="7" fillId="6" borderId="5" xfId="621" applyNumberFormat="1" applyFont="1" applyFill="1" applyBorder="1" applyAlignment="1">
      <alignment horizontal="justify" vertical="center"/>
    </xf>
    <xf numFmtId="0" fontId="7" fillId="6" borderId="6" xfId="621" applyNumberFormat="1" applyFont="1" applyFill="1" applyBorder="1" applyAlignment="1">
      <alignment horizontal="justify" vertical="center"/>
    </xf>
    <xf numFmtId="0" fontId="7" fillId="6" borderId="7" xfId="621" applyNumberFormat="1" applyFont="1" applyFill="1" applyBorder="1" applyAlignment="1">
      <alignment horizontal="justify" vertical="center"/>
    </xf>
    <xf numFmtId="49" fontId="7" fillId="6" borderId="6" xfId="621" applyNumberFormat="1" applyFont="1" applyFill="1" applyBorder="1" applyAlignment="1">
      <alignment horizontal="left" vertical="center" wrapText="1"/>
    </xf>
    <xf numFmtId="181" fontId="7" fillId="6" borderId="5" xfId="621" applyNumberFormat="1" applyFont="1" applyFill="1" applyBorder="1" applyAlignment="1">
      <alignment horizontal="center" vertical="center" wrapText="1"/>
    </xf>
    <xf numFmtId="181" fontId="7" fillId="6" borderId="6" xfId="621" applyNumberFormat="1" applyFont="1" applyFill="1" applyBorder="1" applyAlignment="1">
      <alignment horizontal="center" vertical="center" wrapText="1"/>
    </xf>
    <xf numFmtId="181" fontId="7" fillId="6" borderId="7" xfId="621" applyNumberFormat="1" applyFont="1" applyFill="1" applyBorder="1" applyAlignment="1">
      <alignment horizontal="center" vertical="center" wrapText="1"/>
    </xf>
    <xf numFmtId="49" fontId="7" fillId="6" borderId="6" xfId="621" applyNumberFormat="1" applyFont="1" applyFill="1" applyBorder="1" applyAlignment="1">
      <alignment horizontal="center" vertical="center" wrapText="1"/>
    </xf>
    <xf numFmtId="0" fontId="7" fillId="6" borderId="5" xfId="621" applyNumberFormat="1" applyFont="1" applyFill="1" applyBorder="1" applyAlignment="1">
      <alignment horizontal="left" vertical="center" wrapText="1"/>
    </xf>
    <xf numFmtId="0" fontId="7" fillId="6" borderId="6" xfId="621" applyNumberFormat="1" applyFont="1" applyFill="1" applyBorder="1" applyAlignment="1">
      <alignment horizontal="left" vertical="center" wrapText="1"/>
    </xf>
    <xf numFmtId="0" fontId="7" fillId="6" borderId="7" xfId="621" applyNumberFormat="1" applyFont="1" applyFill="1" applyBorder="1" applyAlignment="1">
      <alignment horizontal="left" vertical="center" wrapText="1"/>
    </xf>
    <xf numFmtId="164" fontId="7" fillId="6" borderId="5" xfId="621" applyNumberFormat="1" applyFont="1" applyFill="1" applyBorder="1" applyAlignment="1">
      <alignment horizontal="center" vertical="center" wrapText="1"/>
    </xf>
    <xf numFmtId="164" fontId="7" fillId="6" borderId="6" xfId="621" applyNumberFormat="1" applyFont="1" applyFill="1" applyBorder="1" applyAlignment="1">
      <alignment horizontal="center" vertical="center" wrapText="1"/>
    </xf>
    <xf numFmtId="164" fontId="7" fillId="6" borderId="7" xfId="621" applyNumberFormat="1" applyFont="1" applyFill="1" applyBorder="1" applyAlignment="1">
      <alignment horizontal="center" vertical="center" wrapText="1"/>
    </xf>
    <xf numFmtId="49" fontId="7" fillId="0" borderId="5" xfId="621" applyNumberFormat="1" applyFont="1" applyBorder="1" applyAlignment="1">
      <alignment horizontal="justify" vertical="center" wrapText="1"/>
    </xf>
    <xf numFmtId="49" fontId="7" fillId="0" borderId="7" xfId="621" applyNumberFormat="1" applyFont="1" applyBorder="1" applyAlignment="1">
      <alignment horizontal="justify" vertical="center" wrapText="1"/>
    </xf>
    <xf numFmtId="0" fontId="7" fillId="0" borderId="5" xfId="621" applyNumberFormat="1" applyFont="1" applyBorder="1" applyAlignment="1">
      <alignment horizontal="left" vertical="center" wrapText="1"/>
    </xf>
    <xf numFmtId="0" fontId="7" fillId="0" borderId="6" xfId="621" applyNumberFormat="1" applyFont="1" applyBorder="1" applyAlignment="1">
      <alignment horizontal="left" vertical="center" wrapText="1"/>
    </xf>
    <xf numFmtId="0" fontId="7" fillId="0" borderId="7" xfId="621" applyNumberFormat="1" applyFont="1" applyBorder="1" applyAlignment="1">
      <alignment horizontal="left" vertical="center" wrapText="1"/>
    </xf>
    <xf numFmtId="0" fontId="7" fillId="0" borderId="5" xfId="621" applyFont="1" applyBorder="1" applyAlignment="1">
      <alignment horizontal="center" vertical="center" wrapText="1"/>
    </xf>
    <xf numFmtId="0" fontId="7" fillId="0" borderId="7" xfId="621" applyFont="1" applyBorder="1" applyAlignment="1">
      <alignment horizontal="center" vertical="center" wrapText="1"/>
    </xf>
    <xf numFmtId="164" fontId="7" fillId="0" borderId="5" xfId="621" applyNumberFormat="1" applyFont="1" applyBorder="1" applyAlignment="1">
      <alignment horizontal="center" vertical="center"/>
    </xf>
    <xf numFmtId="164" fontId="7" fillId="0" borderId="7" xfId="621" applyNumberFormat="1" applyFont="1" applyBorder="1" applyAlignment="1">
      <alignment horizontal="center" vertical="center"/>
    </xf>
    <xf numFmtId="3" fontId="7" fillId="0" borderId="5" xfId="621" applyNumberFormat="1" applyFont="1" applyBorder="1" applyAlignment="1">
      <alignment horizontal="center" vertical="center" wrapText="1"/>
    </xf>
    <xf numFmtId="3" fontId="7" fillId="0" borderId="7" xfId="621" applyNumberFormat="1" applyFont="1" applyBorder="1" applyAlignment="1">
      <alignment horizontal="center" vertical="center" wrapText="1"/>
    </xf>
    <xf numFmtId="49" fontId="7" fillId="0" borderId="5" xfId="621" applyNumberFormat="1" applyFont="1" applyBorder="1" applyAlignment="1">
      <alignment horizontal="left" vertical="center" wrapText="1"/>
    </xf>
    <xf numFmtId="49" fontId="7" fillId="0" borderId="7" xfId="621" applyNumberFormat="1" applyFont="1" applyBorder="1" applyAlignment="1">
      <alignment horizontal="left" vertical="center" wrapText="1"/>
    </xf>
    <xf numFmtId="0" fontId="7" fillId="0" borderId="5" xfId="76" applyFont="1" applyFill="1" applyBorder="1" applyAlignment="1">
      <alignment horizontal="center" vertical="center" wrapText="1"/>
    </xf>
    <xf numFmtId="0" fontId="7" fillId="0" borderId="7" xfId="76" applyFont="1" applyFill="1" applyBorder="1" applyAlignment="1">
      <alignment horizontal="center" vertical="center" wrapText="1"/>
    </xf>
    <xf numFmtId="0" fontId="7" fillId="0" borderId="5" xfId="76" applyFont="1" applyFill="1" applyBorder="1" applyAlignment="1">
      <alignment horizontal="justify" vertical="center" wrapText="1"/>
    </xf>
    <xf numFmtId="0" fontId="7" fillId="0" borderId="7" xfId="76" applyFont="1" applyFill="1" applyBorder="1" applyAlignment="1">
      <alignment horizontal="justify" vertical="center" wrapText="1"/>
    </xf>
    <xf numFmtId="0" fontId="7" fillId="0" borderId="5" xfId="19" applyFont="1" applyFill="1" applyBorder="1" applyAlignment="1">
      <alignment horizontal="justify" vertical="center" wrapText="1"/>
    </xf>
    <xf numFmtId="0" fontId="7" fillId="0" borderId="7" xfId="19" applyFont="1" applyFill="1" applyBorder="1" applyAlignment="1">
      <alignment horizontal="justify" vertical="center" wrapText="1"/>
    </xf>
    <xf numFmtId="0" fontId="7" fillId="0" borderId="6" xfId="76" applyFont="1" applyFill="1" applyBorder="1" applyAlignment="1">
      <alignment horizontal="center" vertical="center" wrapText="1"/>
    </xf>
    <xf numFmtId="0" fontId="7" fillId="0" borderId="7" xfId="76" applyFont="1" applyBorder="1" applyAlignment="1">
      <alignment horizontal="center" vertical="center" wrapText="1"/>
    </xf>
    <xf numFmtId="0" fontId="7" fillId="0" borderId="5" xfId="2" applyNumberFormat="1" applyFont="1" applyBorder="1" applyAlignment="1">
      <alignment horizontal="justify" vertical="center" wrapText="1"/>
    </xf>
    <xf numFmtId="0" fontId="7" fillId="0" borderId="7" xfId="76" applyFont="1" applyBorder="1" applyAlignment="1">
      <alignment horizontal="justify" vertical="center" wrapText="1"/>
    </xf>
    <xf numFmtId="0" fontId="7" fillId="0" borderId="6" xfId="76" applyFont="1" applyFill="1" applyBorder="1" applyAlignment="1">
      <alignment horizontal="justify" vertical="center" wrapText="1"/>
    </xf>
    <xf numFmtId="0" fontId="7" fillId="2" borderId="1" xfId="2" applyFont="1" applyFill="1" applyBorder="1" applyAlignment="1">
      <alignment horizontal="center" vertical="center" wrapText="1"/>
    </xf>
    <xf numFmtId="49" fontId="7" fillId="2" borderId="1" xfId="2" applyNumberFormat="1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49" fontId="7" fillId="2" borderId="2" xfId="2" applyNumberFormat="1" applyFont="1" applyFill="1" applyBorder="1" applyAlignment="1">
      <alignment horizontal="center" vertical="center" wrapText="1"/>
    </xf>
    <xf numFmtId="49" fontId="7" fillId="2" borderId="3" xfId="2" applyNumberFormat="1" applyFont="1" applyFill="1" applyBorder="1" applyAlignment="1">
      <alignment horizontal="center" vertical="center" wrapText="1"/>
    </xf>
    <xf numFmtId="49" fontId="7" fillId="2" borderId="4" xfId="2" applyNumberFormat="1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/>
    </xf>
    <xf numFmtId="49" fontId="7" fillId="9" borderId="0" xfId="2" applyNumberFormat="1" applyFont="1" applyFill="1" applyAlignment="1">
      <alignment horizontal="center"/>
    </xf>
    <xf numFmtId="49" fontId="7" fillId="9" borderId="0" xfId="2" applyNumberFormat="1" applyFont="1" applyFill="1" applyAlignment="1">
      <alignment horizontal="left"/>
    </xf>
    <xf numFmtId="0" fontId="7" fillId="0" borderId="0" xfId="2" applyFont="1" applyFill="1" applyBorder="1" applyAlignment="1">
      <alignment horizontal="left" vertical="center" wrapText="1"/>
    </xf>
    <xf numFmtId="49" fontId="7" fillId="0" borderId="0" xfId="2" applyNumberFormat="1" applyFont="1" applyBorder="1" applyAlignment="1">
      <alignment horizontal="left"/>
    </xf>
    <xf numFmtId="49" fontId="7" fillId="0" borderId="0" xfId="2" applyNumberFormat="1" applyFont="1" applyAlignment="1">
      <alignment horizontal="left"/>
    </xf>
    <xf numFmtId="49" fontId="6" fillId="9" borderId="0" xfId="2" applyNumberFormat="1" applyFont="1" applyFill="1" applyAlignment="1">
      <alignment horizontal="left"/>
    </xf>
    <xf numFmtId="0" fontId="7" fillId="5" borderId="1" xfId="2" applyFont="1" applyFill="1" applyBorder="1" applyAlignment="1">
      <alignment horizontal="left" vertical="center" wrapText="1"/>
    </xf>
    <xf numFmtId="3" fontId="7" fillId="0" borderId="1" xfId="2" applyNumberFormat="1" applyFont="1" applyFill="1" applyBorder="1" applyAlignment="1">
      <alignment horizontal="center" vertical="center" wrapText="1"/>
    </xf>
    <xf numFmtId="3" fontId="7" fillId="0" borderId="1" xfId="20" applyNumberFormat="1" applyFont="1" applyFill="1" applyBorder="1" applyAlignment="1">
      <alignment horizontal="center" vertical="center" wrapText="1"/>
    </xf>
    <xf numFmtId="0" fontId="7" fillId="0" borderId="1" xfId="20" applyFont="1" applyFill="1" applyBorder="1" applyAlignment="1">
      <alignment horizontal="justify" vertical="center" wrapText="1"/>
    </xf>
    <xf numFmtId="0" fontId="7" fillId="0" borderId="1" xfId="2" applyFont="1" applyFill="1" applyBorder="1" applyAlignment="1">
      <alignment horizontal="justify" vertical="center" wrapText="1"/>
    </xf>
    <xf numFmtId="49" fontId="7" fillId="0" borderId="1" xfId="2" applyNumberFormat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left" vertical="center" wrapText="1"/>
    </xf>
    <xf numFmtId="9" fontId="7" fillId="0" borderId="1" xfId="2" applyNumberFormat="1" applyFont="1" applyFill="1" applyBorder="1" applyAlignment="1">
      <alignment horizontal="justify" vertical="center" wrapText="1"/>
    </xf>
    <xf numFmtId="4" fontId="7" fillId="0" borderId="1" xfId="2" applyNumberFormat="1" applyFont="1" applyFill="1" applyBorder="1" applyAlignment="1">
      <alignment horizontal="center" vertical="center" wrapText="1"/>
    </xf>
    <xf numFmtId="3" fontId="7" fillId="0" borderId="1" xfId="16" applyNumberFormat="1" applyFont="1" applyFill="1" applyBorder="1" applyAlignment="1">
      <alignment horizontal="center" vertical="center" wrapText="1"/>
    </xf>
    <xf numFmtId="0" fontId="7" fillId="6" borderId="1" xfId="2" applyFont="1" applyFill="1" applyBorder="1" applyAlignment="1">
      <alignment horizontal="justify" vertical="center" wrapText="1"/>
    </xf>
    <xf numFmtId="49" fontId="6" fillId="2" borderId="35" xfId="2" applyNumberFormat="1" applyFont="1" applyFill="1" applyBorder="1" applyAlignment="1">
      <alignment horizontal="center" vertical="center"/>
    </xf>
    <xf numFmtId="49" fontId="6" fillId="2" borderId="19" xfId="2" applyNumberFormat="1" applyFont="1" applyFill="1" applyBorder="1" applyAlignment="1">
      <alignment horizontal="center" vertical="center"/>
    </xf>
    <xf numFmtId="49" fontId="6" fillId="2" borderId="34" xfId="2" applyNumberFormat="1" applyFont="1" applyFill="1" applyBorder="1" applyAlignment="1">
      <alignment horizontal="center" vertical="center"/>
    </xf>
    <xf numFmtId="0" fontId="7" fillId="6" borderId="1" xfId="2" applyFont="1" applyFill="1" applyBorder="1" applyAlignment="1">
      <alignment horizontal="center" vertical="center" wrapText="1"/>
    </xf>
    <xf numFmtId="49" fontId="7" fillId="0" borderId="1" xfId="18" applyNumberFormat="1" applyFont="1" applyFill="1" applyBorder="1" applyAlignment="1">
      <alignment horizontal="justify" vertical="center" wrapText="1"/>
    </xf>
    <xf numFmtId="49" fontId="6" fillId="2" borderId="21" xfId="2" applyNumberFormat="1" applyFont="1" applyFill="1" applyBorder="1" applyAlignment="1">
      <alignment horizontal="center" vertical="center" wrapText="1"/>
    </xf>
    <xf numFmtId="49" fontId="6" fillId="2" borderId="32" xfId="2" applyNumberFormat="1" applyFont="1" applyFill="1" applyBorder="1" applyAlignment="1">
      <alignment horizontal="center" vertical="center" wrapText="1"/>
    </xf>
    <xf numFmtId="49" fontId="6" fillId="2" borderId="22" xfId="2" applyNumberFormat="1" applyFont="1" applyFill="1" applyBorder="1" applyAlignment="1">
      <alignment horizontal="center" vertical="center" wrapText="1"/>
    </xf>
    <xf numFmtId="49" fontId="6" fillId="2" borderId="30" xfId="2" applyNumberFormat="1" applyFont="1" applyFill="1" applyBorder="1" applyAlignment="1">
      <alignment horizontal="center" vertical="center" wrapText="1"/>
    </xf>
    <xf numFmtId="0" fontId="6" fillId="2" borderId="23" xfId="2" applyFont="1" applyFill="1" applyBorder="1" applyAlignment="1">
      <alignment horizontal="center" vertical="center" wrapText="1"/>
    </xf>
    <xf numFmtId="0" fontId="6" fillId="2" borderId="28" xfId="2" applyFont="1" applyFill="1" applyBorder="1" applyAlignment="1">
      <alignment horizontal="center" vertical="center" wrapText="1"/>
    </xf>
    <xf numFmtId="49" fontId="6" fillId="2" borderId="18" xfId="2" applyNumberFormat="1" applyFont="1" applyFill="1" applyBorder="1" applyAlignment="1">
      <alignment horizontal="center" vertical="center"/>
    </xf>
    <xf numFmtId="49" fontId="6" fillId="2" borderId="27" xfId="2" applyNumberFormat="1" applyFont="1" applyFill="1" applyBorder="1" applyAlignment="1">
      <alignment horizontal="center" vertical="center"/>
    </xf>
    <xf numFmtId="49" fontId="6" fillId="2" borderId="22" xfId="2" applyNumberFormat="1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center" vertical="center" wrapText="1"/>
    </xf>
    <xf numFmtId="0" fontId="6" fillId="2" borderId="13" xfId="2" applyFont="1" applyFill="1" applyBorder="1" applyAlignment="1">
      <alignment horizontal="center" vertical="center" wrapText="1"/>
    </xf>
    <xf numFmtId="0" fontId="6" fillId="2" borderId="14" xfId="2" applyFont="1" applyFill="1" applyBorder="1" applyAlignment="1">
      <alignment horizontal="center" vertical="center" wrapText="1"/>
    </xf>
    <xf numFmtId="49" fontId="6" fillId="2" borderId="15" xfId="2" applyNumberFormat="1" applyFont="1" applyFill="1" applyBorder="1" applyAlignment="1">
      <alignment horizontal="center" vertical="center" wrapText="1"/>
    </xf>
    <xf numFmtId="49" fontId="6" fillId="2" borderId="24" xfId="2" applyNumberFormat="1" applyFont="1" applyFill="1" applyBorder="1" applyAlignment="1">
      <alignment horizontal="center" vertical="center" wrapText="1"/>
    </xf>
    <xf numFmtId="49" fontId="6" fillId="2" borderId="33" xfId="2" applyNumberFormat="1" applyFont="1" applyFill="1" applyBorder="1" applyAlignment="1">
      <alignment horizontal="center" vertical="center" wrapText="1"/>
    </xf>
    <xf numFmtId="49" fontId="6" fillId="2" borderId="16" xfId="2" applyNumberFormat="1" applyFont="1" applyFill="1" applyBorder="1" applyAlignment="1">
      <alignment horizontal="center" vertical="center" wrapText="1"/>
    </xf>
    <xf numFmtId="49" fontId="6" fillId="2" borderId="25" xfId="2" applyNumberFormat="1" applyFont="1" applyFill="1" applyBorder="1" applyAlignment="1">
      <alignment horizontal="center" vertical="center" wrapText="1"/>
    </xf>
    <xf numFmtId="0" fontId="6" fillId="3" borderId="15" xfId="2" applyFont="1" applyFill="1" applyBorder="1" applyAlignment="1">
      <alignment horizontal="center" vertical="center" wrapText="1"/>
    </xf>
    <xf numFmtId="0" fontId="6" fillId="3" borderId="24" xfId="2" applyFont="1" applyFill="1" applyBorder="1" applyAlignment="1">
      <alignment horizontal="center" vertical="center" wrapText="1"/>
    </xf>
    <xf numFmtId="0" fontId="6" fillId="3" borderId="33" xfId="2" applyFont="1" applyFill="1" applyBorder="1" applyAlignment="1">
      <alignment horizontal="center" vertical="center" wrapText="1"/>
    </xf>
    <xf numFmtId="0" fontId="6" fillId="2" borderId="16" xfId="2" applyFont="1" applyFill="1" applyBorder="1" applyAlignment="1">
      <alignment horizontal="center" vertical="center" wrapText="1"/>
    </xf>
    <xf numFmtId="0" fontId="6" fillId="2" borderId="25" xfId="2" applyFont="1" applyFill="1" applyBorder="1" applyAlignment="1">
      <alignment horizontal="center" vertical="center" wrapText="1"/>
    </xf>
    <xf numFmtId="0" fontId="6" fillId="2" borderId="20" xfId="2" applyFont="1" applyFill="1" applyBorder="1" applyAlignment="1">
      <alignment horizontal="center" vertical="center" wrapText="1"/>
    </xf>
    <xf numFmtId="0" fontId="6" fillId="2" borderId="31" xfId="2" applyFont="1" applyFill="1" applyBorder="1" applyAlignment="1">
      <alignment horizontal="center" vertical="center" wrapText="1"/>
    </xf>
    <xf numFmtId="0" fontId="6" fillId="2" borderId="17" xfId="2" applyFont="1" applyFill="1" applyBorder="1" applyAlignment="1">
      <alignment horizontal="center" vertical="center" wrapText="1"/>
    </xf>
    <xf numFmtId="0" fontId="6" fillId="2" borderId="26" xfId="2" applyFont="1" applyFill="1" applyBorder="1" applyAlignment="1">
      <alignment horizontal="center" vertical="center" wrapText="1"/>
    </xf>
    <xf numFmtId="49" fontId="6" fillId="2" borderId="18" xfId="2" applyNumberFormat="1" applyFont="1" applyFill="1" applyBorder="1" applyAlignment="1">
      <alignment horizontal="center" vertical="center" wrapText="1"/>
    </xf>
    <xf numFmtId="49" fontId="6" fillId="2" borderId="19" xfId="2" applyNumberFormat="1" applyFont="1" applyFill="1" applyBorder="1" applyAlignment="1">
      <alignment horizontal="center" vertical="center" wrapText="1"/>
    </xf>
    <xf numFmtId="49" fontId="6" fillId="2" borderId="28" xfId="2" applyNumberFormat="1" applyFont="1" applyFill="1" applyBorder="1" applyAlignment="1">
      <alignment horizontal="center" vertical="center"/>
    </xf>
    <xf numFmtId="49" fontId="6" fillId="2" borderId="36" xfId="2" applyNumberFormat="1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 wrapText="1"/>
    </xf>
    <xf numFmtId="0" fontId="6" fillId="2" borderId="37" xfId="2" applyFont="1" applyFill="1" applyBorder="1" applyAlignment="1">
      <alignment horizontal="center" vertical="center" wrapText="1"/>
    </xf>
    <xf numFmtId="0" fontId="6" fillId="2" borderId="30" xfId="2" applyFont="1" applyFill="1" applyBorder="1" applyAlignment="1">
      <alignment horizontal="center" vertical="center" wrapText="1"/>
    </xf>
    <xf numFmtId="0" fontId="6" fillId="2" borderId="38" xfId="2" applyFont="1" applyFill="1" applyBorder="1" applyAlignment="1">
      <alignment horizontal="center" vertical="center" wrapText="1"/>
    </xf>
    <xf numFmtId="0" fontId="6" fillId="2" borderId="36" xfId="2" applyFont="1" applyFill="1" applyBorder="1" applyAlignment="1">
      <alignment horizontal="center" vertical="center" wrapText="1"/>
    </xf>
    <xf numFmtId="1" fontId="7" fillId="0" borderId="0" xfId="621" applyNumberFormat="1" applyFont="1" applyAlignment="1">
      <alignment horizontal="center"/>
    </xf>
    <xf numFmtId="3" fontId="7" fillId="0" borderId="5" xfId="621" applyNumberFormat="1" applyFont="1" applyFill="1" applyBorder="1" applyAlignment="1">
      <alignment horizontal="center" vertical="center" wrapText="1"/>
    </xf>
    <xf numFmtId="3" fontId="7" fillId="0" borderId="7" xfId="621" applyNumberFormat="1" applyFont="1" applyFill="1" applyBorder="1" applyAlignment="1">
      <alignment horizontal="center" vertical="center" wrapText="1"/>
    </xf>
    <xf numFmtId="0" fontId="7" fillId="0" borderId="7" xfId="621" applyFont="1" applyBorder="1" applyAlignment="1">
      <alignment horizontal="justify" vertical="center" wrapText="1"/>
    </xf>
    <xf numFmtId="0" fontId="7" fillId="6" borderId="5" xfId="621" applyFont="1" applyFill="1" applyBorder="1" applyAlignment="1">
      <alignment horizontal="justify" vertical="center" wrapText="1"/>
    </xf>
    <xf numFmtId="0" fontId="7" fillId="6" borderId="7" xfId="621" applyFont="1" applyFill="1" applyBorder="1" applyAlignment="1">
      <alignment horizontal="justify" vertical="center" wrapText="1"/>
    </xf>
    <xf numFmtId="49" fontId="7" fillId="0" borderId="5" xfId="621" applyNumberFormat="1" applyFont="1" applyFill="1" applyBorder="1" applyAlignment="1">
      <alignment horizontal="justify" vertical="center" wrapText="1"/>
    </xf>
    <xf numFmtId="49" fontId="7" fillId="0" borderId="7" xfId="621" applyNumberFormat="1" applyFont="1" applyFill="1" applyBorder="1" applyAlignment="1">
      <alignment horizontal="justify" vertical="center" wrapText="1"/>
    </xf>
    <xf numFmtId="0" fontId="6" fillId="0" borderId="0" xfId="621" applyFont="1" applyFill="1" applyBorder="1" applyAlignment="1">
      <alignment horizontal="left" vertical="center"/>
    </xf>
  </cellXfs>
  <cellStyles count="1552">
    <cellStyle name="20% - Énfasis1 2" xfId="21"/>
    <cellStyle name="20% - Énfasis2 2" xfId="22"/>
    <cellStyle name="20% - Énfasis3 2" xfId="23"/>
    <cellStyle name="20% - Énfasis4 2" xfId="24"/>
    <cellStyle name="20% - Énfasis5 2" xfId="25"/>
    <cellStyle name="20% - Énfasis6 2" xfId="26"/>
    <cellStyle name="40% - Énfasis1 2" xfId="27"/>
    <cellStyle name="40% - Énfasis2 2" xfId="28"/>
    <cellStyle name="40% - Énfasis3 2" xfId="29"/>
    <cellStyle name="40% - Énfasis4 2" xfId="30"/>
    <cellStyle name="40% - Énfasis5 2" xfId="31"/>
    <cellStyle name="40% - Énfasis6 2" xfId="32"/>
    <cellStyle name="60% - Énfasis1 2" xfId="33"/>
    <cellStyle name="60% - Énfasis2 2" xfId="34"/>
    <cellStyle name="60% - Énfasis3 2" xfId="35"/>
    <cellStyle name="60% - Énfasis4 2" xfId="36"/>
    <cellStyle name="60% - Énfasis5 2" xfId="37"/>
    <cellStyle name="60% - Énfasis6 2" xfId="38"/>
    <cellStyle name="Accent1 - 20%" xfId="77"/>
    <cellStyle name="Accent1 2" xfId="78"/>
    <cellStyle name="Buena 2" xfId="39"/>
    <cellStyle name="Cálculo 2" xfId="40"/>
    <cellStyle name="Celda de comprobación 2" xfId="41"/>
    <cellStyle name="Celda vinculada 2" xfId="42"/>
    <cellStyle name="Comma 2" xfId="79"/>
    <cellStyle name="Comma0" xfId="80"/>
    <cellStyle name="Currency0" xfId="81"/>
    <cellStyle name="Encabezado 4 2" xfId="43"/>
    <cellStyle name="Énfasis1 2" xfId="44"/>
    <cellStyle name="Énfasis2 2" xfId="45"/>
    <cellStyle name="Énfasis3 2" xfId="46"/>
    <cellStyle name="Énfasis4 2" xfId="47"/>
    <cellStyle name="Énfasis5 2" xfId="48"/>
    <cellStyle name="Énfasis6 2" xfId="49"/>
    <cellStyle name="Entrada 2" xfId="50"/>
    <cellStyle name="Euro" xfId="82"/>
    <cellStyle name="Fecha" xfId="83"/>
    <cellStyle name="Fixed" xfId="84"/>
    <cellStyle name="Heading 1" xfId="85"/>
    <cellStyle name="Heading 2" xfId="86"/>
    <cellStyle name="Hipervínculo 2" xfId="87"/>
    <cellStyle name="Hipervínculo 3" xfId="88"/>
    <cellStyle name="Incorrecto 2" xfId="51"/>
    <cellStyle name="Millares 10" xfId="89"/>
    <cellStyle name="Millares 11" xfId="90"/>
    <cellStyle name="Millares 12" xfId="91"/>
    <cellStyle name="Millares 13" xfId="1544"/>
    <cellStyle name="Millares 2" xfId="6"/>
    <cellStyle name="Millares 2 10" xfId="92"/>
    <cellStyle name="Millares 2 10 2" xfId="93"/>
    <cellStyle name="Millares 2 10 2 2" xfId="94"/>
    <cellStyle name="Millares 2 10 3" xfId="95"/>
    <cellStyle name="Millares 2 11" xfId="96"/>
    <cellStyle name="Millares 2 11 2" xfId="97"/>
    <cellStyle name="Millares 2 11 2 2" xfId="98"/>
    <cellStyle name="Millares 2 11 3" xfId="99"/>
    <cellStyle name="Millares 2 12" xfId="100"/>
    <cellStyle name="Millares 2 12 2" xfId="101"/>
    <cellStyle name="Millares 2 12 2 2" xfId="102"/>
    <cellStyle name="Millares 2 12 3" xfId="103"/>
    <cellStyle name="Millares 2 13" xfId="104"/>
    <cellStyle name="Millares 2 13 2" xfId="105"/>
    <cellStyle name="Millares 2 14" xfId="106"/>
    <cellStyle name="Millares 2 15" xfId="107"/>
    <cellStyle name="Millares 2 16" xfId="108"/>
    <cellStyle name="Millares 2 2" xfId="18"/>
    <cellStyle name="Millares 2 2 2" xfId="52"/>
    <cellStyle name="Millares 2 2 2 2" xfId="109"/>
    <cellStyle name="Millares 2 2 3" xfId="110"/>
    <cellStyle name="Millares 2 3" xfId="111"/>
    <cellStyle name="Millares 2 3 2" xfId="112"/>
    <cellStyle name="Millares 2 3 2 2" xfId="113"/>
    <cellStyle name="Millares 2 3 3" xfId="114"/>
    <cellStyle name="Millares 2 4" xfId="115"/>
    <cellStyle name="Millares 2 4 2" xfId="116"/>
    <cellStyle name="Millares 2 4 2 2" xfId="117"/>
    <cellStyle name="Millares 2 4 3" xfId="118"/>
    <cellStyle name="Millares 2 5" xfId="119"/>
    <cellStyle name="Millares 2 5 2" xfId="120"/>
    <cellStyle name="Millares 2 5 2 2" xfId="121"/>
    <cellStyle name="Millares 2 5 3" xfId="122"/>
    <cellStyle name="Millares 2 6" xfId="123"/>
    <cellStyle name="Millares 2 6 2" xfId="124"/>
    <cellStyle name="Millares 2 6 2 2" xfId="125"/>
    <cellStyle name="Millares 2 6 3" xfId="126"/>
    <cellStyle name="Millares 2 7" xfId="127"/>
    <cellStyle name="Millares 2 7 2" xfId="128"/>
    <cellStyle name="Millares 2 7 2 2" xfId="129"/>
    <cellStyle name="Millares 2 7 3" xfId="130"/>
    <cellStyle name="Millares 2 8" xfId="131"/>
    <cellStyle name="Millares 2 8 2" xfId="132"/>
    <cellStyle name="Millares 2 8 2 2" xfId="133"/>
    <cellStyle name="Millares 2 8 3" xfId="134"/>
    <cellStyle name="Millares 2 9" xfId="135"/>
    <cellStyle name="Millares 2 9 2" xfId="136"/>
    <cellStyle name="Millares 2 9 2 2" xfId="137"/>
    <cellStyle name="Millares 2 9 3" xfId="138"/>
    <cellStyle name="Millares 3" xfId="53"/>
    <cellStyle name="Millares 3 2" xfId="54"/>
    <cellStyle name="Millares 3 3" xfId="139"/>
    <cellStyle name="Millares 4" xfId="140"/>
    <cellStyle name="Millares 4 2" xfId="141"/>
    <cellStyle name="Millares 48" xfId="142"/>
    <cellStyle name="Millares 48 10" xfId="143"/>
    <cellStyle name="Millares 48 10 2" xfId="144"/>
    <cellStyle name="Millares 48 10 2 2" xfId="145"/>
    <cellStyle name="Millares 48 10 3" xfId="146"/>
    <cellStyle name="Millares 48 11" xfId="147"/>
    <cellStyle name="Millares 48 11 2" xfId="148"/>
    <cellStyle name="Millares 48 11 2 2" xfId="149"/>
    <cellStyle name="Millares 48 11 3" xfId="150"/>
    <cellStyle name="Millares 48 12" xfId="151"/>
    <cellStyle name="Millares 48 12 2" xfId="152"/>
    <cellStyle name="Millares 48 12 2 2" xfId="153"/>
    <cellStyle name="Millares 48 12 3" xfId="154"/>
    <cellStyle name="Millares 48 13" xfId="155"/>
    <cellStyle name="Millares 48 13 2" xfId="156"/>
    <cellStyle name="Millares 48 13 2 2" xfId="157"/>
    <cellStyle name="Millares 48 13 3" xfId="158"/>
    <cellStyle name="Millares 48 14" xfId="159"/>
    <cellStyle name="Millares 48 14 2" xfId="160"/>
    <cellStyle name="Millares 48 14 2 2" xfId="161"/>
    <cellStyle name="Millares 48 14 3" xfId="162"/>
    <cellStyle name="Millares 48 15" xfId="163"/>
    <cellStyle name="Millares 48 15 2" xfId="164"/>
    <cellStyle name="Millares 48 16" xfId="165"/>
    <cellStyle name="Millares 48 2" xfId="166"/>
    <cellStyle name="Millares 48 2 2" xfId="167"/>
    <cellStyle name="Millares 48 2 2 2" xfId="168"/>
    <cellStyle name="Millares 48 2 3" xfId="169"/>
    <cellStyle name="Millares 48 3" xfId="170"/>
    <cellStyle name="Millares 48 3 2" xfId="171"/>
    <cellStyle name="Millares 48 3 2 2" xfId="172"/>
    <cellStyle name="Millares 48 3 3" xfId="173"/>
    <cellStyle name="Millares 48 4" xfId="174"/>
    <cellStyle name="Millares 48 4 2" xfId="175"/>
    <cellStyle name="Millares 48 4 2 2" xfId="176"/>
    <cellStyle name="Millares 48 4 3" xfId="177"/>
    <cellStyle name="Millares 48 5" xfId="178"/>
    <cellStyle name="Millares 48 5 2" xfId="179"/>
    <cellStyle name="Millares 48 5 2 2" xfId="180"/>
    <cellStyle name="Millares 48 5 3" xfId="181"/>
    <cellStyle name="Millares 48 6" xfId="182"/>
    <cellStyle name="Millares 48 6 2" xfId="183"/>
    <cellStyle name="Millares 48 6 2 2" xfId="184"/>
    <cellStyle name="Millares 48 6 3" xfId="185"/>
    <cellStyle name="Millares 48 7" xfId="186"/>
    <cellStyle name="Millares 48 7 2" xfId="187"/>
    <cellStyle name="Millares 48 7 2 2" xfId="188"/>
    <cellStyle name="Millares 48 7 3" xfId="189"/>
    <cellStyle name="Millares 48 8" xfId="190"/>
    <cellStyle name="Millares 48 8 2" xfId="191"/>
    <cellStyle name="Millares 48 8 2 2" xfId="192"/>
    <cellStyle name="Millares 48 8 3" xfId="193"/>
    <cellStyle name="Millares 48 9" xfId="194"/>
    <cellStyle name="Millares 48 9 2" xfId="195"/>
    <cellStyle name="Millares 48 9 2 2" xfId="196"/>
    <cellStyle name="Millares 48 9 3" xfId="197"/>
    <cellStyle name="Millares 5" xfId="198"/>
    <cellStyle name="Millares 6" xfId="199"/>
    <cellStyle name="Millares 7" xfId="200"/>
    <cellStyle name="Millares 8" xfId="201"/>
    <cellStyle name="Millares 9" xfId="202"/>
    <cellStyle name="Moneda 2" xfId="7"/>
    <cellStyle name="Moneda 2 10" xfId="203"/>
    <cellStyle name="Moneda 2 10 2" xfId="204"/>
    <cellStyle name="Moneda 2 10 2 2" xfId="205"/>
    <cellStyle name="Moneda 2 10 3" xfId="206"/>
    <cellStyle name="Moneda 2 11" xfId="207"/>
    <cellStyle name="Moneda 2 11 2" xfId="208"/>
    <cellStyle name="Moneda 2 11 2 2" xfId="209"/>
    <cellStyle name="Moneda 2 11 3" xfId="210"/>
    <cellStyle name="Moneda 2 12" xfId="211"/>
    <cellStyle name="Moneda 2 12 2" xfId="212"/>
    <cellStyle name="Moneda 2 12 2 2" xfId="213"/>
    <cellStyle name="Moneda 2 12 3" xfId="214"/>
    <cellStyle name="Moneda 2 13" xfId="215"/>
    <cellStyle name="Moneda 2 13 2" xfId="216"/>
    <cellStyle name="Moneda 2 13 2 2" xfId="217"/>
    <cellStyle name="Moneda 2 13 3" xfId="218"/>
    <cellStyle name="Moneda 2 14" xfId="219"/>
    <cellStyle name="Moneda 2 14 2" xfId="220"/>
    <cellStyle name="Moneda 2 14 2 2" xfId="221"/>
    <cellStyle name="Moneda 2 14 3" xfId="222"/>
    <cellStyle name="Moneda 2 15" xfId="223"/>
    <cellStyle name="Moneda 2 15 2" xfId="224"/>
    <cellStyle name="Moneda 2 15 2 2" xfId="225"/>
    <cellStyle name="Moneda 2 15 3" xfId="226"/>
    <cellStyle name="Moneda 2 16" xfId="227"/>
    <cellStyle name="Moneda 2 16 2" xfId="228"/>
    <cellStyle name="Moneda 2 16 2 2" xfId="229"/>
    <cellStyle name="Moneda 2 16 3" xfId="230"/>
    <cellStyle name="Moneda 2 17" xfId="231"/>
    <cellStyle name="Moneda 2 17 2" xfId="232"/>
    <cellStyle name="Moneda 2 17 2 2" xfId="233"/>
    <cellStyle name="Moneda 2 17 3" xfId="234"/>
    <cellStyle name="Moneda 2 18" xfId="235"/>
    <cellStyle name="Moneda 2 18 2" xfId="236"/>
    <cellStyle name="Moneda 2 19" xfId="237"/>
    <cellStyle name="Moneda 2 2" xfId="8"/>
    <cellStyle name="Moneda 2 2 2" xfId="238"/>
    <cellStyle name="Moneda 2 2 3" xfId="1531"/>
    <cellStyle name="Moneda 2 3" xfId="55"/>
    <cellStyle name="Moneda 2 3 10" xfId="239"/>
    <cellStyle name="Moneda 2 3 10 2" xfId="240"/>
    <cellStyle name="Moneda 2 3 10 2 2" xfId="241"/>
    <cellStyle name="Moneda 2 3 10 3" xfId="242"/>
    <cellStyle name="Moneda 2 3 11" xfId="243"/>
    <cellStyle name="Moneda 2 3 11 2" xfId="244"/>
    <cellStyle name="Moneda 2 3 11 2 2" xfId="245"/>
    <cellStyle name="Moneda 2 3 11 3" xfId="246"/>
    <cellStyle name="Moneda 2 3 12" xfId="247"/>
    <cellStyle name="Moneda 2 3 12 2" xfId="248"/>
    <cellStyle name="Moneda 2 3 12 2 2" xfId="249"/>
    <cellStyle name="Moneda 2 3 12 3" xfId="250"/>
    <cellStyle name="Moneda 2 3 13" xfId="251"/>
    <cellStyle name="Moneda 2 3 13 2" xfId="252"/>
    <cellStyle name="Moneda 2 3 13 2 2" xfId="253"/>
    <cellStyle name="Moneda 2 3 13 3" xfId="254"/>
    <cellStyle name="Moneda 2 3 14" xfId="255"/>
    <cellStyle name="Moneda 2 3 14 2" xfId="256"/>
    <cellStyle name="Moneda 2 3 15" xfId="257"/>
    <cellStyle name="Moneda 2 3 2" xfId="258"/>
    <cellStyle name="Moneda 2 3 3" xfId="259"/>
    <cellStyle name="Moneda 2 3 3 2" xfId="260"/>
    <cellStyle name="Moneda 2 3 3 2 2" xfId="261"/>
    <cellStyle name="Moneda 2 3 3 3" xfId="262"/>
    <cellStyle name="Moneda 2 3 4" xfId="263"/>
    <cellStyle name="Moneda 2 3 4 2" xfId="264"/>
    <cellStyle name="Moneda 2 3 4 2 2" xfId="265"/>
    <cellStyle name="Moneda 2 3 4 3" xfId="266"/>
    <cellStyle name="Moneda 2 3 5" xfId="267"/>
    <cellStyle name="Moneda 2 3 5 2" xfId="268"/>
    <cellStyle name="Moneda 2 3 5 2 2" xfId="269"/>
    <cellStyle name="Moneda 2 3 5 3" xfId="270"/>
    <cellStyle name="Moneda 2 3 6" xfId="271"/>
    <cellStyle name="Moneda 2 3 6 2" xfId="272"/>
    <cellStyle name="Moneda 2 3 6 2 2" xfId="273"/>
    <cellStyle name="Moneda 2 3 6 3" xfId="274"/>
    <cellStyle name="Moneda 2 3 7" xfId="275"/>
    <cellStyle name="Moneda 2 3 7 2" xfId="276"/>
    <cellStyle name="Moneda 2 3 7 2 2" xfId="277"/>
    <cellStyle name="Moneda 2 3 7 3" xfId="278"/>
    <cellStyle name="Moneda 2 3 8" xfId="279"/>
    <cellStyle name="Moneda 2 3 8 2" xfId="280"/>
    <cellStyle name="Moneda 2 3 8 2 2" xfId="281"/>
    <cellStyle name="Moneda 2 3 8 3" xfId="282"/>
    <cellStyle name="Moneda 2 3 9" xfId="283"/>
    <cellStyle name="Moneda 2 3 9 2" xfId="284"/>
    <cellStyle name="Moneda 2 3 9 2 2" xfId="285"/>
    <cellStyle name="Moneda 2 3 9 3" xfId="286"/>
    <cellStyle name="Moneda 2 4" xfId="287"/>
    <cellStyle name="Moneda 2 4 10" xfId="288"/>
    <cellStyle name="Moneda 2 4 10 2" xfId="289"/>
    <cellStyle name="Moneda 2 4 10 2 2" xfId="290"/>
    <cellStyle name="Moneda 2 4 10 3" xfId="291"/>
    <cellStyle name="Moneda 2 4 11" xfId="292"/>
    <cellStyle name="Moneda 2 4 11 2" xfId="293"/>
    <cellStyle name="Moneda 2 4 11 2 2" xfId="294"/>
    <cellStyle name="Moneda 2 4 11 3" xfId="295"/>
    <cellStyle name="Moneda 2 4 12" xfId="296"/>
    <cellStyle name="Moneda 2 4 12 2" xfId="297"/>
    <cellStyle name="Moneda 2 4 12 2 2" xfId="298"/>
    <cellStyle name="Moneda 2 4 12 3" xfId="299"/>
    <cellStyle name="Moneda 2 4 13" xfId="300"/>
    <cellStyle name="Moneda 2 4 13 2" xfId="301"/>
    <cellStyle name="Moneda 2 4 13 2 2" xfId="302"/>
    <cellStyle name="Moneda 2 4 13 3" xfId="303"/>
    <cellStyle name="Moneda 2 4 14" xfId="304"/>
    <cellStyle name="Moneda 2 4 14 2" xfId="305"/>
    <cellStyle name="Moneda 2 4 14 2 2" xfId="306"/>
    <cellStyle name="Moneda 2 4 14 3" xfId="307"/>
    <cellStyle name="Moneda 2 4 15" xfId="308"/>
    <cellStyle name="Moneda 2 4 15 2" xfId="309"/>
    <cellStyle name="Moneda 2 4 16" xfId="310"/>
    <cellStyle name="Moneda 2 4 2" xfId="311"/>
    <cellStyle name="Moneda 2 4 2 10" xfId="312"/>
    <cellStyle name="Moneda 2 4 2 10 2" xfId="313"/>
    <cellStyle name="Moneda 2 4 2 10 2 2" xfId="314"/>
    <cellStyle name="Moneda 2 4 2 10 3" xfId="315"/>
    <cellStyle name="Moneda 2 4 2 11" xfId="316"/>
    <cellStyle name="Moneda 2 4 2 11 2" xfId="317"/>
    <cellStyle name="Moneda 2 4 2 11 2 2" xfId="318"/>
    <cellStyle name="Moneda 2 4 2 11 3" xfId="319"/>
    <cellStyle name="Moneda 2 4 2 12" xfId="320"/>
    <cellStyle name="Moneda 2 4 2 12 2" xfId="321"/>
    <cellStyle name="Moneda 2 4 2 12 2 2" xfId="322"/>
    <cellStyle name="Moneda 2 4 2 12 3" xfId="323"/>
    <cellStyle name="Moneda 2 4 2 13" xfId="324"/>
    <cellStyle name="Moneda 2 4 2 13 2" xfId="325"/>
    <cellStyle name="Moneda 2 4 2 13 2 2" xfId="326"/>
    <cellStyle name="Moneda 2 4 2 13 3" xfId="327"/>
    <cellStyle name="Moneda 2 4 2 14" xfId="328"/>
    <cellStyle name="Moneda 2 4 2 14 2" xfId="329"/>
    <cellStyle name="Moneda 2 4 2 14 2 2" xfId="330"/>
    <cellStyle name="Moneda 2 4 2 14 3" xfId="331"/>
    <cellStyle name="Moneda 2 4 2 15" xfId="332"/>
    <cellStyle name="Moneda 2 4 2 15 2" xfId="333"/>
    <cellStyle name="Moneda 2 4 2 15 2 2" xfId="334"/>
    <cellStyle name="Moneda 2 4 2 15 3" xfId="335"/>
    <cellStyle name="Moneda 2 4 2 16" xfId="336"/>
    <cellStyle name="Moneda 2 4 2 16 2" xfId="337"/>
    <cellStyle name="Moneda 2 4 2 17" xfId="338"/>
    <cellStyle name="Moneda 2 4 2 2" xfId="339"/>
    <cellStyle name="Moneda 2 4 2 2 10" xfId="340"/>
    <cellStyle name="Moneda 2 4 2 2 11" xfId="341"/>
    <cellStyle name="Moneda 2 4 2 2 12" xfId="342"/>
    <cellStyle name="Moneda 2 4 2 2 13" xfId="343"/>
    <cellStyle name="Moneda 2 4 2 2 14" xfId="344"/>
    <cellStyle name="Moneda 2 4 2 2 15" xfId="345"/>
    <cellStyle name="Moneda 2 4 2 2 15 2" xfId="346"/>
    <cellStyle name="Moneda 2 4 2 2 16" xfId="347"/>
    <cellStyle name="Moneda 2 4 2 2 2" xfId="348"/>
    <cellStyle name="Moneda 2 4 2 2 3" xfId="349"/>
    <cellStyle name="Moneda 2 4 2 2 4" xfId="350"/>
    <cellStyle name="Moneda 2 4 2 2 5" xfId="351"/>
    <cellStyle name="Moneda 2 4 2 2 6" xfId="352"/>
    <cellStyle name="Moneda 2 4 2 2 7" xfId="353"/>
    <cellStyle name="Moneda 2 4 2 2 8" xfId="354"/>
    <cellStyle name="Moneda 2 4 2 2 9" xfId="355"/>
    <cellStyle name="Moneda 2 4 2 3" xfId="356"/>
    <cellStyle name="Moneda 2 4 2 3 10" xfId="357"/>
    <cellStyle name="Moneda 2 4 2 3 10 2" xfId="358"/>
    <cellStyle name="Moneda 2 4 2 3 10 2 2" xfId="359"/>
    <cellStyle name="Moneda 2 4 2 3 10 3" xfId="360"/>
    <cellStyle name="Moneda 2 4 2 3 11" xfId="361"/>
    <cellStyle name="Moneda 2 4 2 3 11 2" xfId="362"/>
    <cellStyle name="Moneda 2 4 2 3 11 2 2" xfId="363"/>
    <cellStyle name="Moneda 2 4 2 3 11 3" xfId="364"/>
    <cellStyle name="Moneda 2 4 2 3 12" xfId="365"/>
    <cellStyle name="Moneda 2 4 2 3 12 2" xfId="366"/>
    <cellStyle name="Moneda 2 4 2 3 12 2 2" xfId="367"/>
    <cellStyle name="Moneda 2 4 2 3 12 3" xfId="368"/>
    <cellStyle name="Moneda 2 4 2 3 13" xfId="369"/>
    <cellStyle name="Moneda 2 4 2 3 13 2" xfId="370"/>
    <cellStyle name="Moneda 2 4 2 3 14" xfId="371"/>
    <cellStyle name="Moneda 2 4 2 3 2" xfId="372"/>
    <cellStyle name="Moneda 2 4 2 3 2 2" xfId="373"/>
    <cellStyle name="Moneda 2 4 2 3 2 2 2" xfId="374"/>
    <cellStyle name="Moneda 2 4 2 3 2 3" xfId="375"/>
    <cellStyle name="Moneda 2 4 2 3 3" xfId="376"/>
    <cellStyle name="Moneda 2 4 2 3 3 2" xfId="377"/>
    <cellStyle name="Moneda 2 4 2 3 3 2 2" xfId="378"/>
    <cellStyle name="Moneda 2 4 2 3 3 3" xfId="379"/>
    <cellStyle name="Moneda 2 4 2 3 4" xfId="380"/>
    <cellStyle name="Moneda 2 4 2 3 4 2" xfId="381"/>
    <cellStyle name="Moneda 2 4 2 3 4 2 2" xfId="382"/>
    <cellStyle name="Moneda 2 4 2 3 4 3" xfId="383"/>
    <cellStyle name="Moneda 2 4 2 3 5" xfId="384"/>
    <cellStyle name="Moneda 2 4 2 3 5 2" xfId="385"/>
    <cellStyle name="Moneda 2 4 2 3 5 2 2" xfId="386"/>
    <cellStyle name="Moneda 2 4 2 3 5 3" xfId="387"/>
    <cellStyle name="Moneda 2 4 2 3 6" xfId="388"/>
    <cellStyle name="Moneda 2 4 2 3 6 2" xfId="389"/>
    <cellStyle name="Moneda 2 4 2 3 6 2 2" xfId="390"/>
    <cellStyle name="Moneda 2 4 2 3 6 3" xfId="391"/>
    <cellStyle name="Moneda 2 4 2 3 7" xfId="392"/>
    <cellStyle name="Moneda 2 4 2 3 7 2" xfId="393"/>
    <cellStyle name="Moneda 2 4 2 3 7 2 2" xfId="394"/>
    <cellStyle name="Moneda 2 4 2 3 7 3" xfId="395"/>
    <cellStyle name="Moneda 2 4 2 3 8" xfId="396"/>
    <cellStyle name="Moneda 2 4 2 3 8 2" xfId="397"/>
    <cellStyle name="Moneda 2 4 2 3 8 2 2" xfId="398"/>
    <cellStyle name="Moneda 2 4 2 3 8 3" xfId="399"/>
    <cellStyle name="Moneda 2 4 2 3 9" xfId="400"/>
    <cellStyle name="Moneda 2 4 2 3 9 2" xfId="401"/>
    <cellStyle name="Moneda 2 4 2 3 9 2 2" xfId="402"/>
    <cellStyle name="Moneda 2 4 2 3 9 3" xfId="403"/>
    <cellStyle name="Moneda 2 4 2 4" xfId="404"/>
    <cellStyle name="Moneda 2 4 2 4 2" xfId="405"/>
    <cellStyle name="Moneda 2 4 2 4 2 2" xfId="406"/>
    <cellStyle name="Moneda 2 4 2 4 3" xfId="407"/>
    <cellStyle name="Moneda 2 4 2 5" xfId="408"/>
    <cellStyle name="Moneda 2 4 2 5 2" xfId="409"/>
    <cellStyle name="Moneda 2 4 2 5 2 2" xfId="410"/>
    <cellStyle name="Moneda 2 4 2 5 3" xfId="411"/>
    <cellStyle name="Moneda 2 4 2 6" xfId="412"/>
    <cellStyle name="Moneda 2 4 2 6 2" xfId="413"/>
    <cellStyle name="Moneda 2 4 2 6 2 2" xfId="414"/>
    <cellStyle name="Moneda 2 4 2 6 3" xfId="415"/>
    <cellStyle name="Moneda 2 4 2 7" xfId="416"/>
    <cellStyle name="Moneda 2 4 2 7 2" xfId="417"/>
    <cellStyle name="Moneda 2 4 2 7 2 2" xfId="418"/>
    <cellStyle name="Moneda 2 4 2 7 3" xfId="419"/>
    <cellStyle name="Moneda 2 4 2 8" xfId="420"/>
    <cellStyle name="Moneda 2 4 2 8 2" xfId="421"/>
    <cellStyle name="Moneda 2 4 2 8 2 2" xfId="422"/>
    <cellStyle name="Moneda 2 4 2 8 3" xfId="423"/>
    <cellStyle name="Moneda 2 4 2 9" xfId="424"/>
    <cellStyle name="Moneda 2 4 2 9 2" xfId="425"/>
    <cellStyle name="Moneda 2 4 2 9 2 2" xfId="426"/>
    <cellStyle name="Moneda 2 4 2 9 3" xfId="427"/>
    <cellStyle name="Moneda 2 4 3" xfId="428"/>
    <cellStyle name="Moneda 2 4 4" xfId="429"/>
    <cellStyle name="Moneda 2 4 4 2" xfId="430"/>
    <cellStyle name="Moneda 2 4 4 2 2" xfId="431"/>
    <cellStyle name="Moneda 2 4 4 3" xfId="432"/>
    <cellStyle name="Moneda 2 4 5" xfId="433"/>
    <cellStyle name="Moneda 2 4 5 2" xfId="434"/>
    <cellStyle name="Moneda 2 4 5 2 2" xfId="435"/>
    <cellStyle name="Moneda 2 4 5 3" xfId="436"/>
    <cellStyle name="Moneda 2 4 6" xfId="437"/>
    <cellStyle name="Moneda 2 4 6 2" xfId="438"/>
    <cellStyle name="Moneda 2 4 6 2 2" xfId="439"/>
    <cellStyle name="Moneda 2 4 6 3" xfId="440"/>
    <cellStyle name="Moneda 2 4 7" xfId="441"/>
    <cellStyle name="Moneda 2 4 7 2" xfId="442"/>
    <cellStyle name="Moneda 2 4 7 2 2" xfId="443"/>
    <cellStyle name="Moneda 2 4 7 3" xfId="444"/>
    <cellStyle name="Moneda 2 4 8" xfId="445"/>
    <cellStyle name="Moneda 2 4 8 2" xfId="446"/>
    <cellStyle name="Moneda 2 4 8 2 2" xfId="447"/>
    <cellStyle name="Moneda 2 4 8 3" xfId="448"/>
    <cellStyle name="Moneda 2 4 9" xfId="449"/>
    <cellStyle name="Moneda 2 4 9 2" xfId="450"/>
    <cellStyle name="Moneda 2 4 9 2 2" xfId="451"/>
    <cellStyle name="Moneda 2 4 9 3" xfId="452"/>
    <cellStyle name="Moneda 2 5" xfId="453"/>
    <cellStyle name="Moneda 2 5 10" xfId="454"/>
    <cellStyle name="Moneda 2 5 10 2" xfId="455"/>
    <cellStyle name="Moneda 2 5 10 2 2" xfId="456"/>
    <cellStyle name="Moneda 2 5 10 3" xfId="457"/>
    <cellStyle name="Moneda 2 5 11" xfId="458"/>
    <cellStyle name="Moneda 2 5 11 2" xfId="459"/>
    <cellStyle name="Moneda 2 5 11 2 2" xfId="460"/>
    <cellStyle name="Moneda 2 5 11 3" xfId="461"/>
    <cellStyle name="Moneda 2 5 12" xfId="462"/>
    <cellStyle name="Moneda 2 5 12 2" xfId="463"/>
    <cellStyle name="Moneda 2 5 12 2 2" xfId="464"/>
    <cellStyle name="Moneda 2 5 12 3" xfId="465"/>
    <cellStyle name="Moneda 2 5 13" xfId="466"/>
    <cellStyle name="Moneda 2 5 13 2" xfId="467"/>
    <cellStyle name="Moneda 2 5 14" xfId="468"/>
    <cellStyle name="Moneda 2 5 2" xfId="469"/>
    <cellStyle name="Moneda 2 5 2 2" xfId="470"/>
    <cellStyle name="Moneda 2 5 2 2 2" xfId="471"/>
    <cellStyle name="Moneda 2 5 2 3" xfId="472"/>
    <cellStyle name="Moneda 2 5 3" xfId="473"/>
    <cellStyle name="Moneda 2 5 3 2" xfId="474"/>
    <cellStyle name="Moneda 2 5 3 2 2" xfId="475"/>
    <cellStyle name="Moneda 2 5 3 3" xfId="476"/>
    <cellStyle name="Moneda 2 5 4" xfId="477"/>
    <cellStyle name="Moneda 2 5 4 2" xfId="478"/>
    <cellStyle name="Moneda 2 5 4 2 2" xfId="479"/>
    <cellStyle name="Moneda 2 5 4 3" xfId="480"/>
    <cellStyle name="Moneda 2 5 5" xfId="481"/>
    <cellStyle name="Moneda 2 5 5 2" xfId="482"/>
    <cellStyle name="Moneda 2 5 5 2 2" xfId="483"/>
    <cellStyle name="Moneda 2 5 5 3" xfId="484"/>
    <cellStyle name="Moneda 2 5 6" xfId="485"/>
    <cellStyle name="Moneda 2 5 6 2" xfId="486"/>
    <cellStyle name="Moneda 2 5 6 2 2" xfId="487"/>
    <cellStyle name="Moneda 2 5 6 3" xfId="488"/>
    <cellStyle name="Moneda 2 5 7" xfId="489"/>
    <cellStyle name="Moneda 2 5 7 2" xfId="490"/>
    <cellStyle name="Moneda 2 5 7 2 2" xfId="491"/>
    <cellStyle name="Moneda 2 5 7 3" xfId="492"/>
    <cellStyle name="Moneda 2 5 8" xfId="493"/>
    <cellStyle name="Moneda 2 5 8 2" xfId="494"/>
    <cellStyle name="Moneda 2 5 8 2 2" xfId="495"/>
    <cellStyle name="Moneda 2 5 8 3" xfId="496"/>
    <cellStyle name="Moneda 2 5 9" xfId="497"/>
    <cellStyle name="Moneda 2 5 9 2" xfId="498"/>
    <cellStyle name="Moneda 2 5 9 2 2" xfId="499"/>
    <cellStyle name="Moneda 2 5 9 3" xfId="500"/>
    <cellStyle name="Moneda 2 6" xfId="501"/>
    <cellStyle name="Moneda 2 6 2" xfId="502"/>
    <cellStyle name="Moneda 2 6 2 2" xfId="503"/>
    <cellStyle name="Moneda 2 6 3" xfId="504"/>
    <cellStyle name="Moneda 2 7" xfId="505"/>
    <cellStyle name="Moneda 2 7 2" xfId="506"/>
    <cellStyle name="Moneda 2 7 2 2" xfId="507"/>
    <cellStyle name="Moneda 2 7 3" xfId="508"/>
    <cellStyle name="Moneda 2 8" xfId="509"/>
    <cellStyle name="Moneda 2 8 2" xfId="510"/>
    <cellStyle name="Moneda 2 8 2 2" xfId="511"/>
    <cellStyle name="Moneda 2 8 3" xfId="512"/>
    <cellStyle name="Moneda 2 9" xfId="513"/>
    <cellStyle name="Moneda 2 9 2" xfId="514"/>
    <cellStyle name="Moneda 2 9 2 2" xfId="515"/>
    <cellStyle name="Moneda 2 9 3" xfId="516"/>
    <cellStyle name="Moneda 2_metodologia seguimiento planes" xfId="1545"/>
    <cellStyle name="Moneda 3" xfId="9"/>
    <cellStyle name="Moneda 3 2" xfId="1532"/>
    <cellStyle name="Moneda 3 3" xfId="1533"/>
    <cellStyle name="Moneda 4" xfId="56"/>
    <cellStyle name="Moneda 4 10" xfId="517"/>
    <cellStyle name="Moneda 4 10 2" xfId="518"/>
    <cellStyle name="Moneda 4 10 2 2" xfId="519"/>
    <cellStyle name="Moneda 4 10 3" xfId="520"/>
    <cellStyle name="Moneda 4 11" xfId="521"/>
    <cellStyle name="Moneda 4 11 2" xfId="522"/>
    <cellStyle name="Moneda 4 11 2 2" xfId="523"/>
    <cellStyle name="Moneda 4 11 3" xfId="524"/>
    <cellStyle name="Moneda 4 12" xfId="525"/>
    <cellStyle name="Moneda 4 12 2" xfId="526"/>
    <cellStyle name="Moneda 4 12 2 2" xfId="527"/>
    <cellStyle name="Moneda 4 12 3" xfId="528"/>
    <cellStyle name="Moneda 4 13" xfId="529"/>
    <cellStyle name="Moneda 4 13 2" xfId="530"/>
    <cellStyle name="Moneda 4 14" xfId="531"/>
    <cellStyle name="Moneda 4 2" xfId="17"/>
    <cellStyle name="Moneda 4 2 2" xfId="532"/>
    <cellStyle name="Moneda 4 2 2 2" xfId="533"/>
    <cellStyle name="Moneda 4 2 3" xfId="534"/>
    <cellStyle name="Moneda 4 3" xfId="535"/>
    <cellStyle name="Moneda 4 3 2" xfId="536"/>
    <cellStyle name="Moneda 4 3 2 2" xfId="537"/>
    <cellStyle name="Moneda 4 3 3" xfId="538"/>
    <cellStyle name="Moneda 4 4" xfId="539"/>
    <cellStyle name="Moneda 4 4 2" xfId="540"/>
    <cellStyle name="Moneda 4 4 2 2" xfId="541"/>
    <cellStyle name="Moneda 4 4 3" xfId="542"/>
    <cellStyle name="Moneda 4 5" xfId="543"/>
    <cellStyle name="Moneda 4 5 2" xfId="544"/>
    <cellStyle name="Moneda 4 5 2 2" xfId="545"/>
    <cellStyle name="Moneda 4 5 3" xfId="546"/>
    <cellStyle name="Moneda 4 6" xfId="547"/>
    <cellStyle name="Moneda 4 6 2" xfId="548"/>
    <cellStyle name="Moneda 4 6 2 2" xfId="549"/>
    <cellStyle name="Moneda 4 6 3" xfId="550"/>
    <cellStyle name="Moneda 4 7" xfId="551"/>
    <cellStyle name="Moneda 4 7 2" xfId="552"/>
    <cellStyle name="Moneda 4 7 2 2" xfId="553"/>
    <cellStyle name="Moneda 4 7 3" xfId="554"/>
    <cellStyle name="Moneda 4 8" xfId="555"/>
    <cellStyle name="Moneda 4 8 2" xfId="556"/>
    <cellStyle name="Moneda 4 8 2 2" xfId="557"/>
    <cellStyle name="Moneda 4 8 3" xfId="558"/>
    <cellStyle name="Moneda 4 9" xfId="559"/>
    <cellStyle name="Moneda 4 9 2" xfId="560"/>
    <cellStyle name="Moneda 4 9 2 2" xfId="561"/>
    <cellStyle name="Moneda 4 9 3" xfId="562"/>
    <cellStyle name="Moneda 5" xfId="57"/>
    <cellStyle name="Moneda 5 10" xfId="563"/>
    <cellStyle name="Moneda 5 10 2" xfId="564"/>
    <cellStyle name="Moneda 5 10 2 2" xfId="565"/>
    <cellStyle name="Moneda 5 10 3" xfId="566"/>
    <cellStyle name="Moneda 5 11" xfId="567"/>
    <cellStyle name="Moneda 5 11 2" xfId="568"/>
    <cellStyle name="Moneda 5 11 2 2" xfId="569"/>
    <cellStyle name="Moneda 5 11 3" xfId="570"/>
    <cellStyle name="Moneda 5 12" xfId="571"/>
    <cellStyle name="Moneda 5 12 2" xfId="572"/>
    <cellStyle name="Moneda 5 12 2 2" xfId="573"/>
    <cellStyle name="Moneda 5 12 3" xfId="574"/>
    <cellStyle name="Moneda 5 13" xfId="575"/>
    <cellStyle name="Moneda 5 13 2" xfId="576"/>
    <cellStyle name="Moneda 5 14" xfId="577"/>
    <cellStyle name="Moneda 5 2" xfId="578"/>
    <cellStyle name="Moneda 5 2 2" xfId="579"/>
    <cellStyle name="Moneda 5 2 2 2" xfId="580"/>
    <cellStyle name="Moneda 5 2 3" xfId="581"/>
    <cellStyle name="Moneda 5 3" xfId="582"/>
    <cellStyle name="Moneda 5 3 2" xfId="583"/>
    <cellStyle name="Moneda 5 3 2 2" xfId="584"/>
    <cellStyle name="Moneda 5 3 3" xfId="585"/>
    <cellStyle name="Moneda 5 4" xfId="586"/>
    <cellStyle name="Moneda 5 4 2" xfId="587"/>
    <cellStyle name="Moneda 5 4 2 2" xfId="588"/>
    <cellStyle name="Moneda 5 4 3" xfId="589"/>
    <cellStyle name="Moneda 5 5" xfId="590"/>
    <cellStyle name="Moneda 5 5 2" xfId="591"/>
    <cellStyle name="Moneda 5 5 2 2" xfId="592"/>
    <cellStyle name="Moneda 5 5 3" xfId="593"/>
    <cellStyle name="Moneda 5 6" xfId="594"/>
    <cellStyle name="Moneda 5 6 2" xfId="595"/>
    <cellStyle name="Moneda 5 6 2 2" xfId="596"/>
    <cellStyle name="Moneda 5 6 3" xfId="597"/>
    <cellStyle name="Moneda 5 7" xfId="598"/>
    <cellStyle name="Moneda 5 7 2" xfId="599"/>
    <cellStyle name="Moneda 5 7 2 2" xfId="600"/>
    <cellStyle name="Moneda 5 7 3" xfId="601"/>
    <cellStyle name="Moneda 5 8" xfId="602"/>
    <cellStyle name="Moneda 5 8 2" xfId="603"/>
    <cellStyle name="Moneda 5 8 2 2" xfId="604"/>
    <cellStyle name="Moneda 5 8 3" xfId="605"/>
    <cellStyle name="Moneda 5 9" xfId="606"/>
    <cellStyle name="Moneda 5 9 2" xfId="607"/>
    <cellStyle name="Moneda 5 9 2 2" xfId="608"/>
    <cellStyle name="Moneda 5 9 3" xfId="609"/>
    <cellStyle name="Moneda 6" xfId="610"/>
    <cellStyle name="Moneda 7" xfId="611"/>
    <cellStyle name="Moneda 8" xfId="612"/>
    <cellStyle name="Moneda 9" xfId="1549"/>
    <cellStyle name="Neutral 2" xfId="58"/>
    <cellStyle name="Normal" xfId="0" builtinId="0"/>
    <cellStyle name="Normal 10" xfId="613"/>
    <cellStyle name="Normal 10 2" xfId="614"/>
    <cellStyle name="Normal 11" xfId="615"/>
    <cellStyle name="Normal 11 2" xfId="1527"/>
    <cellStyle name="Normal 11 3" xfId="1534"/>
    <cellStyle name="Normal 12" xfId="616"/>
    <cellStyle name="Normal 13" xfId="617"/>
    <cellStyle name="Normal 14" xfId="618"/>
    <cellStyle name="Normal 15" xfId="619"/>
    <cellStyle name="Normal 16" xfId="620"/>
    <cellStyle name="Normal 17" xfId="621"/>
    <cellStyle name="Normal 18" xfId="5"/>
    <cellStyle name="Normal 18 2" xfId="10"/>
    <cellStyle name="Normal 18 3" xfId="11"/>
    <cellStyle name="Normal 18 4" xfId="12"/>
    <cellStyle name="Normal 18 5" xfId="1551"/>
    <cellStyle name="Normal 19" xfId="1542"/>
    <cellStyle name="Normal 2" xfId="4"/>
    <cellStyle name="Normal 2 10" xfId="622"/>
    <cellStyle name="Normal 2 10 2" xfId="623"/>
    <cellStyle name="Normal 2 10 2 2" xfId="624"/>
    <cellStyle name="Normal 2 10 3" xfId="625"/>
    <cellStyle name="Normal 2 10_CUADRO base PQD" xfId="626"/>
    <cellStyle name="Normal 2 11" xfId="627"/>
    <cellStyle name="Normal 2 11 2" xfId="628"/>
    <cellStyle name="Normal 2 11 2 2" xfId="629"/>
    <cellStyle name="Normal 2 11 3" xfId="630"/>
    <cellStyle name="Normal 2 11_CUADRO base PQD" xfId="631"/>
    <cellStyle name="Normal 2 12" xfId="632"/>
    <cellStyle name="Normal 2 12 2" xfId="633"/>
    <cellStyle name="Normal 2 12 2 2" xfId="634"/>
    <cellStyle name="Normal 2 12 3" xfId="635"/>
    <cellStyle name="Normal 2 12_CUADRO base PQD" xfId="636"/>
    <cellStyle name="Normal 2 13" xfId="637"/>
    <cellStyle name="Normal 2 13 2" xfId="638"/>
    <cellStyle name="Normal 2 13 2 2" xfId="639"/>
    <cellStyle name="Normal 2 13 3" xfId="640"/>
    <cellStyle name="Normal 2 13_CUADRO base PQD" xfId="641"/>
    <cellStyle name="Normal 2 14" xfId="642"/>
    <cellStyle name="Normal 2 14 2" xfId="643"/>
    <cellStyle name="Normal 2 14 2 2" xfId="644"/>
    <cellStyle name="Normal 2 14 3" xfId="645"/>
    <cellStyle name="Normal 2 14_CUADRO base PQD" xfId="646"/>
    <cellStyle name="Normal 2 15" xfId="647"/>
    <cellStyle name="Normal 2 15 2" xfId="648"/>
    <cellStyle name="Normal 2 15 2 2" xfId="649"/>
    <cellStyle name="Normal 2 15 3" xfId="650"/>
    <cellStyle name="Normal 2 15_CUADRO base PQD" xfId="651"/>
    <cellStyle name="Normal 2 16" xfId="652"/>
    <cellStyle name="Normal 2 16 2" xfId="653"/>
    <cellStyle name="Normal 2 16 2 2" xfId="654"/>
    <cellStyle name="Normal 2 16 3" xfId="655"/>
    <cellStyle name="Normal 2 16_CUADRO base PQD" xfId="656"/>
    <cellStyle name="Normal 2 17" xfId="657"/>
    <cellStyle name="Normal 2 17 2" xfId="658"/>
    <cellStyle name="Normal 2 17 2 2" xfId="659"/>
    <cellStyle name="Normal 2 17 3" xfId="660"/>
    <cellStyle name="Normal 2 17_CUADRO base PQD" xfId="661"/>
    <cellStyle name="Normal 2 18" xfId="662"/>
    <cellStyle name="Normal 2 18 2" xfId="663"/>
    <cellStyle name="Normal 2 18 2 2" xfId="664"/>
    <cellStyle name="Normal 2 18 3" xfId="665"/>
    <cellStyle name="Normal 2 18_CUADRO base PQD" xfId="666"/>
    <cellStyle name="Normal 2 19" xfId="667"/>
    <cellStyle name="Normal 2 19 2" xfId="668"/>
    <cellStyle name="Normal 2 19 2 2" xfId="669"/>
    <cellStyle name="Normal 2 19 3" xfId="670"/>
    <cellStyle name="Normal 2 19_CUADRO base PQD" xfId="671"/>
    <cellStyle name="Normal 2 2" xfId="2"/>
    <cellStyle name="Normal 2 2 10" xfId="672"/>
    <cellStyle name="Normal 2 2 11" xfId="673"/>
    <cellStyle name="Normal 2 2 12" xfId="674"/>
    <cellStyle name="Normal 2 2 13" xfId="675"/>
    <cellStyle name="Normal 2 2 14" xfId="676"/>
    <cellStyle name="Normal 2 2 15" xfId="677"/>
    <cellStyle name="Normal 2 2 15 2" xfId="678"/>
    <cellStyle name="Normal 2 2 16" xfId="679"/>
    <cellStyle name="Normal 2 2 2" xfId="13"/>
    <cellStyle name="Normal 2 2 2 2" xfId="16"/>
    <cellStyle name="Normal 2 2 3" xfId="680"/>
    <cellStyle name="Normal 2 2 3 3" xfId="19"/>
    <cellStyle name="Normal 2 2 4" xfId="681"/>
    <cellStyle name="Normal 2 2 5" xfId="682"/>
    <cellStyle name="Normal 2 2 6" xfId="683"/>
    <cellStyle name="Normal 2 2 7" xfId="684"/>
    <cellStyle name="Normal 2 2 8" xfId="685"/>
    <cellStyle name="Normal 2 2 9" xfId="686"/>
    <cellStyle name="Normal 2 2_CUADRO base PQD" xfId="687"/>
    <cellStyle name="Normal 2 20" xfId="688"/>
    <cellStyle name="Normal 2 20 2" xfId="689"/>
    <cellStyle name="Normal 2 21" xfId="690"/>
    <cellStyle name="Normal 2 22" xfId="691"/>
    <cellStyle name="Normal 2 23" xfId="692"/>
    <cellStyle name="Normal 2 24" xfId="1540"/>
    <cellStyle name="Normal 2 25" xfId="1543"/>
    <cellStyle name="Normal 2 26" xfId="1548"/>
    <cellStyle name="Normal 2 3" xfId="20"/>
    <cellStyle name="Normal 2 3 10" xfId="693"/>
    <cellStyle name="Normal 2 3 10 2" xfId="694"/>
    <cellStyle name="Normal 2 3 10 2 2" xfId="695"/>
    <cellStyle name="Normal 2 3 10 3" xfId="696"/>
    <cellStyle name="Normal 2 3 10_CUADRO base PQD" xfId="697"/>
    <cellStyle name="Normal 2 3 11" xfId="698"/>
    <cellStyle name="Normal 2 3 11 2" xfId="699"/>
    <cellStyle name="Normal 2 3 11 2 2" xfId="700"/>
    <cellStyle name="Normal 2 3 11 3" xfId="701"/>
    <cellStyle name="Normal 2 3 11_CUADRO base PQD" xfId="702"/>
    <cellStyle name="Normal 2 3 12" xfId="703"/>
    <cellStyle name="Normal 2 3 12 2" xfId="704"/>
    <cellStyle name="Normal 2 3 12 2 2" xfId="705"/>
    <cellStyle name="Normal 2 3 12 3" xfId="706"/>
    <cellStyle name="Normal 2 3 12_CUADRO base PQD" xfId="707"/>
    <cellStyle name="Normal 2 3 13" xfId="708"/>
    <cellStyle name="Normal 2 3 13 2" xfId="709"/>
    <cellStyle name="Normal 2 3 14" xfId="710"/>
    <cellStyle name="Normal 2 3 15" xfId="1541"/>
    <cellStyle name="Normal 2 3 2" xfId="59"/>
    <cellStyle name="Normal 2 3 2 2" xfId="711"/>
    <cellStyle name="Normal 2 3 2 2 2" xfId="712"/>
    <cellStyle name="Normal 2 3 2 3" xfId="713"/>
    <cellStyle name="Normal 2 3 2_CUADRO base PQD" xfId="714"/>
    <cellStyle name="Normal 2 3 3" xfId="715"/>
    <cellStyle name="Normal 2 3 3 2" xfId="716"/>
    <cellStyle name="Normal 2 3 3 2 2" xfId="717"/>
    <cellStyle name="Normal 2 3 3 3" xfId="718"/>
    <cellStyle name="Normal 2 3 3_CUADRO base PQD" xfId="719"/>
    <cellStyle name="Normal 2 3 4" xfId="60"/>
    <cellStyle name="Normal 2 3 4 2" xfId="720"/>
    <cellStyle name="Normal 2 3 4 2 2" xfId="721"/>
    <cellStyle name="Normal 2 3 4 3" xfId="722"/>
    <cellStyle name="Normal 2 3 4_CUADRO base PQD" xfId="723"/>
    <cellStyle name="Normal 2 3 5" xfId="724"/>
    <cellStyle name="Normal 2 3 5 2" xfId="725"/>
    <cellStyle name="Normal 2 3 5 2 2" xfId="726"/>
    <cellStyle name="Normal 2 3 5 3" xfId="727"/>
    <cellStyle name="Normal 2 3 5_CUADRO base PQD" xfId="728"/>
    <cellStyle name="Normal 2 3 6" xfId="729"/>
    <cellStyle name="Normal 2 3 6 2" xfId="730"/>
    <cellStyle name="Normal 2 3 6 2 2" xfId="731"/>
    <cellStyle name="Normal 2 3 6 3" xfId="732"/>
    <cellStyle name="Normal 2 3 6_CUADRO base PQD" xfId="733"/>
    <cellStyle name="Normal 2 3 7" xfId="734"/>
    <cellStyle name="Normal 2 3 7 2" xfId="735"/>
    <cellStyle name="Normal 2 3 7 2 2" xfId="736"/>
    <cellStyle name="Normal 2 3 7 3" xfId="737"/>
    <cellStyle name="Normal 2 3 7_CUADRO base PQD" xfId="738"/>
    <cellStyle name="Normal 2 3 8" xfId="739"/>
    <cellStyle name="Normal 2 3 8 2" xfId="740"/>
    <cellStyle name="Normal 2 3 8 2 2" xfId="741"/>
    <cellStyle name="Normal 2 3 8 3" xfId="742"/>
    <cellStyle name="Normal 2 3 8_CUADRO base PQD" xfId="743"/>
    <cellStyle name="Normal 2 3 9" xfId="744"/>
    <cellStyle name="Normal 2 3 9 2" xfId="745"/>
    <cellStyle name="Normal 2 3 9 2 2" xfId="746"/>
    <cellStyle name="Normal 2 3 9 3" xfId="747"/>
    <cellStyle name="Normal 2 3 9_CUADRO base PQD" xfId="748"/>
    <cellStyle name="Normal 2 3_CUADRO base PQD" xfId="749"/>
    <cellStyle name="Normal 2 4" xfId="61"/>
    <cellStyle name="Normal 2 4 10" xfId="750"/>
    <cellStyle name="Normal 2 4 10 2" xfId="751"/>
    <cellStyle name="Normal 2 4 10 2 2" xfId="752"/>
    <cellStyle name="Normal 2 4 10 3" xfId="753"/>
    <cellStyle name="Normal 2 4 10_CUADRO base PQD" xfId="754"/>
    <cellStyle name="Normal 2 4 11" xfId="755"/>
    <cellStyle name="Normal 2 4 11 2" xfId="756"/>
    <cellStyle name="Normal 2 4 11 2 2" xfId="757"/>
    <cellStyle name="Normal 2 4 11 3" xfId="758"/>
    <cellStyle name="Normal 2 4 11_CUADRO base PQD" xfId="759"/>
    <cellStyle name="Normal 2 4 12" xfId="760"/>
    <cellStyle name="Normal 2 4 12 2" xfId="761"/>
    <cellStyle name="Normal 2 4 12 2 2" xfId="762"/>
    <cellStyle name="Normal 2 4 12 3" xfId="763"/>
    <cellStyle name="Normal 2 4 12_CUADRO base PQD" xfId="764"/>
    <cellStyle name="Normal 2 4 13" xfId="765"/>
    <cellStyle name="Normal 2 4 13 2" xfId="766"/>
    <cellStyle name="Normal 2 4 14" xfId="767"/>
    <cellStyle name="Normal 2 4 2" xfId="768"/>
    <cellStyle name="Normal 2 4 2 2" xfId="769"/>
    <cellStyle name="Normal 2 4 2 2 2" xfId="770"/>
    <cellStyle name="Normal 2 4 2 3" xfId="771"/>
    <cellStyle name="Normal 2 4 2_CUADRO base PQD" xfId="772"/>
    <cellStyle name="Normal 2 4 3" xfId="773"/>
    <cellStyle name="Normal 2 4 3 2" xfId="774"/>
    <cellStyle name="Normal 2 4 3 2 2" xfId="775"/>
    <cellStyle name="Normal 2 4 3 3" xfId="776"/>
    <cellStyle name="Normal 2 4 3_CUADRO base PQD" xfId="777"/>
    <cellStyle name="Normal 2 4 4" xfId="778"/>
    <cellStyle name="Normal 2 4 4 2" xfId="779"/>
    <cellStyle name="Normal 2 4 4 2 2" xfId="780"/>
    <cellStyle name="Normal 2 4 4 3" xfId="781"/>
    <cellStyle name="Normal 2 4 4_CUADRO base PQD" xfId="782"/>
    <cellStyle name="Normal 2 4 5" xfId="783"/>
    <cellStyle name="Normal 2 4 5 2" xfId="784"/>
    <cellStyle name="Normal 2 4 5 2 2" xfId="785"/>
    <cellStyle name="Normal 2 4 5 3" xfId="786"/>
    <cellStyle name="Normal 2 4 5_CUADRO base PQD" xfId="787"/>
    <cellStyle name="Normal 2 4 6" xfId="788"/>
    <cellStyle name="Normal 2 4 6 2" xfId="789"/>
    <cellStyle name="Normal 2 4 6 2 2" xfId="790"/>
    <cellStyle name="Normal 2 4 6 3" xfId="791"/>
    <cellStyle name="Normal 2 4 6_CUADRO base PQD" xfId="792"/>
    <cellStyle name="Normal 2 4 7" xfId="793"/>
    <cellStyle name="Normal 2 4 7 2" xfId="794"/>
    <cellStyle name="Normal 2 4 7 2 2" xfId="795"/>
    <cellStyle name="Normal 2 4 7 3" xfId="796"/>
    <cellStyle name="Normal 2 4 7_CUADRO base PQD" xfId="797"/>
    <cellStyle name="Normal 2 4 8" xfId="798"/>
    <cellStyle name="Normal 2 4 8 2" xfId="799"/>
    <cellStyle name="Normal 2 4 8 2 2" xfId="800"/>
    <cellStyle name="Normal 2 4 8 3" xfId="801"/>
    <cellStyle name="Normal 2 4 8_CUADRO base PQD" xfId="802"/>
    <cellStyle name="Normal 2 4 9" xfId="803"/>
    <cellStyle name="Normal 2 4 9 2" xfId="804"/>
    <cellStyle name="Normal 2 4 9 2 2" xfId="805"/>
    <cellStyle name="Normal 2 4 9 3" xfId="806"/>
    <cellStyle name="Normal 2 4 9_CUADRO base PQD" xfId="807"/>
    <cellStyle name="Normal 2 4_CUADRO base PQD" xfId="808"/>
    <cellStyle name="Normal 2 5" xfId="62"/>
    <cellStyle name="Normal 2 5 10" xfId="809"/>
    <cellStyle name="Normal 2 5 10 2" xfId="810"/>
    <cellStyle name="Normal 2 5 10 2 2" xfId="811"/>
    <cellStyle name="Normal 2 5 10 3" xfId="812"/>
    <cellStyle name="Normal 2 5 10_CUADRO base PQD" xfId="813"/>
    <cellStyle name="Normal 2 5 11" xfId="814"/>
    <cellStyle name="Normal 2 5 11 2" xfId="815"/>
    <cellStyle name="Normal 2 5 11 2 2" xfId="816"/>
    <cellStyle name="Normal 2 5 11 3" xfId="817"/>
    <cellStyle name="Normal 2 5 11_CUADRO base PQD" xfId="818"/>
    <cellStyle name="Normal 2 5 12" xfId="819"/>
    <cellStyle name="Normal 2 5 12 2" xfId="820"/>
    <cellStyle name="Normal 2 5 12 2 2" xfId="821"/>
    <cellStyle name="Normal 2 5 12 3" xfId="822"/>
    <cellStyle name="Normal 2 5 12_CUADRO base PQD" xfId="823"/>
    <cellStyle name="Normal 2 5 13" xfId="824"/>
    <cellStyle name="Normal 2 5 13 2" xfId="825"/>
    <cellStyle name="Normal 2 5 13 2 2" xfId="826"/>
    <cellStyle name="Normal 2 5 13 3" xfId="827"/>
    <cellStyle name="Normal 2 5 13_CUADRO base PQD" xfId="828"/>
    <cellStyle name="Normal 2 5 14" xfId="829"/>
    <cellStyle name="Normal 2 5 14 2" xfId="830"/>
    <cellStyle name="Normal 2 5 15" xfId="831"/>
    <cellStyle name="Normal 2 5 2" xfId="832"/>
    <cellStyle name="Normal 2 5 2 10" xfId="833"/>
    <cellStyle name="Normal 2 5 2 10 2" xfId="834"/>
    <cellStyle name="Normal 2 5 2 10 2 2" xfId="835"/>
    <cellStyle name="Normal 2 5 2 10 3" xfId="836"/>
    <cellStyle name="Normal 2 5 2 10_CUADRO base PQD" xfId="837"/>
    <cellStyle name="Normal 2 5 2 11" xfId="838"/>
    <cellStyle name="Normal 2 5 2 11 2" xfId="839"/>
    <cellStyle name="Normal 2 5 2 11 2 2" xfId="840"/>
    <cellStyle name="Normal 2 5 2 11 3" xfId="841"/>
    <cellStyle name="Normal 2 5 2 11_CUADRO base PQD" xfId="842"/>
    <cellStyle name="Normal 2 5 2 12" xfId="843"/>
    <cellStyle name="Normal 2 5 2 12 2" xfId="844"/>
    <cellStyle name="Normal 2 5 2 12 2 2" xfId="845"/>
    <cellStyle name="Normal 2 5 2 12 3" xfId="846"/>
    <cellStyle name="Normal 2 5 2 12_CUADRO base PQD" xfId="847"/>
    <cellStyle name="Normal 2 5 2 13" xfId="848"/>
    <cellStyle name="Normal 2 5 2 13 2" xfId="849"/>
    <cellStyle name="Normal 2 5 2 14" xfId="850"/>
    <cellStyle name="Normal 2 5 2 2" xfId="851"/>
    <cellStyle name="Normal 2 5 2 2 2" xfId="852"/>
    <cellStyle name="Normal 2 5 2 2 2 2" xfId="853"/>
    <cellStyle name="Normal 2 5 2 2 3" xfId="854"/>
    <cellStyle name="Normal 2 5 2 2_CUADRO base PQD" xfId="855"/>
    <cellStyle name="Normal 2 5 2 3" xfId="856"/>
    <cellStyle name="Normal 2 5 2 3 2" xfId="857"/>
    <cellStyle name="Normal 2 5 2 3 2 2" xfId="858"/>
    <cellStyle name="Normal 2 5 2 3 3" xfId="859"/>
    <cellStyle name="Normal 2 5 2 3_CUADRO base PQD" xfId="860"/>
    <cellStyle name="Normal 2 5 2 4" xfId="861"/>
    <cellStyle name="Normal 2 5 2 4 2" xfId="862"/>
    <cellStyle name="Normal 2 5 2 4 2 2" xfId="863"/>
    <cellStyle name="Normal 2 5 2 4 3" xfId="864"/>
    <cellStyle name="Normal 2 5 2 4_CUADRO base PQD" xfId="865"/>
    <cellStyle name="Normal 2 5 2 5" xfId="866"/>
    <cellStyle name="Normal 2 5 2 5 2" xfId="867"/>
    <cellStyle name="Normal 2 5 2 5 2 2" xfId="868"/>
    <cellStyle name="Normal 2 5 2 5 3" xfId="869"/>
    <cellStyle name="Normal 2 5 2 5_CUADRO base PQD" xfId="870"/>
    <cellStyle name="Normal 2 5 2 6" xfId="871"/>
    <cellStyle name="Normal 2 5 2 6 2" xfId="872"/>
    <cellStyle name="Normal 2 5 2 6 2 2" xfId="873"/>
    <cellStyle name="Normal 2 5 2 6 3" xfId="874"/>
    <cellStyle name="Normal 2 5 2 6_CUADRO base PQD" xfId="875"/>
    <cellStyle name="Normal 2 5 2 7" xfId="876"/>
    <cellStyle name="Normal 2 5 2 7 2" xfId="877"/>
    <cellStyle name="Normal 2 5 2 7 2 2" xfId="878"/>
    <cellStyle name="Normal 2 5 2 7 3" xfId="879"/>
    <cellStyle name="Normal 2 5 2 7_CUADRO base PQD" xfId="880"/>
    <cellStyle name="Normal 2 5 2 8" xfId="881"/>
    <cellStyle name="Normal 2 5 2 8 2" xfId="882"/>
    <cellStyle name="Normal 2 5 2 8 2 2" xfId="883"/>
    <cellStyle name="Normal 2 5 2 8 3" xfId="884"/>
    <cellStyle name="Normal 2 5 2 8_CUADRO base PQD" xfId="885"/>
    <cellStyle name="Normal 2 5 2 9" xfId="886"/>
    <cellStyle name="Normal 2 5 2 9 2" xfId="887"/>
    <cellStyle name="Normal 2 5 2 9 2 2" xfId="888"/>
    <cellStyle name="Normal 2 5 2 9 3" xfId="889"/>
    <cellStyle name="Normal 2 5 2 9_CUADRO base PQD" xfId="890"/>
    <cellStyle name="Normal 2 5 2_CUADRO base PQD" xfId="891"/>
    <cellStyle name="Normal 2 5 3" xfId="892"/>
    <cellStyle name="Normal 2 5 3 2" xfId="893"/>
    <cellStyle name="Normal 2 5 3 2 2" xfId="894"/>
    <cellStyle name="Normal 2 5 3 3" xfId="895"/>
    <cellStyle name="Normal 2 5 3_CUADRO base PQD" xfId="896"/>
    <cellStyle name="Normal 2 5 4" xfId="897"/>
    <cellStyle name="Normal 2 5 4 2" xfId="898"/>
    <cellStyle name="Normal 2 5 4 2 2" xfId="899"/>
    <cellStyle name="Normal 2 5 4 3" xfId="900"/>
    <cellStyle name="Normal 2 5 4_CUADRO base PQD" xfId="901"/>
    <cellStyle name="Normal 2 5 5" xfId="902"/>
    <cellStyle name="Normal 2 5 5 2" xfId="903"/>
    <cellStyle name="Normal 2 5 5 2 2" xfId="904"/>
    <cellStyle name="Normal 2 5 5 3" xfId="905"/>
    <cellStyle name="Normal 2 5 5_CUADRO base PQD" xfId="906"/>
    <cellStyle name="Normal 2 5 6" xfId="907"/>
    <cellStyle name="Normal 2 5 6 2" xfId="908"/>
    <cellStyle name="Normal 2 5 6 2 2" xfId="909"/>
    <cellStyle name="Normal 2 5 6 3" xfId="910"/>
    <cellStyle name="Normal 2 5 6_CUADRO base PQD" xfId="911"/>
    <cellStyle name="Normal 2 5 7" xfId="912"/>
    <cellStyle name="Normal 2 5 7 2" xfId="913"/>
    <cellStyle name="Normal 2 5 7 2 2" xfId="914"/>
    <cellStyle name="Normal 2 5 7 3" xfId="915"/>
    <cellStyle name="Normal 2 5 7_CUADRO base PQD" xfId="916"/>
    <cellStyle name="Normal 2 5 8" xfId="917"/>
    <cellStyle name="Normal 2 5 8 2" xfId="918"/>
    <cellStyle name="Normal 2 5 8 2 2" xfId="919"/>
    <cellStyle name="Normal 2 5 8 3" xfId="920"/>
    <cellStyle name="Normal 2 5 8_CUADRO base PQD" xfId="921"/>
    <cellStyle name="Normal 2 5 9" xfId="922"/>
    <cellStyle name="Normal 2 5 9 2" xfId="923"/>
    <cellStyle name="Normal 2 5 9 2 2" xfId="924"/>
    <cellStyle name="Normal 2 5 9 3" xfId="925"/>
    <cellStyle name="Normal 2 5 9_CUADRO base PQD" xfId="926"/>
    <cellStyle name="Normal 2 5_CUADRO base PQD" xfId="927"/>
    <cellStyle name="Normal 2 6" xfId="928"/>
    <cellStyle name="Normal 2 6 10" xfId="929"/>
    <cellStyle name="Normal 2 6 10 2" xfId="930"/>
    <cellStyle name="Normal 2 6 10 2 2" xfId="931"/>
    <cellStyle name="Normal 2 6 10 3" xfId="932"/>
    <cellStyle name="Normal 2 6 10_CUADRO base PQD" xfId="933"/>
    <cellStyle name="Normal 2 6 11" xfId="934"/>
    <cellStyle name="Normal 2 6 11 2" xfId="935"/>
    <cellStyle name="Normal 2 6 11 2 2" xfId="936"/>
    <cellStyle name="Normal 2 6 11 3" xfId="937"/>
    <cellStyle name="Normal 2 6 11_CUADRO base PQD" xfId="938"/>
    <cellStyle name="Normal 2 6 12" xfId="939"/>
    <cellStyle name="Normal 2 6 12 2" xfId="940"/>
    <cellStyle name="Normal 2 6 12 2 2" xfId="941"/>
    <cellStyle name="Normal 2 6 12 3" xfId="942"/>
    <cellStyle name="Normal 2 6 12_CUADRO base PQD" xfId="943"/>
    <cellStyle name="Normal 2 6 13" xfId="944"/>
    <cellStyle name="Normal 2 6 13 2" xfId="945"/>
    <cellStyle name="Normal 2 6 13 2 2" xfId="946"/>
    <cellStyle name="Normal 2 6 13 3" xfId="947"/>
    <cellStyle name="Normal 2 6 13_CUADRO base PQD" xfId="948"/>
    <cellStyle name="Normal 2 6 14" xfId="949"/>
    <cellStyle name="Normal 2 6 14 2" xfId="950"/>
    <cellStyle name="Normal 2 6 14 2 2" xfId="951"/>
    <cellStyle name="Normal 2 6 14 3" xfId="952"/>
    <cellStyle name="Normal 2 6 14_CUADRO base PQD" xfId="953"/>
    <cellStyle name="Normal 2 6 15" xfId="954"/>
    <cellStyle name="Normal 2 6 15 2" xfId="955"/>
    <cellStyle name="Normal 2 6 16" xfId="956"/>
    <cellStyle name="Normal 2 6 2" xfId="957"/>
    <cellStyle name="Normal 2 6 2 10" xfId="958"/>
    <cellStyle name="Normal 2 6 2 10 2" xfId="959"/>
    <cellStyle name="Normal 2 6 2 10 2 2" xfId="960"/>
    <cellStyle name="Normal 2 6 2 10 3" xfId="961"/>
    <cellStyle name="Normal 2 6 2 10_CUADRO base PQD" xfId="962"/>
    <cellStyle name="Normal 2 6 2 11" xfId="963"/>
    <cellStyle name="Normal 2 6 2 11 2" xfId="964"/>
    <cellStyle name="Normal 2 6 2 11 2 2" xfId="965"/>
    <cellStyle name="Normal 2 6 2 11 3" xfId="966"/>
    <cellStyle name="Normal 2 6 2 11_CUADRO base PQD" xfId="967"/>
    <cellStyle name="Normal 2 6 2 12" xfId="968"/>
    <cellStyle name="Normal 2 6 2 12 2" xfId="969"/>
    <cellStyle name="Normal 2 6 2 12 2 2" xfId="970"/>
    <cellStyle name="Normal 2 6 2 12 3" xfId="971"/>
    <cellStyle name="Normal 2 6 2 12_CUADRO base PQD" xfId="972"/>
    <cellStyle name="Normal 2 6 2 13" xfId="973"/>
    <cellStyle name="Normal 2 6 2 13 2" xfId="974"/>
    <cellStyle name="Normal 2 6 2 13 2 2" xfId="975"/>
    <cellStyle name="Normal 2 6 2 13 3" xfId="976"/>
    <cellStyle name="Normal 2 6 2 13_CUADRO base PQD" xfId="977"/>
    <cellStyle name="Normal 2 6 2 14" xfId="978"/>
    <cellStyle name="Normal 2 6 2 14 2" xfId="979"/>
    <cellStyle name="Normal 2 6 2 15" xfId="980"/>
    <cellStyle name="Normal 2 6 2 2" xfId="981"/>
    <cellStyle name="Normal 2 6 2 2 10" xfId="982"/>
    <cellStyle name="Normal 2 6 2 2 10 2" xfId="983"/>
    <cellStyle name="Normal 2 6 2 2 10 2 2" xfId="984"/>
    <cellStyle name="Normal 2 6 2 2 10 3" xfId="985"/>
    <cellStyle name="Normal 2 6 2 2 10_CUADRO base PQD" xfId="986"/>
    <cellStyle name="Normal 2 6 2 2 11" xfId="987"/>
    <cellStyle name="Normal 2 6 2 2 11 2" xfId="988"/>
    <cellStyle name="Normal 2 6 2 2 11 2 2" xfId="989"/>
    <cellStyle name="Normal 2 6 2 2 11 3" xfId="990"/>
    <cellStyle name="Normal 2 6 2 2 11_CUADRO base PQD" xfId="991"/>
    <cellStyle name="Normal 2 6 2 2 12" xfId="992"/>
    <cellStyle name="Normal 2 6 2 2 12 2" xfId="993"/>
    <cellStyle name="Normal 2 6 2 2 12 2 2" xfId="994"/>
    <cellStyle name="Normal 2 6 2 2 12 3" xfId="995"/>
    <cellStyle name="Normal 2 6 2 2 12_CUADRO base PQD" xfId="996"/>
    <cellStyle name="Normal 2 6 2 2 13" xfId="997"/>
    <cellStyle name="Normal 2 6 2 2 13 2" xfId="998"/>
    <cellStyle name="Normal 2 6 2 2 14" xfId="999"/>
    <cellStyle name="Normal 2 6 2 2 2" xfId="1000"/>
    <cellStyle name="Normal 2 6 2 2 2 2" xfId="1001"/>
    <cellStyle name="Normal 2 6 2 2 2 2 2" xfId="1002"/>
    <cellStyle name="Normal 2 6 2 2 2 3" xfId="1003"/>
    <cellStyle name="Normal 2 6 2 2 2_CUADRO base PQD" xfId="1004"/>
    <cellStyle name="Normal 2 6 2 2 3" xfId="1005"/>
    <cellStyle name="Normal 2 6 2 2 3 2" xfId="1006"/>
    <cellStyle name="Normal 2 6 2 2 3 2 2" xfId="1007"/>
    <cellStyle name="Normal 2 6 2 2 3 3" xfId="1008"/>
    <cellStyle name="Normal 2 6 2 2 3_CUADRO base PQD" xfId="1009"/>
    <cellStyle name="Normal 2 6 2 2 4" xfId="1010"/>
    <cellStyle name="Normal 2 6 2 2 4 2" xfId="1011"/>
    <cellStyle name="Normal 2 6 2 2 4 2 2" xfId="1012"/>
    <cellStyle name="Normal 2 6 2 2 4 3" xfId="1013"/>
    <cellStyle name="Normal 2 6 2 2 4_CUADRO base PQD" xfId="1014"/>
    <cellStyle name="Normal 2 6 2 2 5" xfId="1015"/>
    <cellStyle name="Normal 2 6 2 2 5 2" xfId="1016"/>
    <cellStyle name="Normal 2 6 2 2 5 2 2" xfId="1017"/>
    <cellStyle name="Normal 2 6 2 2 5 3" xfId="1018"/>
    <cellStyle name="Normal 2 6 2 2 5_CUADRO base PQD" xfId="1019"/>
    <cellStyle name="Normal 2 6 2 2 6" xfId="1020"/>
    <cellStyle name="Normal 2 6 2 2 6 2" xfId="1021"/>
    <cellStyle name="Normal 2 6 2 2 6 2 2" xfId="1022"/>
    <cellStyle name="Normal 2 6 2 2 6 3" xfId="1023"/>
    <cellStyle name="Normal 2 6 2 2 6_CUADRO base PQD" xfId="1024"/>
    <cellStyle name="Normal 2 6 2 2 7" xfId="1025"/>
    <cellStyle name="Normal 2 6 2 2 7 2" xfId="1026"/>
    <cellStyle name="Normal 2 6 2 2 7 2 2" xfId="1027"/>
    <cellStyle name="Normal 2 6 2 2 7 3" xfId="1028"/>
    <cellStyle name="Normal 2 6 2 2 7_CUADRO base PQD" xfId="1029"/>
    <cellStyle name="Normal 2 6 2 2 8" xfId="1030"/>
    <cellStyle name="Normal 2 6 2 2 8 2" xfId="1031"/>
    <cellStyle name="Normal 2 6 2 2 8 2 2" xfId="1032"/>
    <cellStyle name="Normal 2 6 2 2 8 3" xfId="1033"/>
    <cellStyle name="Normal 2 6 2 2 8_CUADRO base PQD" xfId="1034"/>
    <cellStyle name="Normal 2 6 2 2 9" xfId="1035"/>
    <cellStyle name="Normal 2 6 2 2 9 2" xfId="1036"/>
    <cellStyle name="Normal 2 6 2 2 9 2 2" xfId="1037"/>
    <cellStyle name="Normal 2 6 2 2 9 3" xfId="1038"/>
    <cellStyle name="Normal 2 6 2 2 9_CUADRO base PQD" xfId="1039"/>
    <cellStyle name="Normal 2 6 2 2_CUADRO base PQD" xfId="1040"/>
    <cellStyle name="Normal 2 6 2 3" xfId="1041"/>
    <cellStyle name="Normal 2 6 2 3 2" xfId="1042"/>
    <cellStyle name="Normal 2 6 2 3 2 2" xfId="1043"/>
    <cellStyle name="Normal 2 6 2 3 3" xfId="1044"/>
    <cellStyle name="Normal 2 6 2 3_CUADRO base PQD" xfId="1045"/>
    <cellStyle name="Normal 2 6 2 4" xfId="1046"/>
    <cellStyle name="Normal 2 6 2 4 2" xfId="1047"/>
    <cellStyle name="Normal 2 6 2 4 2 2" xfId="1048"/>
    <cellStyle name="Normal 2 6 2 4 3" xfId="1049"/>
    <cellStyle name="Normal 2 6 2 4_CUADRO base PQD" xfId="1050"/>
    <cellStyle name="Normal 2 6 2 5" xfId="1051"/>
    <cellStyle name="Normal 2 6 2 5 2" xfId="1052"/>
    <cellStyle name="Normal 2 6 2 5 2 2" xfId="1053"/>
    <cellStyle name="Normal 2 6 2 5 3" xfId="1054"/>
    <cellStyle name="Normal 2 6 2 5_CUADRO base PQD" xfId="1055"/>
    <cellStyle name="Normal 2 6 2 6" xfId="1056"/>
    <cellStyle name="Normal 2 6 2 6 2" xfId="1057"/>
    <cellStyle name="Normal 2 6 2 6 2 2" xfId="1058"/>
    <cellStyle name="Normal 2 6 2 6 3" xfId="1059"/>
    <cellStyle name="Normal 2 6 2 6_CUADRO base PQD" xfId="1060"/>
    <cellStyle name="Normal 2 6 2 7" xfId="1061"/>
    <cellStyle name="Normal 2 6 2 7 2" xfId="1062"/>
    <cellStyle name="Normal 2 6 2 7 2 2" xfId="1063"/>
    <cellStyle name="Normal 2 6 2 7 3" xfId="1064"/>
    <cellStyle name="Normal 2 6 2 7 4" xfId="1065"/>
    <cellStyle name="Normal 2 6 2 7_CUADRO base PQD" xfId="1066"/>
    <cellStyle name="Normal 2 6 2 8" xfId="1067"/>
    <cellStyle name="Normal 2 6 2 8 2" xfId="1068"/>
    <cellStyle name="Normal 2 6 2 8 2 2" xfId="1069"/>
    <cellStyle name="Normal 2 6 2 8 3" xfId="1070"/>
    <cellStyle name="Normal 2 6 2 8_CUADRO base PQD" xfId="1071"/>
    <cellStyle name="Normal 2 6 2 9" xfId="1072"/>
    <cellStyle name="Normal 2 6 2 9 2" xfId="1073"/>
    <cellStyle name="Normal 2 6 2 9 2 2" xfId="1074"/>
    <cellStyle name="Normal 2 6 2 9 3" xfId="1075"/>
    <cellStyle name="Normal 2 6 2 9_CUADRO base PQD" xfId="1076"/>
    <cellStyle name="Normal 2 6 2_CUADRO base PQD" xfId="1077"/>
    <cellStyle name="Normal 2 6 3" xfId="1078"/>
    <cellStyle name="Normal 2 6 3 10" xfId="1079"/>
    <cellStyle name="Normal 2 6 3 10 2" xfId="1080"/>
    <cellStyle name="Normal 2 6 3 10 2 2" xfId="1081"/>
    <cellStyle name="Normal 2 6 3 10 3" xfId="1082"/>
    <cellStyle name="Normal 2 6 3 10_CUADRO base PQD" xfId="1083"/>
    <cellStyle name="Normal 2 6 3 11" xfId="1084"/>
    <cellStyle name="Normal 2 6 3 11 2" xfId="1085"/>
    <cellStyle name="Normal 2 6 3 11 2 2" xfId="1086"/>
    <cellStyle name="Normal 2 6 3 11 3" xfId="1087"/>
    <cellStyle name="Normal 2 6 3 11_CUADRO base PQD" xfId="1088"/>
    <cellStyle name="Normal 2 6 3 12" xfId="1089"/>
    <cellStyle name="Normal 2 6 3 12 2" xfId="1090"/>
    <cellStyle name="Normal 2 6 3 12 2 2" xfId="1091"/>
    <cellStyle name="Normal 2 6 3 12 3" xfId="1092"/>
    <cellStyle name="Normal 2 6 3 12_CUADRO base PQD" xfId="1093"/>
    <cellStyle name="Normal 2 6 3 13" xfId="1094"/>
    <cellStyle name="Normal 2 6 3 13 2" xfId="1095"/>
    <cellStyle name="Normal 2 6 3 13 2 2" xfId="1096"/>
    <cellStyle name="Normal 2 6 3 13 3" xfId="1097"/>
    <cellStyle name="Normal 2 6 3 13_CUADRO base PQD" xfId="1098"/>
    <cellStyle name="Normal 2 6 3 14" xfId="1099"/>
    <cellStyle name="Normal 2 6 3 14 2" xfId="1100"/>
    <cellStyle name="Normal 2 6 3 15" xfId="1101"/>
    <cellStyle name="Normal 2 6 3 2" xfId="1102"/>
    <cellStyle name="Normal 2 6 3 2 10" xfId="1103"/>
    <cellStyle name="Normal 2 6 3 2 10 2" xfId="1104"/>
    <cellStyle name="Normal 2 6 3 2 10 2 2" xfId="1105"/>
    <cellStyle name="Normal 2 6 3 2 10 3" xfId="1106"/>
    <cellStyle name="Normal 2 6 3 2 10_CUADRO base PQD" xfId="1107"/>
    <cellStyle name="Normal 2 6 3 2 11" xfId="1108"/>
    <cellStyle name="Normal 2 6 3 2 11 2" xfId="1109"/>
    <cellStyle name="Normal 2 6 3 2 11 2 2" xfId="1110"/>
    <cellStyle name="Normal 2 6 3 2 11 3" xfId="1111"/>
    <cellStyle name="Normal 2 6 3 2 11_CUADRO base PQD" xfId="1112"/>
    <cellStyle name="Normal 2 6 3 2 12" xfId="1113"/>
    <cellStyle name="Normal 2 6 3 2 12 2" xfId="1114"/>
    <cellStyle name="Normal 2 6 3 2 12 2 2" xfId="1115"/>
    <cellStyle name="Normal 2 6 3 2 12 3" xfId="1116"/>
    <cellStyle name="Normal 2 6 3 2 12_CUADRO base PQD" xfId="1117"/>
    <cellStyle name="Normal 2 6 3 2 13" xfId="1118"/>
    <cellStyle name="Normal 2 6 3 2 13 2" xfId="1119"/>
    <cellStyle name="Normal 2 6 3 2 14" xfId="1120"/>
    <cellStyle name="Normal 2 6 3 2 2" xfId="1121"/>
    <cellStyle name="Normal 2 6 3 2 2 2" xfId="1122"/>
    <cellStyle name="Normal 2 6 3 2 2 2 2" xfId="1123"/>
    <cellStyle name="Normal 2 6 3 2 2 3" xfId="1124"/>
    <cellStyle name="Normal 2 6 3 2 2_CUADRO base PQD" xfId="1125"/>
    <cellStyle name="Normal 2 6 3 2 3" xfId="1126"/>
    <cellStyle name="Normal 2 6 3 2 3 2" xfId="1127"/>
    <cellStyle name="Normal 2 6 3 2 3 2 2" xfId="1128"/>
    <cellStyle name="Normal 2 6 3 2 3 3" xfId="1129"/>
    <cellStyle name="Normal 2 6 3 2 3_CUADRO base PQD" xfId="1130"/>
    <cellStyle name="Normal 2 6 3 2 4" xfId="1131"/>
    <cellStyle name="Normal 2 6 3 2 4 2" xfId="1132"/>
    <cellStyle name="Normal 2 6 3 2 4 2 2" xfId="1133"/>
    <cellStyle name="Normal 2 6 3 2 4 3" xfId="1134"/>
    <cellStyle name="Normal 2 6 3 2 4_CUADRO base PQD" xfId="1135"/>
    <cellStyle name="Normal 2 6 3 2 5" xfId="1136"/>
    <cellStyle name="Normal 2 6 3 2 5 2" xfId="1137"/>
    <cellStyle name="Normal 2 6 3 2 5 2 2" xfId="1138"/>
    <cellStyle name="Normal 2 6 3 2 5 3" xfId="1139"/>
    <cellStyle name="Normal 2 6 3 2 5_CUADRO base PQD" xfId="1140"/>
    <cellStyle name="Normal 2 6 3 2 6" xfId="1141"/>
    <cellStyle name="Normal 2 6 3 2 6 2" xfId="1142"/>
    <cellStyle name="Normal 2 6 3 2 6 2 2" xfId="1143"/>
    <cellStyle name="Normal 2 6 3 2 6 3" xfId="1144"/>
    <cellStyle name="Normal 2 6 3 2 6_CUADRO base PQD" xfId="1145"/>
    <cellStyle name="Normal 2 6 3 2 7" xfId="1146"/>
    <cellStyle name="Normal 2 6 3 2 7 2" xfId="1147"/>
    <cellStyle name="Normal 2 6 3 2 7 2 2" xfId="1148"/>
    <cellStyle name="Normal 2 6 3 2 7 3" xfId="1149"/>
    <cellStyle name="Normal 2 6 3 2 7_CUADRO base PQD" xfId="1150"/>
    <cellStyle name="Normal 2 6 3 2 8" xfId="1151"/>
    <cellStyle name="Normal 2 6 3 2 8 2" xfId="1152"/>
    <cellStyle name="Normal 2 6 3 2 8 2 2" xfId="1153"/>
    <cellStyle name="Normal 2 6 3 2 8 3" xfId="1154"/>
    <cellStyle name="Normal 2 6 3 2 8_CUADRO base PQD" xfId="1155"/>
    <cellStyle name="Normal 2 6 3 2 9" xfId="1156"/>
    <cellStyle name="Normal 2 6 3 2 9 2" xfId="1157"/>
    <cellStyle name="Normal 2 6 3 2 9 2 2" xfId="1158"/>
    <cellStyle name="Normal 2 6 3 2 9 3" xfId="1159"/>
    <cellStyle name="Normal 2 6 3 2 9_CUADRO base PQD" xfId="1160"/>
    <cellStyle name="Normal 2 6 3 2_CUADRO base PQD" xfId="1161"/>
    <cellStyle name="Normal 2 6 3 3" xfId="1162"/>
    <cellStyle name="Normal 2 6 3 3 2" xfId="1163"/>
    <cellStyle name="Normal 2 6 3 3 2 2" xfId="1164"/>
    <cellStyle name="Normal 2 6 3 3 3" xfId="1165"/>
    <cellStyle name="Normal 2 6 3 3_CUADRO base PQD" xfId="1166"/>
    <cellStyle name="Normal 2 6 3 4" xfId="1167"/>
    <cellStyle name="Normal 2 6 3 4 2" xfId="1168"/>
    <cellStyle name="Normal 2 6 3 4 2 2" xfId="1169"/>
    <cellStyle name="Normal 2 6 3 4 3" xfId="1170"/>
    <cellStyle name="Normal 2 6 3 4_CUADRO base PQD" xfId="1171"/>
    <cellStyle name="Normal 2 6 3 5" xfId="1172"/>
    <cellStyle name="Normal 2 6 3 5 2" xfId="1173"/>
    <cellStyle name="Normal 2 6 3 5 2 2" xfId="1174"/>
    <cellStyle name="Normal 2 6 3 5 3" xfId="1175"/>
    <cellStyle name="Normal 2 6 3 5_CUADRO base PQD" xfId="1176"/>
    <cellStyle name="Normal 2 6 3 6" xfId="1177"/>
    <cellStyle name="Normal 2 6 3 6 2" xfId="1178"/>
    <cellStyle name="Normal 2 6 3 6 2 2" xfId="1179"/>
    <cellStyle name="Normal 2 6 3 6 3" xfId="1180"/>
    <cellStyle name="Normal 2 6 3 6_CUADRO base PQD" xfId="1181"/>
    <cellStyle name="Normal 2 6 3 7" xfId="1182"/>
    <cellStyle name="Normal 2 6 3 7 2" xfId="1183"/>
    <cellStyle name="Normal 2 6 3 7 2 2" xfId="1184"/>
    <cellStyle name="Normal 2 6 3 7 3" xfId="1185"/>
    <cellStyle name="Normal 2 6 3 7_CUADRO base PQD" xfId="1186"/>
    <cellStyle name="Normal 2 6 3 8" xfId="1187"/>
    <cellStyle name="Normal 2 6 3 8 2" xfId="1188"/>
    <cellStyle name="Normal 2 6 3 8 2 2" xfId="1189"/>
    <cellStyle name="Normal 2 6 3 8 3" xfId="1190"/>
    <cellStyle name="Normal 2 6 3 8_CUADRO base PQD" xfId="1191"/>
    <cellStyle name="Normal 2 6 3 9" xfId="1192"/>
    <cellStyle name="Normal 2 6 3 9 2" xfId="1193"/>
    <cellStyle name="Normal 2 6 3 9 2 2" xfId="1194"/>
    <cellStyle name="Normal 2 6 3 9 3" xfId="1195"/>
    <cellStyle name="Normal 2 6 3 9_CUADRO base PQD" xfId="1196"/>
    <cellStyle name="Normal 2 6 3_CUADRO base PQD" xfId="1197"/>
    <cellStyle name="Normal 2 6 4" xfId="1198"/>
    <cellStyle name="Normal 2 6 4 2" xfId="1199"/>
    <cellStyle name="Normal 2 6 4 2 2" xfId="1200"/>
    <cellStyle name="Normal 2 6 4 3" xfId="1201"/>
    <cellStyle name="Normal 2 6 4_CUADRO base PQD" xfId="1202"/>
    <cellStyle name="Normal 2 6 5" xfId="1203"/>
    <cellStyle name="Normal 2 6 5 2" xfId="1204"/>
    <cellStyle name="Normal 2 6 5 2 2" xfId="1205"/>
    <cellStyle name="Normal 2 6 5 3" xfId="1206"/>
    <cellStyle name="Normal 2 6 5_CUADRO base PQD" xfId="1207"/>
    <cellStyle name="Normal 2 6 6" xfId="1208"/>
    <cellStyle name="Normal 2 6 6 2" xfId="1209"/>
    <cellStyle name="Normal 2 6 6 2 2" xfId="1210"/>
    <cellStyle name="Normal 2 6 6 3" xfId="1211"/>
    <cellStyle name="Normal 2 6 6_CUADRO base PQD" xfId="1212"/>
    <cellStyle name="Normal 2 6 7" xfId="1213"/>
    <cellStyle name="Normal 2 6 7 2" xfId="1214"/>
    <cellStyle name="Normal 2 6 7 2 2" xfId="1215"/>
    <cellStyle name="Normal 2 6 7 3" xfId="1216"/>
    <cellStyle name="Normal 2 6 7_CUADRO base PQD" xfId="1217"/>
    <cellStyle name="Normal 2 6 8" xfId="1218"/>
    <cellStyle name="Normal 2 6 8 2" xfId="1219"/>
    <cellStyle name="Normal 2 6 8 2 2" xfId="1220"/>
    <cellStyle name="Normal 2 6 8 3" xfId="1221"/>
    <cellStyle name="Normal 2 6 8_CUADRO base PQD" xfId="1222"/>
    <cellStyle name="Normal 2 6 9" xfId="1223"/>
    <cellStyle name="Normal 2 6 9 2" xfId="1224"/>
    <cellStyle name="Normal 2 6 9 2 2" xfId="1225"/>
    <cellStyle name="Normal 2 6 9 3" xfId="1226"/>
    <cellStyle name="Normal 2 6 9_CUADRO base PQD" xfId="1227"/>
    <cellStyle name="Normal 2 6_CUADRO base PQD" xfId="1228"/>
    <cellStyle name="Normal 2 7" xfId="1229"/>
    <cellStyle name="Normal 2 7 10" xfId="1230"/>
    <cellStyle name="Normal 2 7 10 2" xfId="1231"/>
    <cellStyle name="Normal 2 7 10 2 2" xfId="1232"/>
    <cellStyle name="Normal 2 7 10 3" xfId="1233"/>
    <cellStyle name="Normal 2 7 10_CUADRO base PQD" xfId="1234"/>
    <cellStyle name="Normal 2 7 11" xfId="1235"/>
    <cellStyle name="Normal 2 7 11 2" xfId="1236"/>
    <cellStyle name="Normal 2 7 11 2 2" xfId="1237"/>
    <cellStyle name="Normal 2 7 11 3" xfId="1238"/>
    <cellStyle name="Normal 2 7 11_CUADRO base PQD" xfId="1239"/>
    <cellStyle name="Normal 2 7 12" xfId="1240"/>
    <cellStyle name="Normal 2 7 12 2" xfId="1241"/>
    <cellStyle name="Normal 2 7 12 2 2" xfId="1242"/>
    <cellStyle name="Normal 2 7 12 3" xfId="1243"/>
    <cellStyle name="Normal 2 7 12_CUADRO base PQD" xfId="1244"/>
    <cellStyle name="Normal 2 7 13" xfId="1245"/>
    <cellStyle name="Normal 2 7 13 2" xfId="1246"/>
    <cellStyle name="Normal 2 7 14" xfId="1247"/>
    <cellStyle name="Normal 2 7 2" xfId="1248"/>
    <cellStyle name="Normal 2 7 2 2" xfId="1249"/>
    <cellStyle name="Normal 2 7 2 2 2" xfId="1250"/>
    <cellStyle name="Normal 2 7 2 3" xfId="1251"/>
    <cellStyle name="Normal 2 7 2_CUADRO base PQD" xfId="1252"/>
    <cellStyle name="Normal 2 7 3" xfId="1253"/>
    <cellStyle name="Normal 2 7 3 2" xfId="1254"/>
    <cellStyle name="Normal 2 7 3 2 2" xfId="1255"/>
    <cellStyle name="Normal 2 7 3 3" xfId="1256"/>
    <cellStyle name="Normal 2 7 3_CUADRO base PQD" xfId="1257"/>
    <cellStyle name="Normal 2 7 4" xfId="1258"/>
    <cellStyle name="Normal 2 7 4 2" xfId="1259"/>
    <cellStyle name="Normal 2 7 4 2 2" xfId="1260"/>
    <cellStyle name="Normal 2 7 4 3" xfId="1261"/>
    <cellStyle name="Normal 2 7 4_CUADRO base PQD" xfId="1262"/>
    <cellStyle name="Normal 2 7 5" xfId="1263"/>
    <cellStyle name="Normal 2 7 5 2" xfId="1264"/>
    <cellStyle name="Normal 2 7 5 2 2" xfId="1265"/>
    <cellStyle name="Normal 2 7 5 3" xfId="1266"/>
    <cellStyle name="Normal 2 7 5_CUADRO base PQD" xfId="1267"/>
    <cellStyle name="Normal 2 7 6" xfId="1268"/>
    <cellStyle name="Normal 2 7 6 2" xfId="1269"/>
    <cellStyle name="Normal 2 7 6 2 2" xfId="1270"/>
    <cellStyle name="Normal 2 7 6 3" xfId="1271"/>
    <cellStyle name="Normal 2 7 6_CUADRO base PQD" xfId="1272"/>
    <cellStyle name="Normal 2 7 7" xfId="1273"/>
    <cellStyle name="Normal 2 7 7 2" xfId="1274"/>
    <cellStyle name="Normal 2 7 7 2 2" xfId="1275"/>
    <cellStyle name="Normal 2 7 7 3" xfId="1276"/>
    <cellStyle name="Normal 2 7 7_CUADRO base PQD" xfId="1277"/>
    <cellStyle name="Normal 2 7 8" xfId="1278"/>
    <cellStyle name="Normal 2 7 8 2" xfId="1279"/>
    <cellStyle name="Normal 2 7 8 2 2" xfId="1280"/>
    <cellStyle name="Normal 2 7 8 3" xfId="1281"/>
    <cellStyle name="Normal 2 7 8_CUADRO base PQD" xfId="1282"/>
    <cellStyle name="Normal 2 7 9" xfId="1283"/>
    <cellStyle name="Normal 2 7 9 2" xfId="1284"/>
    <cellStyle name="Normal 2 7 9 2 2" xfId="1285"/>
    <cellStyle name="Normal 2 7 9 3" xfId="1286"/>
    <cellStyle name="Normal 2 7 9_CUADRO base PQD" xfId="1287"/>
    <cellStyle name="Normal 2 7_CUADRO base PQD" xfId="1288"/>
    <cellStyle name="Normal 2 8" xfId="1289"/>
    <cellStyle name="Normal 2 8 2" xfId="1290"/>
    <cellStyle name="Normal 2 8 2 2" xfId="1291"/>
    <cellStyle name="Normal 2 8 3" xfId="1292"/>
    <cellStyle name="Normal 2 8_CUADRO base PQD" xfId="1293"/>
    <cellStyle name="Normal 2 9" xfId="1294"/>
    <cellStyle name="Normal 2 9 2" xfId="1295"/>
    <cellStyle name="Normal 2 9 2 2" xfId="1296"/>
    <cellStyle name="Normal 2 9 3" xfId="1297"/>
    <cellStyle name="Normal 2 9_CUADRO base PQD" xfId="1298"/>
    <cellStyle name="Normal 2_CUADRO base PQD" xfId="1299"/>
    <cellStyle name="Normal 20" xfId="1546"/>
    <cellStyle name="Normal 3" xfId="3"/>
    <cellStyle name="Normal 3 2" xfId="75"/>
    <cellStyle name="Normal 3 2 2" xfId="1300"/>
    <cellStyle name="Normal 3 2 3" xfId="1535"/>
    <cellStyle name="Normal 3 3" xfId="1301"/>
    <cellStyle name="Normal 3 4" xfId="1536"/>
    <cellStyle name="Normal 4" xfId="63"/>
    <cellStyle name="Normal 4 2" xfId="1302"/>
    <cellStyle name="Normal 4 3" xfId="1303"/>
    <cellStyle name="Normal 4 4" xfId="1529"/>
    <cellStyle name="Normal 5" xfId="14"/>
    <cellStyle name="Normal 5 10" xfId="1304"/>
    <cellStyle name="Normal 5 10 2" xfId="1305"/>
    <cellStyle name="Normal 5 10 2 2" xfId="1306"/>
    <cellStyle name="Normal 5 10 3" xfId="1307"/>
    <cellStyle name="Normal 5 10_CUADRO base PQD" xfId="1308"/>
    <cellStyle name="Normal 5 11" xfId="1309"/>
    <cellStyle name="Normal 5 11 2" xfId="1310"/>
    <cellStyle name="Normal 5 11 2 2" xfId="1311"/>
    <cellStyle name="Normal 5 11 3" xfId="1312"/>
    <cellStyle name="Normal 5 11_CUADRO base PQD" xfId="1313"/>
    <cellStyle name="Normal 5 12" xfId="1314"/>
    <cellStyle name="Normal 5 12 2" xfId="1315"/>
    <cellStyle name="Normal 5 12 2 2" xfId="1316"/>
    <cellStyle name="Normal 5 12 3" xfId="1317"/>
    <cellStyle name="Normal 5 12_CUADRO base PQD" xfId="1318"/>
    <cellStyle name="Normal 5 13" xfId="1319"/>
    <cellStyle name="Normal 5 13 2" xfId="1320"/>
    <cellStyle name="Normal 5 14" xfId="1321"/>
    <cellStyle name="Normal 5 2" xfId="1322"/>
    <cellStyle name="Normal 5 2 2" xfId="1323"/>
    <cellStyle name="Normal 5 2 2 2" xfId="1324"/>
    <cellStyle name="Normal 5 2 3" xfId="1325"/>
    <cellStyle name="Normal 5 2 4" xfId="1528"/>
    <cellStyle name="Normal 5 2_CUADRO base PQD" xfId="1326"/>
    <cellStyle name="Normal 5 3" xfId="1327"/>
    <cellStyle name="Normal 5 3 2" xfId="1328"/>
    <cellStyle name="Normal 5 3 2 2" xfId="1329"/>
    <cellStyle name="Normal 5 3 3" xfId="1330"/>
    <cellStyle name="Normal 5 3_CUADRO base PQD" xfId="1331"/>
    <cellStyle name="Normal 5 4" xfId="1332"/>
    <cellStyle name="Normal 5 4 2" xfId="1333"/>
    <cellStyle name="Normal 5 4 2 2" xfId="1334"/>
    <cellStyle name="Normal 5 4 3" xfId="1335"/>
    <cellStyle name="Normal 5 4_CUADRO base PQD" xfId="1336"/>
    <cellStyle name="Normal 5 5" xfId="1337"/>
    <cellStyle name="Normal 5 5 2" xfId="1338"/>
    <cellStyle name="Normal 5 5 2 2" xfId="1339"/>
    <cellStyle name="Normal 5 5 3" xfId="1340"/>
    <cellStyle name="Normal 5 5_CUADRO base PQD" xfId="1341"/>
    <cellStyle name="Normal 5 6" xfId="1342"/>
    <cellStyle name="Normal 5 6 2" xfId="1343"/>
    <cellStyle name="Normal 5 6 2 2" xfId="1344"/>
    <cellStyle name="Normal 5 6 3" xfId="1345"/>
    <cellStyle name="Normal 5 6_CUADRO base PQD" xfId="1346"/>
    <cellStyle name="Normal 5 7" xfId="1347"/>
    <cellStyle name="Normal 5 7 2" xfId="1348"/>
    <cellStyle name="Normal 5 7 2 2" xfId="1349"/>
    <cellStyle name="Normal 5 7 3" xfId="1350"/>
    <cellStyle name="Normal 5 7_CUADRO base PQD" xfId="1351"/>
    <cellStyle name="Normal 5 8" xfId="1352"/>
    <cellStyle name="Normal 5 8 2" xfId="1353"/>
    <cellStyle name="Normal 5 8 2 2" xfId="1354"/>
    <cellStyle name="Normal 5 8 3" xfId="1355"/>
    <cellStyle name="Normal 5 8_CUADRO base PQD" xfId="1356"/>
    <cellStyle name="Normal 5 9" xfId="1357"/>
    <cellStyle name="Normal 5 9 2" xfId="1358"/>
    <cellStyle name="Normal 5 9 2 2" xfId="1359"/>
    <cellStyle name="Normal 5 9 3" xfId="1360"/>
    <cellStyle name="Normal 5 9_CUADRO base PQD" xfId="1361"/>
    <cellStyle name="Normal 5_CUADRO base PQD" xfId="1362"/>
    <cellStyle name="Normal 6" xfId="76"/>
    <cellStyle name="Normal 6 10" xfId="1363"/>
    <cellStyle name="Normal 6 10 2" xfId="1364"/>
    <cellStyle name="Normal 6 10 2 2" xfId="1365"/>
    <cellStyle name="Normal 6 10 3" xfId="1366"/>
    <cellStyle name="Normal 6 10_CUADRO base PQD" xfId="1367"/>
    <cellStyle name="Normal 6 11" xfId="1368"/>
    <cellStyle name="Normal 6 11 2" xfId="1369"/>
    <cellStyle name="Normal 6 11 2 2" xfId="1370"/>
    <cellStyle name="Normal 6 11 3" xfId="1371"/>
    <cellStyle name="Normal 6 11_CUADRO base PQD" xfId="1372"/>
    <cellStyle name="Normal 6 12" xfId="1373"/>
    <cellStyle name="Normal 6 12 2" xfId="1374"/>
    <cellStyle name="Normal 6 12 2 2" xfId="1375"/>
    <cellStyle name="Normal 6 12 3" xfId="1376"/>
    <cellStyle name="Normal 6 12_CUADRO base PQD" xfId="1377"/>
    <cellStyle name="Normal 6 13" xfId="1378"/>
    <cellStyle name="Normal 6 13 2" xfId="1379"/>
    <cellStyle name="Normal 6 14" xfId="1380"/>
    <cellStyle name="Normal 6 15" xfId="1530"/>
    <cellStyle name="Normal 6 2" xfId="1381"/>
    <cellStyle name="Normal 6 2 2" xfId="1382"/>
    <cellStyle name="Normal 6 2 2 2" xfId="1383"/>
    <cellStyle name="Normal 6 2 3" xfId="1384"/>
    <cellStyle name="Normal 6 2_CUADRO base PQD" xfId="1385"/>
    <cellStyle name="Normal 6 3" xfId="1386"/>
    <cellStyle name="Normal 6 3 2" xfId="1387"/>
    <cellStyle name="Normal 6 3 2 2" xfId="1388"/>
    <cellStyle name="Normal 6 3 3" xfId="1389"/>
    <cellStyle name="Normal 6 3_CUADRO base PQD" xfId="1390"/>
    <cellStyle name="Normal 6 4" xfId="1391"/>
    <cellStyle name="Normal 6 4 2" xfId="1392"/>
    <cellStyle name="Normal 6 4 2 2" xfId="1393"/>
    <cellStyle name="Normal 6 4 3" xfId="1394"/>
    <cellStyle name="Normal 6 4_CUADRO base PQD" xfId="1395"/>
    <cellStyle name="Normal 6 5" xfId="1396"/>
    <cellStyle name="Normal 6 5 2" xfId="1397"/>
    <cellStyle name="Normal 6 5 2 2" xfId="1398"/>
    <cellStyle name="Normal 6 5 3" xfId="1399"/>
    <cellStyle name="Normal 6 5_CUADRO base PQD" xfId="1400"/>
    <cellStyle name="Normal 6 6" xfId="1401"/>
    <cellStyle name="Normal 6 6 2" xfId="1402"/>
    <cellStyle name="Normal 6 6 2 2" xfId="1403"/>
    <cellStyle name="Normal 6 6 3" xfId="1404"/>
    <cellStyle name="Normal 6 6_CUADRO base PQD" xfId="1405"/>
    <cellStyle name="Normal 6 7" xfId="1406"/>
    <cellStyle name="Normal 6 7 2" xfId="1407"/>
    <cellStyle name="Normal 6 7 2 2" xfId="1408"/>
    <cellStyle name="Normal 6 7 3" xfId="1409"/>
    <cellStyle name="Normal 6 7_CUADRO base PQD" xfId="1410"/>
    <cellStyle name="Normal 6 8" xfId="1411"/>
    <cellStyle name="Normal 6 8 2" xfId="1412"/>
    <cellStyle name="Normal 6 8 2 2" xfId="1413"/>
    <cellStyle name="Normal 6 8 3" xfId="1414"/>
    <cellStyle name="Normal 6 8_CUADRO base PQD" xfId="1415"/>
    <cellStyle name="Normal 6 9" xfId="1416"/>
    <cellStyle name="Normal 6 9 2" xfId="1417"/>
    <cellStyle name="Normal 6 9 2 2" xfId="1418"/>
    <cellStyle name="Normal 6 9 3" xfId="1419"/>
    <cellStyle name="Normal 6 9_CUADRO base PQD" xfId="1420"/>
    <cellStyle name="Normal 6_CUADRO base PQD" xfId="1421"/>
    <cellStyle name="Normal 7" xfId="1422"/>
    <cellStyle name="Normal 7 2" xfId="1423"/>
    <cellStyle name="Normal 7 3" xfId="1537"/>
    <cellStyle name="Normal 8" xfId="1424"/>
    <cellStyle name="Normal 8 2" xfId="1538"/>
    <cellStyle name="Normal 8 3" xfId="1539"/>
    <cellStyle name="Normal 9" xfId="1425"/>
    <cellStyle name="Notas 2" xfId="64"/>
    <cellStyle name="Percent 2" xfId="1426"/>
    <cellStyle name="Porcentaje 2" xfId="1427"/>
    <cellStyle name="Porcentaje 2 2" xfId="1428"/>
    <cellStyle name="Porcentaje 2 3" xfId="1429"/>
    <cellStyle name="Porcentaje 3" xfId="1430"/>
    <cellStyle name="Porcentaje 4" xfId="1431"/>
    <cellStyle name="Porcentaje 5" xfId="1432"/>
    <cellStyle name="Porcentaje 6" xfId="1433"/>
    <cellStyle name="Porcentual" xfId="1" builtinId="5"/>
    <cellStyle name="Porcentual 2" xfId="15"/>
    <cellStyle name="Porcentual 2 10" xfId="1434"/>
    <cellStyle name="Porcentual 2 10 2" xfId="1435"/>
    <cellStyle name="Porcentual 2 10 2 2" xfId="1436"/>
    <cellStyle name="Porcentual 2 10 3" xfId="1437"/>
    <cellStyle name="Porcentual 2 11" xfId="1438"/>
    <cellStyle name="Porcentual 2 11 2" xfId="1439"/>
    <cellStyle name="Porcentual 2 11 2 2" xfId="1440"/>
    <cellStyle name="Porcentual 2 11 3" xfId="1441"/>
    <cellStyle name="Porcentual 2 12" xfId="1442"/>
    <cellStyle name="Porcentual 2 12 2" xfId="1443"/>
    <cellStyle name="Porcentual 2 12 2 2" xfId="1444"/>
    <cellStyle name="Porcentual 2 12 3" xfId="1445"/>
    <cellStyle name="Porcentual 2 13" xfId="1446"/>
    <cellStyle name="Porcentual 2 13 2" xfId="1447"/>
    <cellStyle name="Porcentual 2 14" xfId="1448"/>
    <cellStyle name="Porcentual 2 2" xfId="65"/>
    <cellStyle name="Porcentual 2 2 2" xfId="1449"/>
    <cellStyle name="Porcentual 2 2 2 2" xfId="1450"/>
    <cellStyle name="Porcentual 2 2 3" xfId="1451"/>
    <cellStyle name="Porcentual 2 3" xfId="1452"/>
    <cellStyle name="Porcentual 2 3 2" xfId="1453"/>
    <cellStyle name="Porcentual 2 3 2 2" xfId="1454"/>
    <cellStyle name="Porcentual 2 3 3" xfId="1455"/>
    <cellStyle name="Porcentual 2 4" xfId="1456"/>
    <cellStyle name="Porcentual 2 4 2" xfId="1457"/>
    <cellStyle name="Porcentual 2 4 2 2" xfId="1458"/>
    <cellStyle name="Porcentual 2 4 3" xfId="1459"/>
    <cellStyle name="Porcentual 2 5" xfId="1460"/>
    <cellStyle name="Porcentual 2 5 2" xfId="1461"/>
    <cellStyle name="Porcentual 2 5 2 2" xfId="1462"/>
    <cellStyle name="Porcentual 2 5 3" xfId="1463"/>
    <cellStyle name="Porcentual 2 6" xfId="1464"/>
    <cellStyle name="Porcentual 2 6 2" xfId="1465"/>
    <cellStyle name="Porcentual 2 6 2 2" xfId="1466"/>
    <cellStyle name="Porcentual 2 6 3" xfId="1467"/>
    <cellStyle name="Porcentual 2 7" xfId="1468"/>
    <cellStyle name="Porcentual 2 7 2" xfId="1469"/>
    <cellStyle name="Porcentual 2 7 2 2" xfId="1470"/>
    <cellStyle name="Porcentual 2 7 3" xfId="1471"/>
    <cellStyle name="Porcentual 2 8" xfId="1472"/>
    <cellStyle name="Porcentual 2 8 2" xfId="1473"/>
    <cellStyle name="Porcentual 2 8 2 2" xfId="1474"/>
    <cellStyle name="Porcentual 2 8 3" xfId="1475"/>
    <cellStyle name="Porcentual 2 9" xfId="1476"/>
    <cellStyle name="Porcentual 2 9 2" xfId="1477"/>
    <cellStyle name="Porcentual 2 9 2 2" xfId="1478"/>
    <cellStyle name="Porcentual 2 9 3" xfId="1479"/>
    <cellStyle name="Porcentual 3" xfId="66"/>
    <cellStyle name="Porcentual 3 10" xfId="1480"/>
    <cellStyle name="Porcentual 3 10 2" xfId="1481"/>
    <cellStyle name="Porcentual 3 10 2 2" xfId="1482"/>
    <cellStyle name="Porcentual 3 10 3" xfId="1483"/>
    <cellStyle name="Porcentual 3 11" xfId="1484"/>
    <cellStyle name="Porcentual 3 11 2" xfId="1485"/>
    <cellStyle name="Porcentual 3 11 2 2" xfId="1486"/>
    <cellStyle name="Porcentual 3 11 3" xfId="1487"/>
    <cellStyle name="Porcentual 3 12" xfId="1488"/>
    <cellStyle name="Porcentual 3 12 2" xfId="1489"/>
    <cellStyle name="Porcentual 3 12 2 2" xfId="1490"/>
    <cellStyle name="Porcentual 3 12 3" xfId="1491"/>
    <cellStyle name="Porcentual 3 13" xfId="1492"/>
    <cellStyle name="Porcentual 3 13 2" xfId="1493"/>
    <cellStyle name="Porcentual 3 14" xfId="1494"/>
    <cellStyle name="Porcentual 3 2" xfId="1495"/>
    <cellStyle name="Porcentual 3 2 2" xfId="1496"/>
    <cellStyle name="Porcentual 3 2 2 2" xfId="1497"/>
    <cellStyle name="Porcentual 3 2 3" xfId="1498"/>
    <cellStyle name="Porcentual 3 3" xfId="1499"/>
    <cellStyle name="Porcentual 3 3 2" xfId="1500"/>
    <cellStyle name="Porcentual 3 3 2 2" xfId="1501"/>
    <cellStyle name="Porcentual 3 3 3" xfId="1502"/>
    <cellStyle name="Porcentual 3 4" xfId="1503"/>
    <cellStyle name="Porcentual 3 4 2" xfId="1504"/>
    <cellStyle name="Porcentual 3 4 2 2" xfId="1505"/>
    <cellStyle name="Porcentual 3 4 3" xfId="1506"/>
    <cellStyle name="Porcentual 3 5" xfId="1507"/>
    <cellStyle name="Porcentual 3 5 2" xfId="1508"/>
    <cellStyle name="Porcentual 3 5 2 2" xfId="1509"/>
    <cellStyle name="Porcentual 3 5 3" xfId="1510"/>
    <cellStyle name="Porcentual 3 6" xfId="1511"/>
    <cellStyle name="Porcentual 3 6 2" xfId="1512"/>
    <cellStyle name="Porcentual 3 6 2 2" xfId="1513"/>
    <cellStyle name="Porcentual 3 6 3" xfId="1514"/>
    <cellStyle name="Porcentual 3 7" xfId="1515"/>
    <cellStyle name="Porcentual 3 7 2" xfId="1516"/>
    <cellStyle name="Porcentual 3 7 2 2" xfId="1517"/>
    <cellStyle name="Porcentual 3 7 3" xfId="1518"/>
    <cellStyle name="Porcentual 3 8" xfId="1519"/>
    <cellStyle name="Porcentual 3 8 2" xfId="1520"/>
    <cellStyle name="Porcentual 3 8 2 2" xfId="1521"/>
    <cellStyle name="Porcentual 3 8 3" xfId="1522"/>
    <cellStyle name="Porcentual 3 9" xfId="1523"/>
    <cellStyle name="Porcentual 3 9 2" xfId="1524"/>
    <cellStyle name="Porcentual 3 9 2 2" xfId="1525"/>
    <cellStyle name="Porcentual 3 9 3" xfId="1526"/>
    <cellStyle name="Porcentual 4" xfId="1547"/>
    <cellStyle name="Porcentual 5" xfId="1550"/>
    <cellStyle name="Salida 2" xfId="67"/>
    <cellStyle name="Texto de advertencia 2" xfId="68"/>
    <cellStyle name="Texto explicativo 2" xfId="69"/>
    <cellStyle name="Título 1 2" xfId="70"/>
    <cellStyle name="Título 2 2" xfId="71"/>
    <cellStyle name="Título 3 2" xfId="72"/>
    <cellStyle name="Título 4" xfId="73"/>
    <cellStyle name="Total 2" xfId="7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jpeg"/><Relationship Id="rId1" Type="http://schemas.openxmlformats.org/officeDocument/2006/relationships/image" Target="../media/image1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jpe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196958</xdr:colOff>
      <xdr:row>0</xdr:row>
      <xdr:rowOff>0</xdr:rowOff>
    </xdr:from>
    <xdr:to>
      <xdr:col>2</xdr:col>
      <xdr:colOff>612321</xdr:colOff>
      <xdr:row>4</xdr:row>
      <xdr:rowOff>150248</xdr:rowOff>
    </xdr:to>
    <xdr:pic>
      <xdr:nvPicPr>
        <xdr:cNvPr id="2" name="Imagen 3" descr="D:\DESCARGAS\el_salvador_78790\el-salvador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0333" y="0"/>
          <a:ext cx="1139263" cy="10360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42</xdr:col>
      <xdr:colOff>148126</xdr:colOff>
      <xdr:row>0</xdr:row>
      <xdr:rowOff>0</xdr:rowOff>
    </xdr:from>
    <xdr:to>
      <xdr:col>43</xdr:col>
      <xdr:colOff>822463</xdr:colOff>
      <xdr:row>5</xdr:row>
      <xdr:rowOff>102053</xdr:rowOff>
    </xdr:to>
    <xdr:pic>
      <xdr:nvPicPr>
        <xdr:cNvPr id="3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474976" y="0"/>
          <a:ext cx="1922112" cy="11126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235323</xdr:colOff>
      <xdr:row>0</xdr:row>
      <xdr:rowOff>0</xdr:rowOff>
    </xdr:from>
    <xdr:to>
      <xdr:col>2</xdr:col>
      <xdr:colOff>414618</xdr:colOff>
      <xdr:row>4</xdr:row>
      <xdr:rowOff>145027</xdr:rowOff>
    </xdr:to>
    <xdr:pic>
      <xdr:nvPicPr>
        <xdr:cNvPr id="2" name="Imagen 3" descr="D:\DESCARGAS\el_salvador_78790\el-salvador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735" y="0"/>
          <a:ext cx="974912" cy="951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42</xdr:col>
      <xdr:colOff>448236</xdr:colOff>
      <xdr:row>0</xdr:row>
      <xdr:rowOff>0</xdr:rowOff>
    </xdr:from>
    <xdr:to>
      <xdr:col>43</xdr:col>
      <xdr:colOff>1092424</xdr:colOff>
      <xdr:row>4</xdr:row>
      <xdr:rowOff>145563</xdr:rowOff>
    </xdr:to>
    <xdr:pic>
      <xdr:nvPicPr>
        <xdr:cNvPr id="3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869030" y="0"/>
          <a:ext cx="1630306" cy="9523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391291</xdr:colOff>
      <xdr:row>0</xdr:row>
      <xdr:rowOff>63500</xdr:rowOff>
    </xdr:from>
    <xdr:to>
      <xdr:col>2</xdr:col>
      <xdr:colOff>657226</xdr:colOff>
      <xdr:row>4</xdr:row>
      <xdr:rowOff>162410</xdr:rowOff>
    </xdr:to>
    <xdr:pic>
      <xdr:nvPicPr>
        <xdr:cNvPr id="2" name="Imagen 3" descr="D:\DESCARGAS\el_salvador_78790\el-salvador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7066" y="63500"/>
          <a:ext cx="1180335" cy="9847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42</xdr:col>
      <xdr:colOff>826580</xdr:colOff>
      <xdr:row>0</xdr:row>
      <xdr:rowOff>0</xdr:rowOff>
    </xdr:from>
    <xdr:to>
      <xdr:col>43</xdr:col>
      <xdr:colOff>1158875</xdr:colOff>
      <xdr:row>4</xdr:row>
      <xdr:rowOff>202746</xdr:rowOff>
    </xdr:to>
    <xdr:pic>
      <xdr:nvPicPr>
        <xdr:cNvPr id="3" name="Imagen 1" descr="D:\DISEÑOS\LOGO MAG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965305" y="0"/>
          <a:ext cx="2056320" cy="10885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323851</xdr:colOff>
      <xdr:row>0</xdr:row>
      <xdr:rowOff>0</xdr:rowOff>
    </xdr:from>
    <xdr:to>
      <xdr:col>2</xdr:col>
      <xdr:colOff>676275</xdr:colOff>
      <xdr:row>4</xdr:row>
      <xdr:rowOff>116612</xdr:rowOff>
    </xdr:to>
    <xdr:pic>
      <xdr:nvPicPr>
        <xdr:cNvPr id="2" name="Imagen 3" descr="D:\DESCARGAS\el_salvador_78790\el-salvador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1" y="0"/>
          <a:ext cx="1495424" cy="1069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42</xdr:col>
      <xdr:colOff>95250</xdr:colOff>
      <xdr:row>0</xdr:row>
      <xdr:rowOff>0</xdr:rowOff>
    </xdr:from>
    <xdr:to>
      <xdr:col>43</xdr:col>
      <xdr:colOff>908089</xdr:colOff>
      <xdr:row>4</xdr:row>
      <xdr:rowOff>171450</xdr:rowOff>
    </xdr:to>
    <xdr:pic>
      <xdr:nvPicPr>
        <xdr:cNvPr id="3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108400" y="0"/>
          <a:ext cx="1993939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410309</xdr:colOff>
      <xdr:row>0</xdr:row>
      <xdr:rowOff>0</xdr:rowOff>
    </xdr:from>
    <xdr:to>
      <xdr:col>2</xdr:col>
      <xdr:colOff>154693</xdr:colOff>
      <xdr:row>4</xdr:row>
      <xdr:rowOff>131884</xdr:rowOff>
    </xdr:to>
    <xdr:pic>
      <xdr:nvPicPr>
        <xdr:cNvPr id="2" name="Imagen 3" descr="D:\DESCARGAS\el_salvador_78790\el-salvador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0309" y="0"/>
          <a:ext cx="1115984" cy="9129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42</xdr:col>
      <xdr:colOff>1333500</xdr:colOff>
      <xdr:row>0</xdr:row>
      <xdr:rowOff>0</xdr:rowOff>
    </xdr:from>
    <xdr:to>
      <xdr:col>43</xdr:col>
      <xdr:colOff>1688281</xdr:colOff>
      <xdr:row>4</xdr:row>
      <xdr:rowOff>171743</xdr:rowOff>
    </xdr:to>
    <xdr:pic>
      <xdr:nvPicPr>
        <xdr:cNvPr id="3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3725" y="0"/>
          <a:ext cx="1697806" cy="952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286318</xdr:colOff>
      <xdr:row>0</xdr:row>
      <xdr:rowOff>0</xdr:rowOff>
    </xdr:from>
    <xdr:to>
      <xdr:col>2</xdr:col>
      <xdr:colOff>336212</xdr:colOff>
      <xdr:row>4</xdr:row>
      <xdr:rowOff>152039</xdr:rowOff>
    </xdr:to>
    <xdr:pic>
      <xdr:nvPicPr>
        <xdr:cNvPr id="2" name="Imagen 3" descr="D:\DESCARGAS\el_salvador_78790\el-salvador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318" y="0"/>
          <a:ext cx="1172483" cy="10450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42</xdr:col>
      <xdr:colOff>1569689</xdr:colOff>
      <xdr:row>0</xdr:row>
      <xdr:rowOff>18971</xdr:rowOff>
    </xdr:from>
    <xdr:to>
      <xdr:col>43</xdr:col>
      <xdr:colOff>1472937</xdr:colOff>
      <xdr:row>4</xdr:row>
      <xdr:rowOff>191123</xdr:rowOff>
    </xdr:to>
    <xdr:pic>
      <xdr:nvPicPr>
        <xdr:cNvPr id="3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21289" y="18971"/>
          <a:ext cx="1484398" cy="1057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123976</xdr:colOff>
      <xdr:row>0</xdr:row>
      <xdr:rowOff>1</xdr:rowOff>
    </xdr:from>
    <xdr:to>
      <xdr:col>2</xdr:col>
      <xdr:colOff>725714</xdr:colOff>
      <xdr:row>5</xdr:row>
      <xdr:rowOff>146485</xdr:rowOff>
    </xdr:to>
    <xdr:pic>
      <xdr:nvPicPr>
        <xdr:cNvPr id="2" name="Imagen 3" descr="D:\DESCARGAS\el_salvador_78790\el-salvador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738" y="1"/>
          <a:ext cx="1463524" cy="12955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42</xdr:col>
      <xdr:colOff>544286</xdr:colOff>
      <xdr:row>0</xdr:row>
      <xdr:rowOff>15119</xdr:rowOff>
    </xdr:from>
    <xdr:to>
      <xdr:col>43</xdr:col>
      <xdr:colOff>1377373</xdr:colOff>
      <xdr:row>5</xdr:row>
      <xdr:rowOff>191801</xdr:rowOff>
    </xdr:to>
    <xdr:pic>
      <xdr:nvPicPr>
        <xdr:cNvPr id="3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00" y="15119"/>
          <a:ext cx="2269397" cy="13257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0</xdr:rowOff>
    </xdr:from>
    <xdr:to>
      <xdr:col>2</xdr:col>
      <xdr:colOff>190500</xdr:colOff>
      <xdr:row>4</xdr:row>
      <xdr:rowOff>190500</xdr:rowOff>
    </xdr:to>
    <xdr:pic>
      <xdr:nvPicPr>
        <xdr:cNvPr id="2" name="Imagen 3" descr="D:\DESCARGAS\el_salvador_78790\el-salvador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0"/>
          <a:ext cx="108585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134730</xdr:colOff>
      <xdr:row>0</xdr:row>
      <xdr:rowOff>0</xdr:rowOff>
    </xdr:from>
    <xdr:to>
      <xdr:col>2</xdr:col>
      <xdr:colOff>782133</xdr:colOff>
      <xdr:row>4</xdr:row>
      <xdr:rowOff>165652</xdr:rowOff>
    </xdr:to>
    <xdr:pic>
      <xdr:nvPicPr>
        <xdr:cNvPr id="2" name="Imagen 3" descr="D:\DESCARGAS\el_salvador_78790\el-salvador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6205" y="0"/>
          <a:ext cx="1428453" cy="10514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42</xdr:col>
      <xdr:colOff>125759</xdr:colOff>
      <xdr:row>0</xdr:row>
      <xdr:rowOff>0</xdr:rowOff>
    </xdr:from>
    <xdr:to>
      <xdr:col>43</xdr:col>
      <xdr:colOff>693946</xdr:colOff>
      <xdr:row>4</xdr:row>
      <xdr:rowOff>161925</xdr:rowOff>
    </xdr:to>
    <xdr:pic>
      <xdr:nvPicPr>
        <xdr:cNvPr id="3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528559" y="0"/>
          <a:ext cx="1777862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0</xdr:row>
      <xdr:rowOff>0</xdr:rowOff>
    </xdr:from>
    <xdr:to>
      <xdr:col>2</xdr:col>
      <xdr:colOff>333375</xdr:colOff>
      <xdr:row>4</xdr:row>
      <xdr:rowOff>149116</xdr:rowOff>
    </xdr:to>
    <xdr:pic>
      <xdr:nvPicPr>
        <xdr:cNvPr id="2" name="Imagen 3" descr="D:\DESCARGAS\el_salvador_78790\el-salvador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0050" y="0"/>
          <a:ext cx="971550" cy="9492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41</xdr:col>
      <xdr:colOff>497960</xdr:colOff>
      <xdr:row>0</xdr:row>
      <xdr:rowOff>1</xdr:rowOff>
    </xdr:from>
    <xdr:to>
      <xdr:col>43</xdr:col>
      <xdr:colOff>887662</xdr:colOff>
      <xdr:row>4</xdr:row>
      <xdr:rowOff>190500</xdr:rowOff>
    </xdr:to>
    <xdr:pic>
      <xdr:nvPicPr>
        <xdr:cNvPr id="3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110310" y="1"/>
          <a:ext cx="2123252" cy="9905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235040</xdr:colOff>
      <xdr:row>0</xdr:row>
      <xdr:rowOff>0</xdr:rowOff>
    </xdr:from>
    <xdr:to>
      <xdr:col>2</xdr:col>
      <xdr:colOff>590550</xdr:colOff>
      <xdr:row>4</xdr:row>
      <xdr:rowOff>167023</xdr:rowOff>
    </xdr:to>
    <xdr:pic>
      <xdr:nvPicPr>
        <xdr:cNvPr id="2" name="Imagen 3" descr="D:\DESCARGAS\el_salvador_78790\el-salvador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8415" y="0"/>
          <a:ext cx="1060360" cy="9671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42</xdr:col>
      <xdr:colOff>400050</xdr:colOff>
      <xdr:row>0</xdr:row>
      <xdr:rowOff>0</xdr:rowOff>
    </xdr:from>
    <xdr:to>
      <xdr:col>43</xdr:col>
      <xdr:colOff>933450</xdr:colOff>
      <xdr:row>4</xdr:row>
      <xdr:rowOff>171450</xdr:rowOff>
    </xdr:to>
    <xdr:pic>
      <xdr:nvPicPr>
        <xdr:cNvPr id="3" name="Imagen 1" descr="D:\DISEÑOS\LOGO MAG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450925" y="0"/>
          <a:ext cx="15144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152400</xdr:colOff>
      <xdr:row>4</xdr:row>
      <xdr:rowOff>152400</xdr:rowOff>
    </xdr:to>
    <xdr:pic>
      <xdr:nvPicPr>
        <xdr:cNvPr id="2" name="Imagen 3" descr="D:\DESCARGAS\el_salvador_78790\el-salvador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0001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42</xdr:col>
      <xdr:colOff>295275</xdr:colOff>
      <xdr:row>0</xdr:row>
      <xdr:rowOff>0</xdr:rowOff>
    </xdr:from>
    <xdr:to>
      <xdr:col>44</xdr:col>
      <xdr:colOff>19050</xdr:colOff>
      <xdr:row>4</xdr:row>
      <xdr:rowOff>171450</xdr:rowOff>
    </xdr:to>
    <xdr:pic>
      <xdr:nvPicPr>
        <xdr:cNvPr id="3" name="Imagen 1" descr="D:\DISEÑOS\LOGO MAG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955125" y="0"/>
          <a:ext cx="16478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246152</xdr:colOff>
      <xdr:row>0</xdr:row>
      <xdr:rowOff>0</xdr:rowOff>
    </xdr:from>
    <xdr:to>
      <xdr:col>2</xdr:col>
      <xdr:colOff>792116</xdr:colOff>
      <xdr:row>4</xdr:row>
      <xdr:rowOff>192950</xdr:rowOff>
    </xdr:to>
    <xdr:pic>
      <xdr:nvPicPr>
        <xdr:cNvPr id="2" name="Imagen 3" descr="D:\DESCARGAS\el_salvador_78790\el-salvador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6152" y="0"/>
          <a:ext cx="1434251" cy="1049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41</xdr:col>
      <xdr:colOff>834775</xdr:colOff>
      <xdr:row>0</xdr:row>
      <xdr:rowOff>42809</xdr:rowOff>
    </xdr:from>
    <xdr:to>
      <xdr:col>43</xdr:col>
      <xdr:colOff>830469</xdr:colOff>
      <xdr:row>4</xdr:row>
      <xdr:rowOff>232032</xdr:rowOff>
    </xdr:to>
    <xdr:pic>
      <xdr:nvPicPr>
        <xdr:cNvPr id="3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589073" y="42809"/>
          <a:ext cx="1782969" cy="10454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206148</xdr:colOff>
      <xdr:row>0</xdr:row>
      <xdr:rowOff>0</xdr:rowOff>
    </xdr:from>
    <xdr:to>
      <xdr:col>2</xdr:col>
      <xdr:colOff>467745</xdr:colOff>
      <xdr:row>4</xdr:row>
      <xdr:rowOff>119062</xdr:rowOff>
    </xdr:to>
    <xdr:pic>
      <xdr:nvPicPr>
        <xdr:cNvPr id="2" name="Imagen 3" descr="D:\DESCARGAS\el_salvador_78790\el-salvador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573" y="0"/>
          <a:ext cx="995022" cy="919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42</xdr:col>
      <xdr:colOff>93549</xdr:colOff>
      <xdr:row>0</xdr:row>
      <xdr:rowOff>0</xdr:rowOff>
    </xdr:from>
    <xdr:to>
      <xdr:col>44</xdr:col>
      <xdr:colOff>10546</xdr:colOff>
      <xdr:row>4</xdr:row>
      <xdr:rowOff>183733</xdr:rowOff>
    </xdr:to>
    <xdr:pic>
      <xdr:nvPicPr>
        <xdr:cNvPr id="3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10974" y="0"/>
          <a:ext cx="1698172" cy="983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0</xdr:rowOff>
    </xdr:from>
    <xdr:to>
      <xdr:col>2</xdr:col>
      <xdr:colOff>349919</xdr:colOff>
      <xdr:row>4</xdr:row>
      <xdr:rowOff>98280</xdr:rowOff>
    </xdr:to>
    <xdr:pic>
      <xdr:nvPicPr>
        <xdr:cNvPr id="2" name="Imagen 3" descr="D:\DESCARGAS\el_salvador_78790\el-salvador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0"/>
          <a:ext cx="997619" cy="898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43</xdr:col>
      <xdr:colOff>666750</xdr:colOff>
      <xdr:row>0</xdr:row>
      <xdr:rowOff>0</xdr:rowOff>
    </xdr:from>
    <xdr:to>
      <xdr:col>43</xdr:col>
      <xdr:colOff>2369685</xdr:colOff>
      <xdr:row>4</xdr:row>
      <xdr:rowOff>162951</xdr:rowOff>
    </xdr:to>
    <xdr:pic>
      <xdr:nvPicPr>
        <xdr:cNvPr id="3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0" y="0"/>
          <a:ext cx="1702935" cy="963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215080</xdr:colOff>
      <xdr:row>0</xdr:row>
      <xdr:rowOff>92179</xdr:rowOff>
    </xdr:from>
    <xdr:to>
      <xdr:col>2</xdr:col>
      <xdr:colOff>210204</xdr:colOff>
      <xdr:row>4</xdr:row>
      <xdr:rowOff>130586</xdr:rowOff>
    </xdr:to>
    <xdr:pic>
      <xdr:nvPicPr>
        <xdr:cNvPr id="2" name="Imagen 3" descr="D:\DESCARGAS\el_salvador_78790\el-salvador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080" y="92179"/>
          <a:ext cx="1070527" cy="8065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43</xdr:col>
      <xdr:colOff>545384</xdr:colOff>
      <xdr:row>0</xdr:row>
      <xdr:rowOff>38407</xdr:rowOff>
    </xdr:from>
    <xdr:to>
      <xdr:col>43</xdr:col>
      <xdr:colOff>2030463</xdr:colOff>
      <xdr:row>4</xdr:row>
      <xdr:rowOff>107541</xdr:rowOff>
    </xdr:to>
    <xdr:pic>
      <xdr:nvPicPr>
        <xdr:cNvPr id="3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845263" y="38407"/>
          <a:ext cx="1485079" cy="8372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%200%201%201\00%20D%20e%20s%20a%20r%20r%20o%20l%20l%20o%20%20%20R%20u%20r%20a%20l\01%20D%20D%20R\09%20P%20A%20O%202011\01%20PAO%202011%20Desarrollo%20Rural%202011%2006%20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ardo/Dropbox/Data/01%20S%20E%20G%20U%20I%20M%20I%20E%20%20N%20T%20O%20-%20Ricardo/Otros%20datso%20del%20PRoyect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ODEM~1/AppData/Local/Temp/Anexo%205%20-%20PLANIFICACI&#211;N%20RIMS%20PRIMER%20NIVEL%202015%20%20-%20PRODEMOR%20CENTRAL%20-%20728-SV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DR-PC09/Documents/Documentos%20PRODEMOR%20CENTRAL/EVENTO%20INDUCCION/FORMATOS%20REPORTES/Indicadores%20.%20reportes/RIMS%20Primer%20Nivel%202010%20%20-%20PREMODER%20-%20ENERO%202010%20(vers.%2003%202011)%20ajustad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1%20Monitoreo%20de%20COMITE%20DE%20INVERSION%202012%20-Version%2010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fuentes.MAG/AppData/Local/Temp/Formatos%20SubProgramas%20Ordenamiento%20Forestal%20%20%2019Diciembre201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METAS-ODC%20PAO%202016%20revisado%2008-01-20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PAO%202016%20DGDR%20(FORMATO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. x Cadenas"/>
      <sheetName val="01 PRODEMOR CENTRAL"/>
      <sheetName val="02 PRODEMORO"/>
      <sheetName val="03 PREMODER"/>
      <sheetName val="CONSOLIDADO DDR"/>
      <sheetName val="CONSOLIDADO DSYE"/>
      <sheetName val="Hoja1"/>
      <sheetName val="iNDICADORES"/>
    </sheetNames>
    <sheetDataSet>
      <sheetData sheetId="0"/>
      <sheetData sheetId="1"/>
      <sheetData sheetId="2">
        <row r="145">
          <cell r="AH145">
            <v>351940</v>
          </cell>
        </row>
        <row r="206">
          <cell r="AH206">
            <v>0</v>
          </cell>
        </row>
        <row r="258">
          <cell r="AH258">
            <v>132980</v>
          </cell>
        </row>
        <row r="309">
          <cell r="AH309">
            <v>0</v>
          </cell>
        </row>
        <row r="361">
          <cell r="AH361">
            <v>249555</v>
          </cell>
        </row>
        <row r="413">
          <cell r="AH413">
            <v>163620</v>
          </cell>
        </row>
        <row r="465">
          <cell r="AH465">
            <v>317585</v>
          </cell>
        </row>
        <row r="517">
          <cell r="AH517">
            <v>0</v>
          </cell>
        </row>
        <row r="569">
          <cell r="AH569">
            <v>121740</v>
          </cell>
        </row>
        <row r="621">
          <cell r="AH621">
            <v>178700</v>
          </cell>
        </row>
        <row r="668">
          <cell r="AH668">
            <v>248280</v>
          </cell>
        </row>
        <row r="805">
          <cell r="AH805">
            <v>1271505</v>
          </cell>
        </row>
      </sheetData>
      <sheetData sheetId="3">
        <row r="145">
          <cell r="AH145">
            <v>0</v>
          </cell>
        </row>
        <row r="206">
          <cell r="AH206">
            <v>17955</v>
          </cell>
        </row>
        <row r="258">
          <cell r="AH258">
            <v>28725</v>
          </cell>
        </row>
        <row r="309">
          <cell r="AH309">
            <v>21545</v>
          </cell>
        </row>
        <row r="361">
          <cell r="AH361">
            <v>64630</v>
          </cell>
        </row>
        <row r="413">
          <cell r="AH413">
            <v>68220</v>
          </cell>
        </row>
        <row r="465">
          <cell r="AH465">
            <v>147215</v>
          </cell>
        </row>
        <row r="517">
          <cell r="AH517">
            <v>0</v>
          </cell>
        </row>
        <row r="569">
          <cell r="AH569">
            <v>39495</v>
          </cell>
        </row>
        <row r="621">
          <cell r="AH621">
            <v>39495</v>
          </cell>
        </row>
        <row r="668">
          <cell r="AH668">
            <v>53855</v>
          </cell>
        </row>
        <row r="805">
          <cell r="AH805">
            <v>147220</v>
          </cell>
        </row>
      </sheetData>
      <sheetData sheetId="4"/>
      <sheetData sheetId="5">
        <row r="150">
          <cell r="AF150">
            <v>936565</v>
          </cell>
        </row>
        <row r="415">
          <cell r="AF415">
            <v>452185</v>
          </cell>
        </row>
        <row r="490">
          <cell r="AF490">
            <v>706690</v>
          </cell>
        </row>
      </sheetData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AS IICA"/>
      <sheetName val="PROG PLANES DE NEG"/>
      <sheetName val="Hoja3"/>
      <sheetName val="Callejas"/>
      <sheetName val="IICA"/>
      <sheetName val="60 Prodemoro"/>
      <sheetName val="NEW MONTOS"/>
      <sheetName val="Listado 44"/>
      <sheetName val="104 DGDR"/>
      <sheetName val="MOV PREMODER"/>
      <sheetName val="ORGANIZACIONES 2012"/>
      <sheetName val="ORGANIZACIONES 2011"/>
      <sheetName val="PROGRAMA II 20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J7">
            <v>15800</v>
          </cell>
        </row>
      </sheetData>
      <sheetData sheetId="8"/>
      <sheetData sheetId="9"/>
      <sheetData sheetId="10">
        <row r="10">
          <cell r="G10" t="str">
            <v>Turismo Rural</v>
          </cell>
        </row>
      </sheetData>
      <sheetData sheetId="11">
        <row r="1">
          <cell r="A1" t="str">
            <v xml:space="preserve">   </v>
          </cell>
        </row>
      </sheetData>
      <sheetData sheetId="12">
        <row r="9">
          <cell r="D9" t="str">
            <v>Verapaz</v>
          </cell>
          <cell r="E9" t="str">
            <v>Granos B</v>
          </cell>
          <cell r="K9">
            <v>15</v>
          </cell>
          <cell r="L9">
            <v>7</v>
          </cell>
          <cell r="M9">
            <v>5</v>
          </cell>
          <cell r="N9">
            <v>3</v>
          </cell>
          <cell r="Q9">
            <v>0</v>
          </cell>
          <cell r="AP9">
            <v>0</v>
          </cell>
          <cell r="BO9">
            <v>1200</v>
          </cell>
          <cell r="BS9">
            <v>40000</v>
          </cell>
          <cell r="BT9">
            <v>0</v>
          </cell>
          <cell r="BW9">
            <v>3000</v>
          </cell>
          <cell r="BX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</row>
        <row r="10">
          <cell r="D10" t="str">
            <v>Tecoluca</v>
          </cell>
          <cell r="E10" t="str">
            <v>Ganadera</v>
          </cell>
          <cell r="K10">
            <v>15</v>
          </cell>
          <cell r="L10">
            <v>7</v>
          </cell>
          <cell r="M10">
            <v>5</v>
          </cell>
          <cell r="N10">
            <v>3</v>
          </cell>
          <cell r="Q10">
            <v>0</v>
          </cell>
          <cell r="AP10">
            <v>0</v>
          </cell>
          <cell r="BO10">
            <v>1200</v>
          </cell>
          <cell r="BS10">
            <v>40000</v>
          </cell>
          <cell r="BT10">
            <v>0</v>
          </cell>
          <cell r="BW10">
            <v>3000</v>
          </cell>
          <cell r="BX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</row>
        <row r="11">
          <cell r="D11" t="str">
            <v>Tecoluca</v>
          </cell>
          <cell r="E11" t="str">
            <v>Ganadera</v>
          </cell>
          <cell r="K11">
            <v>15</v>
          </cell>
          <cell r="L11">
            <v>7</v>
          </cell>
          <cell r="M11">
            <v>5</v>
          </cell>
          <cell r="N11">
            <v>3</v>
          </cell>
          <cell r="Q11">
            <v>0</v>
          </cell>
          <cell r="AP11">
            <v>0</v>
          </cell>
          <cell r="BO11">
            <v>1200</v>
          </cell>
          <cell r="BS11">
            <v>40000</v>
          </cell>
          <cell r="BT11">
            <v>0</v>
          </cell>
          <cell r="BW11">
            <v>3000</v>
          </cell>
          <cell r="BX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</row>
        <row r="12">
          <cell r="D12" t="str">
            <v>Tepetitán</v>
          </cell>
          <cell r="E12" t="str">
            <v>Hortaliz.</v>
          </cell>
          <cell r="K12">
            <v>15</v>
          </cell>
          <cell r="L12">
            <v>7</v>
          </cell>
          <cell r="M12">
            <v>5</v>
          </cell>
          <cell r="N12">
            <v>3</v>
          </cell>
          <cell r="Q12">
            <v>0</v>
          </cell>
          <cell r="AP12">
            <v>0</v>
          </cell>
          <cell r="BO12">
            <v>1200</v>
          </cell>
          <cell r="BS12">
            <v>40000</v>
          </cell>
          <cell r="BT12">
            <v>0</v>
          </cell>
          <cell r="BW12">
            <v>3000</v>
          </cell>
          <cell r="BX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</row>
        <row r="13">
          <cell r="D13" t="str">
            <v>San Vicente</v>
          </cell>
          <cell r="E13" t="str">
            <v>Hortaliz.</v>
          </cell>
          <cell r="K13">
            <v>15</v>
          </cell>
          <cell r="L13">
            <v>7</v>
          </cell>
          <cell r="M13">
            <v>5</v>
          </cell>
          <cell r="N13">
            <v>3</v>
          </cell>
          <cell r="Q13">
            <v>0</v>
          </cell>
          <cell r="AP13">
            <v>0</v>
          </cell>
          <cell r="BO13">
            <v>1200</v>
          </cell>
          <cell r="BS13">
            <v>40000</v>
          </cell>
          <cell r="BT13">
            <v>0</v>
          </cell>
          <cell r="BW13">
            <v>3000</v>
          </cell>
          <cell r="BX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</row>
        <row r="14">
          <cell r="D14" t="str">
            <v>Tecoluca</v>
          </cell>
          <cell r="E14" t="str">
            <v>Hortaliz.</v>
          </cell>
          <cell r="K14">
            <v>15</v>
          </cell>
          <cell r="L14">
            <v>7</v>
          </cell>
          <cell r="M14">
            <v>5</v>
          </cell>
          <cell r="N14">
            <v>3</v>
          </cell>
          <cell r="Q14">
            <v>0</v>
          </cell>
          <cell r="AP14">
            <v>0</v>
          </cell>
          <cell r="BO14">
            <v>1200</v>
          </cell>
          <cell r="BS14">
            <v>40000</v>
          </cell>
          <cell r="BT14">
            <v>0</v>
          </cell>
          <cell r="BW14">
            <v>3000</v>
          </cell>
          <cell r="BX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</row>
        <row r="15">
          <cell r="D15" t="str">
            <v>San Esteban Catarina</v>
          </cell>
          <cell r="E15" t="str">
            <v>Granos básicos</v>
          </cell>
          <cell r="K15">
            <v>240</v>
          </cell>
          <cell r="L15">
            <v>198</v>
          </cell>
          <cell r="M15">
            <v>0</v>
          </cell>
          <cell r="N15">
            <v>0</v>
          </cell>
          <cell r="Q15">
            <v>0</v>
          </cell>
          <cell r="AP15">
            <v>0</v>
          </cell>
          <cell r="BO15">
            <v>0</v>
          </cell>
          <cell r="BS15">
            <v>0</v>
          </cell>
          <cell r="BT15">
            <v>0</v>
          </cell>
          <cell r="BW15">
            <v>0</v>
          </cell>
          <cell r="BX15">
            <v>20000</v>
          </cell>
          <cell r="CA15">
            <v>0</v>
          </cell>
          <cell r="CB15">
            <v>8</v>
          </cell>
          <cell r="CC15">
            <v>0</v>
          </cell>
          <cell r="CD15">
            <v>0</v>
          </cell>
        </row>
        <row r="16">
          <cell r="D16" t="str">
            <v>Apastepeque</v>
          </cell>
          <cell r="E16" t="str">
            <v>Ganadería</v>
          </cell>
          <cell r="K16">
            <v>47</v>
          </cell>
          <cell r="L16">
            <v>26</v>
          </cell>
          <cell r="M16">
            <v>0</v>
          </cell>
          <cell r="N16">
            <v>0</v>
          </cell>
          <cell r="Q16">
            <v>0</v>
          </cell>
          <cell r="AP16">
            <v>0</v>
          </cell>
          <cell r="BO16">
            <v>0</v>
          </cell>
          <cell r="BS16">
            <v>0</v>
          </cell>
          <cell r="BT16">
            <v>0</v>
          </cell>
          <cell r="BW16">
            <v>0</v>
          </cell>
          <cell r="BX16">
            <v>20000</v>
          </cell>
          <cell r="CA16">
            <v>0</v>
          </cell>
          <cell r="CB16">
            <v>2</v>
          </cell>
          <cell r="CC16">
            <v>0</v>
          </cell>
          <cell r="CD16">
            <v>0</v>
          </cell>
        </row>
        <row r="17">
          <cell r="D17" t="str">
            <v>San Sebastián</v>
          </cell>
          <cell r="E17" t="str">
            <v>Granos básicos</v>
          </cell>
          <cell r="K17">
            <v>356</v>
          </cell>
          <cell r="L17">
            <v>173</v>
          </cell>
          <cell r="M17">
            <v>0</v>
          </cell>
          <cell r="N17">
            <v>0</v>
          </cell>
          <cell r="Q17">
            <v>0</v>
          </cell>
          <cell r="AP17">
            <v>0</v>
          </cell>
          <cell r="BO17">
            <v>0</v>
          </cell>
          <cell r="BS17">
            <v>0</v>
          </cell>
          <cell r="BT17">
            <v>0</v>
          </cell>
          <cell r="BW17">
            <v>0</v>
          </cell>
          <cell r="BX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</row>
        <row r="18">
          <cell r="D18" t="str">
            <v>San Sebastián</v>
          </cell>
          <cell r="E18" t="str">
            <v>Granos básicos</v>
          </cell>
          <cell r="K18">
            <v>239</v>
          </cell>
          <cell r="L18">
            <v>196</v>
          </cell>
          <cell r="M18">
            <v>0</v>
          </cell>
          <cell r="N18">
            <v>0</v>
          </cell>
          <cell r="Q18">
            <v>0</v>
          </cell>
          <cell r="AP18">
            <v>0</v>
          </cell>
          <cell r="BO18">
            <v>0</v>
          </cell>
          <cell r="BS18">
            <v>0</v>
          </cell>
          <cell r="BT18">
            <v>0</v>
          </cell>
          <cell r="BW18">
            <v>0</v>
          </cell>
          <cell r="BX18">
            <v>20000</v>
          </cell>
          <cell r="CA18">
            <v>0</v>
          </cell>
          <cell r="CB18">
            <v>4</v>
          </cell>
          <cell r="CC18">
            <v>0</v>
          </cell>
          <cell r="CD18">
            <v>0</v>
          </cell>
        </row>
        <row r="19">
          <cell r="D19" t="str">
            <v>Verapaz</v>
          </cell>
          <cell r="E19" t="str">
            <v>Hortalizas</v>
          </cell>
          <cell r="K19">
            <v>32</v>
          </cell>
          <cell r="L19">
            <v>16</v>
          </cell>
          <cell r="M19">
            <v>0</v>
          </cell>
          <cell r="N19">
            <v>0</v>
          </cell>
          <cell r="Q19">
            <v>0</v>
          </cell>
          <cell r="AP19">
            <v>0</v>
          </cell>
          <cell r="BO19">
            <v>0</v>
          </cell>
          <cell r="BS19">
            <v>0</v>
          </cell>
          <cell r="BT19">
            <v>0</v>
          </cell>
          <cell r="BW19">
            <v>0</v>
          </cell>
          <cell r="BX19">
            <v>20000</v>
          </cell>
          <cell r="CA19">
            <v>0</v>
          </cell>
          <cell r="CB19">
            <v>1</v>
          </cell>
          <cell r="CC19">
            <v>0</v>
          </cell>
          <cell r="CD19">
            <v>0</v>
          </cell>
        </row>
        <row r="20">
          <cell r="D20" t="str">
            <v>San Vicente</v>
          </cell>
          <cell r="E20" t="str">
            <v>Frutas</v>
          </cell>
          <cell r="K20">
            <v>16</v>
          </cell>
          <cell r="L20">
            <v>13</v>
          </cell>
          <cell r="M20">
            <v>0</v>
          </cell>
          <cell r="N20">
            <v>0</v>
          </cell>
          <cell r="Q20">
            <v>0</v>
          </cell>
          <cell r="AP20">
            <v>0</v>
          </cell>
          <cell r="BO20">
            <v>0</v>
          </cell>
          <cell r="BS20">
            <v>0</v>
          </cell>
          <cell r="BT20">
            <v>0</v>
          </cell>
          <cell r="BW20">
            <v>0</v>
          </cell>
          <cell r="BX20">
            <v>20000</v>
          </cell>
          <cell r="CA20">
            <v>0</v>
          </cell>
          <cell r="CB20">
            <v>1</v>
          </cell>
          <cell r="CC20">
            <v>0</v>
          </cell>
          <cell r="CD20">
            <v>0</v>
          </cell>
        </row>
        <row r="21">
          <cell r="D21" t="str">
            <v>Tepetitán</v>
          </cell>
          <cell r="E21" t="str">
            <v>Granos básicos</v>
          </cell>
          <cell r="K21">
            <v>172</v>
          </cell>
          <cell r="L21">
            <v>0</v>
          </cell>
          <cell r="M21">
            <v>0</v>
          </cell>
          <cell r="N21">
            <v>0</v>
          </cell>
          <cell r="Q21">
            <v>0</v>
          </cell>
          <cell r="AP21">
            <v>0</v>
          </cell>
          <cell r="BO21">
            <v>0</v>
          </cell>
          <cell r="BS21">
            <v>0</v>
          </cell>
          <cell r="BT21">
            <v>0</v>
          </cell>
          <cell r="BW21">
            <v>0</v>
          </cell>
          <cell r="BX21">
            <v>20000</v>
          </cell>
          <cell r="CA21">
            <v>0</v>
          </cell>
          <cell r="CB21">
            <v>7</v>
          </cell>
          <cell r="CC21">
            <v>0</v>
          </cell>
          <cell r="CD21">
            <v>0</v>
          </cell>
        </row>
        <row r="51">
          <cell r="D51" t="str">
            <v>San Isidro</v>
          </cell>
          <cell r="K51">
            <v>15</v>
          </cell>
          <cell r="L51">
            <v>7</v>
          </cell>
          <cell r="Q51">
            <v>0</v>
          </cell>
          <cell r="AP51">
            <v>0</v>
          </cell>
          <cell r="BO51">
            <v>1200</v>
          </cell>
          <cell r="BR51">
            <v>1</v>
          </cell>
          <cell r="BS51">
            <v>40000</v>
          </cell>
          <cell r="BT51">
            <v>0</v>
          </cell>
          <cell r="BW51">
            <v>3000</v>
          </cell>
          <cell r="BX51">
            <v>0</v>
          </cell>
          <cell r="CB51">
            <v>1</v>
          </cell>
          <cell r="CC51">
            <v>0</v>
          </cell>
          <cell r="CD51">
            <v>0</v>
          </cell>
        </row>
        <row r="52">
          <cell r="D52" t="str">
            <v>San Isidro</v>
          </cell>
          <cell r="K52">
            <v>15</v>
          </cell>
          <cell r="L52">
            <v>7</v>
          </cell>
          <cell r="Q52">
            <v>0</v>
          </cell>
          <cell r="AP52">
            <v>0</v>
          </cell>
          <cell r="BO52">
            <v>1200</v>
          </cell>
          <cell r="BR52">
            <v>1</v>
          </cell>
          <cell r="BS52">
            <v>40000</v>
          </cell>
          <cell r="BT52">
            <v>0</v>
          </cell>
          <cell r="BW52">
            <v>3000</v>
          </cell>
          <cell r="BX52">
            <v>0</v>
          </cell>
          <cell r="CB52">
            <v>0</v>
          </cell>
          <cell r="CC52">
            <v>0</v>
          </cell>
          <cell r="CD52">
            <v>0</v>
          </cell>
        </row>
        <row r="53">
          <cell r="D53" t="str">
            <v>Sensuntepeque</v>
          </cell>
          <cell r="K53">
            <v>15</v>
          </cell>
          <cell r="L53">
            <v>7</v>
          </cell>
          <cell r="Q53">
            <v>0</v>
          </cell>
          <cell r="AP53">
            <v>0</v>
          </cell>
          <cell r="BO53">
            <v>1200</v>
          </cell>
          <cell r="BR53">
            <v>1</v>
          </cell>
          <cell r="BS53">
            <v>40000</v>
          </cell>
          <cell r="BT53">
            <v>0</v>
          </cell>
          <cell r="BW53">
            <v>3000</v>
          </cell>
          <cell r="BX53">
            <v>0</v>
          </cell>
          <cell r="CB53">
            <v>1</v>
          </cell>
          <cell r="CC53">
            <v>0</v>
          </cell>
          <cell r="CD53">
            <v>0</v>
          </cell>
        </row>
        <row r="54">
          <cell r="D54" t="str">
            <v>Dolores</v>
          </cell>
          <cell r="K54">
            <v>15</v>
          </cell>
          <cell r="L54">
            <v>7</v>
          </cell>
          <cell r="Q54">
            <v>0</v>
          </cell>
          <cell r="AP54">
            <v>0</v>
          </cell>
          <cell r="BO54">
            <v>1200</v>
          </cell>
          <cell r="BR54">
            <v>1</v>
          </cell>
          <cell r="BS54">
            <v>40000</v>
          </cell>
          <cell r="BT54">
            <v>0</v>
          </cell>
          <cell r="BW54">
            <v>3000</v>
          </cell>
          <cell r="BX54">
            <v>0</v>
          </cell>
          <cell r="CB54">
            <v>1</v>
          </cell>
          <cell r="CC54">
            <v>0</v>
          </cell>
          <cell r="CD54">
            <v>0</v>
          </cell>
        </row>
        <row r="55">
          <cell r="D55" t="str">
            <v>Victoria</v>
          </cell>
          <cell r="K55">
            <v>15</v>
          </cell>
          <cell r="L55">
            <v>7</v>
          </cell>
          <cell r="Q55">
            <v>0</v>
          </cell>
          <cell r="AP55">
            <v>0</v>
          </cell>
          <cell r="BO55">
            <v>1200</v>
          </cell>
          <cell r="BR55">
            <v>1</v>
          </cell>
          <cell r="BS55">
            <v>40000</v>
          </cell>
          <cell r="BT55">
            <v>0</v>
          </cell>
          <cell r="BW55">
            <v>3000</v>
          </cell>
          <cell r="BX55">
            <v>0</v>
          </cell>
          <cell r="CB55">
            <v>1</v>
          </cell>
          <cell r="CC55">
            <v>0</v>
          </cell>
          <cell r="CD55">
            <v>0</v>
          </cell>
        </row>
        <row r="56">
          <cell r="D56" t="str">
            <v>Guacotecti</v>
          </cell>
          <cell r="K56">
            <v>15</v>
          </cell>
          <cell r="L56">
            <v>7</v>
          </cell>
          <cell r="Q56">
            <v>0</v>
          </cell>
          <cell r="AP56">
            <v>0</v>
          </cell>
          <cell r="BO56">
            <v>1200</v>
          </cell>
          <cell r="BR56">
            <v>1</v>
          </cell>
          <cell r="BS56">
            <v>40000</v>
          </cell>
          <cell r="BT56">
            <v>0</v>
          </cell>
          <cell r="BW56">
            <v>3000</v>
          </cell>
          <cell r="BX56">
            <v>0</v>
          </cell>
          <cell r="CB56">
            <v>1</v>
          </cell>
          <cell r="CC56">
            <v>0</v>
          </cell>
          <cell r="CD56">
            <v>0</v>
          </cell>
        </row>
        <row r="57">
          <cell r="D57" t="str">
            <v>Jutiapa</v>
          </cell>
          <cell r="K57">
            <v>15</v>
          </cell>
          <cell r="L57">
            <v>7</v>
          </cell>
          <cell r="Q57">
            <v>0</v>
          </cell>
          <cell r="AP57">
            <v>0</v>
          </cell>
          <cell r="BO57">
            <v>1200</v>
          </cell>
          <cell r="BR57">
            <v>1</v>
          </cell>
          <cell r="BS57">
            <v>40000</v>
          </cell>
          <cell r="BT57">
            <v>0</v>
          </cell>
          <cell r="BW57">
            <v>3000</v>
          </cell>
          <cell r="BX57">
            <v>0</v>
          </cell>
          <cell r="CB57">
            <v>0</v>
          </cell>
          <cell r="CC57">
            <v>0</v>
          </cell>
          <cell r="CD57">
            <v>0</v>
          </cell>
        </row>
        <row r="58">
          <cell r="D58" t="str">
            <v>Jutiapa</v>
          </cell>
          <cell r="K58">
            <v>15</v>
          </cell>
          <cell r="L58">
            <v>7</v>
          </cell>
          <cell r="Q58">
            <v>0</v>
          </cell>
          <cell r="AP58">
            <v>0</v>
          </cell>
          <cell r="BO58">
            <v>1200</v>
          </cell>
          <cell r="BR58">
            <v>1</v>
          </cell>
          <cell r="BS58">
            <v>40000</v>
          </cell>
          <cell r="BT58">
            <v>0</v>
          </cell>
          <cell r="BW58">
            <v>3000</v>
          </cell>
          <cell r="BX58">
            <v>0</v>
          </cell>
          <cell r="CB58">
            <v>0</v>
          </cell>
          <cell r="CC58">
            <v>0</v>
          </cell>
          <cell r="CD58">
            <v>0</v>
          </cell>
        </row>
        <row r="59">
          <cell r="D59" t="str">
            <v>San Isidro</v>
          </cell>
          <cell r="K59">
            <v>15</v>
          </cell>
          <cell r="L59">
            <v>7</v>
          </cell>
          <cell r="Q59">
            <v>0</v>
          </cell>
          <cell r="AP59">
            <v>0</v>
          </cell>
          <cell r="BO59">
            <v>1200</v>
          </cell>
          <cell r="BR59">
            <v>1</v>
          </cell>
          <cell r="BS59">
            <v>40000</v>
          </cell>
          <cell r="BT59">
            <v>0</v>
          </cell>
          <cell r="BW59">
            <v>3000</v>
          </cell>
          <cell r="BX59">
            <v>0</v>
          </cell>
          <cell r="CB59">
            <v>0</v>
          </cell>
          <cell r="CC59">
            <v>0</v>
          </cell>
          <cell r="CD59">
            <v>0</v>
          </cell>
        </row>
        <row r="60">
          <cell r="D60" t="str">
            <v>Ilobasco</v>
          </cell>
          <cell r="K60">
            <v>15</v>
          </cell>
          <cell r="L60">
            <v>7</v>
          </cell>
          <cell r="Q60">
            <v>0</v>
          </cell>
          <cell r="AP60">
            <v>0</v>
          </cell>
          <cell r="BO60">
            <v>1200</v>
          </cell>
          <cell r="BR60">
            <v>1</v>
          </cell>
          <cell r="BS60">
            <v>40000</v>
          </cell>
          <cell r="BT60">
            <v>0</v>
          </cell>
          <cell r="BW60">
            <v>3000</v>
          </cell>
          <cell r="BX60">
            <v>0</v>
          </cell>
          <cell r="CB60">
            <v>0</v>
          </cell>
          <cell r="CC60">
            <v>0</v>
          </cell>
          <cell r="CD60">
            <v>0</v>
          </cell>
        </row>
        <row r="61">
          <cell r="D61" t="str">
            <v>Cinquera</v>
          </cell>
          <cell r="K61">
            <v>15</v>
          </cell>
          <cell r="L61">
            <v>7</v>
          </cell>
          <cell r="Q61">
            <v>0</v>
          </cell>
          <cell r="AP61">
            <v>0</v>
          </cell>
          <cell r="BO61">
            <v>1200</v>
          </cell>
          <cell r="BR61">
            <v>1</v>
          </cell>
          <cell r="BS61">
            <v>40000</v>
          </cell>
          <cell r="BT61">
            <v>0</v>
          </cell>
          <cell r="BW61">
            <v>3000</v>
          </cell>
          <cell r="BX61">
            <v>0</v>
          </cell>
          <cell r="CB61">
            <v>0</v>
          </cell>
          <cell r="CC61">
            <v>0</v>
          </cell>
          <cell r="CD61">
            <v>0</v>
          </cell>
        </row>
        <row r="62">
          <cell r="D62" t="str">
            <v>Ilobasco</v>
          </cell>
          <cell r="K62">
            <v>15</v>
          </cell>
          <cell r="L62">
            <v>7</v>
          </cell>
          <cell r="Q62">
            <v>0</v>
          </cell>
          <cell r="AP62">
            <v>0</v>
          </cell>
          <cell r="BO62">
            <v>1200</v>
          </cell>
          <cell r="BR62">
            <v>1</v>
          </cell>
          <cell r="BS62">
            <v>40000</v>
          </cell>
          <cell r="BT62">
            <v>0</v>
          </cell>
          <cell r="BW62">
            <v>3000</v>
          </cell>
          <cell r="BX62">
            <v>0</v>
          </cell>
          <cell r="CB62">
            <v>0</v>
          </cell>
          <cell r="CC62">
            <v>0</v>
          </cell>
          <cell r="CD62">
            <v>0</v>
          </cell>
        </row>
        <row r="63">
          <cell r="D63" t="str">
            <v>Sensuntepeque</v>
          </cell>
          <cell r="K63">
            <v>26</v>
          </cell>
          <cell r="L63">
            <v>8</v>
          </cell>
          <cell r="Q63">
            <v>0</v>
          </cell>
          <cell r="AP63">
            <v>0</v>
          </cell>
          <cell r="BO63">
            <v>0</v>
          </cell>
          <cell r="BR63">
            <v>0</v>
          </cell>
          <cell r="BS63">
            <v>0</v>
          </cell>
          <cell r="BT63">
            <v>0</v>
          </cell>
          <cell r="BW63">
            <v>0</v>
          </cell>
          <cell r="BX63">
            <v>0</v>
          </cell>
          <cell r="CB63">
            <v>0</v>
          </cell>
          <cell r="CC63">
            <v>0</v>
          </cell>
          <cell r="CD63">
            <v>0</v>
          </cell>
        </row>
        <row r="64">
          <cell r="D64" t="str">
            <v>Jutiapa</v>
          </cell>
          <cell r="K64">
            <v>46</v>
          </cell>
          <cell r="L64">
            <v>21</v>
          </cell>
          <cell r="Q64">
            <v>0</v>
          </cell>
          <cell r="AP64">
            <v>0</v>
          </cell>
          <cell r="BO64">
            <v>0</v>
          </cell>
          <cell r="BR64">
            <v>0</v>
          </cell>
          <cell r="BS64">
            <v>0</v>
          </cell>
          <cell r="BT64">
            <v>0</v>
          </cell>
          <cell r="BW64">
            <v>0</v>
          </cell>
          <cell r="BX64">
            <v>20000</v>
          </cell>
          <cell r="CB64">
            <v>1</v>
          </cell>
          <cell r="CC64">
            <v>0</v>
          </cell>
          <cell r="CD64">
            <v>0</v>
          </cell>
        </row>
        <row r="65">
          <cell r="D65" t="str">
            <v>Tejutepeque</v>
          </cell>
          <cell r="K65">
            <v>64</v>
          </cell>
          <cell r="L65">
            <v>48</v>
          </cell>
          <cell r="Q65">
            <v>0</v>
          </cell>
          <cell r="AP65">
            <v>0</v>
          </cell>
          <cell r="BO65">
            <v>0</v>
          </cell>
          <cell r="BR65">
            <v>0</v>
          </cell>
          <cell r="BS65">
            <v>0</v>
          </cell>
          <cell r="BT65">
            <v>0</v>
          </cell>
          <cell r="BW65">
            <v>0</v>
          </cell>
          <cell r="BX65">
            <v>0</v>
          </cell>
          <cell r="CB65">
            <v>0</v>
          </cell>
          <cell r="CC65">
            <v>0</v>
          </cell>
          <cell r="CD65">
            <v>0</v>
          </cell>
        </row>
        <row r="66">
          <cell r="D66" t="str">
            <v>Ilobasco</v>
          </cell>
          <cell r="K66">
            <v>23</v>
          </cell>
          <cell r="L66">
            <v>10</v>
          </cell>
          <cell r="Q66">
            <v>0</v>
          </cell>
          <cell r="AP66">
            <v>0</v>
          </cell>
          <cell r="BO66">
            <v>0</v>
          </cell>
          <cell r="BR66">
            <v>0</v>
          </cell>
          <cell r="BS66">
            <v>0</v>
          </cell>
          <cell r="BT66">
            <v>0</v>
          </cell>
          <cell r="BW66">
            <v>0</v>
          </cell>
          <cell r="BX66">
            <v>0</v>
          </cell>
          <cell r="CB66">
            <v>0</v>
          </cell>
          <cell r="CC66">
            <v>0</v>
          </cell>
          <cell r="CD66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os básicos"/>
      <sheetName val="Primer Nivel"/>
      <sheetName val="Segundo Nivel"/>
      <sheetName val="Tercer Nivel"/>
      <sheetName val="List of Indicators "/>
      <sheetName val="Name"/>
    </sheetNames>
    <sheetDataSet>
      <sheetData sheetId="0">
        <row r="11">
          <cell r="B11">
            <v>39447</v>
          </cell>
        </row>
      </sheetData>
      <sheetData sheetId="1"/>
      <sheetData sheetId="2" refreshError="1"/>
      <sheetData sheetId="3" refreshError="1"/>
      <sheetData sheetId="4">
        <row r="1">
          <cell r="F1" t="str">
            <v>Número</v>
          </cell>
          <cell r="G1">
            <v>1</v>
          </cell>
          <cell r="H1" t="str">
            <v>Número</v>
          </cell>
          <cell r="I1" t="str">
            <v>PY1</v>
          </cell>
          <cell r="J1">
            <v>1</v>
          </cell>
          <cell r="K1" t="str">
            <v>Enero</v>
          </cell>
          <cell r="L1">
            <v>2007</v>
          </cell>
          <cell r="M1">
            <v>39172</v>
          </cell>
        </row>
        <row r="2">
          <cell r="C2" t="str">
            <v>Personas capacitadas en gestión de infraestructura</v>
          </cell>
          <cell r="F2" t="str">
            <v>Hombres</v>
          </cell>
          <cell r="G2">
            <v>2</v>
          </cell>
          <cell r="H2" t="str">
            <v>%</v>
          </cell>
          <cell r="I2" t="str">
            <v>PY2</v>
          </cell>
          <cell r="J2">
            <v>2</v>
          </cell>
          <cell r="K2" t="str">
            <v>Febrero</v>
          </cell>
          <cell r="L2">
            <v>2008</v>
          </cell>
          <cell r="M2">
            <v>39263</v>
          </cell>
        </row>
        <row r="3">
          <cell r="C3" t="str">
            <v>Grupos que gestionan infraestructura formados o reforzados</v>
          </cell>
          <cell r="F3" t="str">
            <v>Mujeres</v>
          </cell>
          <cell r="G3">
            <v>3</v>
          </cell>
          <cell r="H3" t="str">
            <v>% total</v>
          </cell>
          <cell r="I3" t="str">
            <v>PY3</v>
          </cell>
          <cell r="J3">
            <v>3</v>
          </cell>
          <cell r="K3" t="str">
            <v>Marzo</v>
          </cell>
          <cell r="L3">
            <v>2009</v>
          </cell>
          <cell r="M3">
            <v>39355</v>
          </cell>
        </row>
        <row r="4">
          <cell r="C4" t="str">
            <v>Miembros de grupos que gestionas infraestructura</v>
          </cell>
          <cell r="F4" t="str">
            <v>Ha</v>
          </cell>
          <cell r="G4">
            <v>4</v>
          </cell>
          <cell r="H4" t="str">
            <v>% niños</v>
          </cell>
          <cell r="I4" t="str">
            <v>PY4</v>
          </cell>
          <cell r="J4">
            <v>4</v>
          </cell>
          <cell r="K4" t="str">
            <v>Abril</v>
          </cell>
          <cell r="L4">
            <v>2010</v>
          </cell>
          <cell r="M4">
            <v>39447</v>
          </cell>
        </row>
        <row r="5">
          <cell r="C5" t="str">
            <v>Grupos que gestionan infraestructura en cuyos cargos directivos hay mujeres</v>
          </cell>
          <cell r="F5" t="str">
            <v>KM</v>
          </cell>
          <cell r="G5">
            <v>5</v>
          </cell>
          <cell r="H5" t="str">
            <v>% niñas</v>
          </cell>
          <cell r="I5" t="str">
            <v>PY5</v>
          </cell>
          <cell r="J5">
            <v>5</v>
          </cell>
          <cell r="K5" t="str">
            <v>Mayo</v>
          </cell>
        </row>
        <row r="6">
          <cell r="C6" t="str">
            <v>Tierra con sistema de riego construido o rehabilitado</v>
          </cell>
          <cell r="F6" t="str">
            <v>USD</v>
          </cell>
          <cell r="G6">
            <v>6</v>
          </cell>
          <cell r="I6" t="str">
            <v>PY6</v>
          </cell>
          <cell r="J6">
            <v>6</v>
          </cell>
          <cell r="K6" t="str">
            <v>Junio</v>
          </cell>
        </row>
        <row r="7">
          <cell r="C7" t="str">
            <v>Puntos de aguada de ganado construido o rehabilitados</v>
          </cell>
          <cell r="I7" t="str">
            <v>PY7</v>
          </cell>
          <cell r="J7">
            <v>7</v>
          </cell>
          <cell r="K7" t="str">
            <v>Julio</v>
          </cell>
        </row>
        <row r="8">
          <cell r="C8" t="str">
            <v>Sistemas de recollección del agua de lluvia construidos o rehabilitados</v>
          </cell>
          <cell r="I8" t="str">
            <v>PY8</v>
          </cell>
          <cell r="J8">
            <v>8</v>
          </cell>
          <cell r="K8" t="str">
            <v>Agosto</v>
          </cell>
        </row>
        <row r="9">
          <cell r="C9" t="str">
            <v>Estanques piscícolas construidos o rehabilitados</v>
          </cell>
          <cell r="I9" t="str">
            <v>PY9</v>
          </cell>
          <cell r="J9">
            <v>9</v>
          </cell>
          <cell r="K9" t="str">
            <v>Setiembre</v>
          </cell>
        </row>
        <row r="10">
          <cell r="C10" t="str">
            <v>Personas capacitadas en gestión de recursos naturales</v>
          </cell>
          <cell r="I10" t="str">
            <v>PY10</v>
          </cell>
          <cell r="J10">
            <v>10</v>
          </cell>
          <cell r="K10" t="str">
            <v>Octubre</v>
          </cell>
        </row>
        <row r="11">
          <cell r="C11" t="str">
            <v>Grupos que intervien en la gestion de los recursos naturales formados o reforzado</v>
          </cell>
          <cell r="J11">
            <v>11</v>
          </cell>
          <cell r="K11" t="str">
            <v>Noviembre</v>
          </cell>
        </row>
        <row r="12">
          <cell r="C12" t="str">
            <v>Miembros de los grupos que gestionan recursos naturales</v>
          </cell>
          <cell r="J12">
            <v>12</v>
          </cell>
          <cell r="K12" t="str">
            <v>Diciembre</v>
          </cell>
        </row>
        <row r="13">
          <cell r="C13" t="str">
            <v>Grupos que gestionan recursos naturales en cuyos cargos directivos hay muyeres</v>
          </cell>
          <cell r="J13">
            <v>13</v>
          </cell>
        </row>
        <row r="14">
          <cell r="C14" t="str">
            <v>Plan de ordenación medioambiental formulado</v>
          </cell>
          <cell r="J14">
            <v>14</v>
          </cell>
        </row>
        <row r="15">
          <cell r="C15" t="str">
            <v>Tierra objecto de prácticas de ordenación mejoradas</v>
          </cell>
          <cell r="J15">
            <v>15</v>
          </cell>
        </row>
        <row r="16">
          <cell r="C16" t="str">
            <v>Personal de proveedores de serviciós capacitado</v>
          </cell>
          <cell r="J16">
            <v>16</v>
          </cell>
        </row>
        <row r="17">
          <cell r="C17" t="str">
            <v>Personas capacitadas en prácticas y technologías de producción agricola</v>
          </cell>
          <cell r="J17">
            <v>17</v>
          </cell>
        </row>
        <row r="18">
          <cell r="C18" t="str">
            <v>Personas capacitadas en prácticas y technologías de producción ganadera</v>
          </cell>
          <cell r="J18">
            <v>18</v>
          </cell>
        </row>
        <row r="19">
          <cell r="C19" t="str">
            <v>Personas capacitadas en prácticas y technologías de producción piscícola</v>
          </cell>
          <cell r="J19">
            <v>19</v>
          </cell>
        </row>
        <row r="20">
          <cell r="C20" t="str">
            <v>Personas con acceso a servicios de asesoramiento facilitados</v>
          </cell>
          <cell r="J20">
            <v>20</v>
          </cell>
        </row>
        <row r="21">
          <cell r="C21" t="str">
            <v>Hogares que reciben animales deistribuidos o repovisionados</v>
          </cell>
          <cell r="J21">
            <v>21</v>
          </cell>
        </row>
        <row r="22">
          <cell r="C22" t="str">
            <v>Hogares que reciben servicios de sanidad animal facilitados</v>
          </cell>
          <cell r="J22">
            <v>22</v>
          </cell>
        </row>
        <row r="23">
          <cell r="C23" t="str">
            <v>Grupos de ahorro y crédito formados o reforzados</v>
          </cell>
          <cell r="J23">
            <v>23</v>
          </cell>
        </row>
        <row r="24">
          <cell r="C24" t="str">
            <v>Miembros de los grupos de ahorro y crédito formados o reforzados</v>
          </cell>
          <cell r="J24">
            <v>24</v>
          </cell>
        </row>
        <row r="25">
          <cell r="C25" t="str">
            <v>Grupos de ahorro y crédito en cuyos cargos directivos hay mujeres</v>
          </cell>
          <cell r="J25">
            <v>25</v>
          </cell>
        </row>
        <row r="26">
          <cell r="C26" t="str">
            <v>Instituciones financieras que partecipan en el proyecto</v>
          </cell>
          <cell r="J26">
            <v>26</v>
          </cell>
        </row>
        <row r="27">
          <cell r="C27" t="str">
            <v>Personal de instituciones financieras capacitado</v>
          </cell>
          <cell r="J27">
            <v>27</v>
          </cell>
        </row>
        <row r="28">
          <cell r="C28" t="str">
            <v>Ahorradores voluntarios</v>
          </cell>
          <cell r="J28">
            <v>28</v>
          </cell>
        </row>
        <row r="29">
          <cell r="C29" t="str">
            <v>Valor de los ahorros voluntarios</v>
          </cell>
          <cell r="J29">
            <v>29</v>
          </cell>
        </row>
        <row r="30">
          <cell r="C30" t="str">
            <v>Prestatarios activos</v>
          </cell>
          <cell r="J30">
            <v>30</v>
          </cell>
        </row>
        <row r="31">
          <cell r="C31" t="str">
            <v>Valor de la cartera de préstamos bruta</v>
          </cell>
          <cell r="J31">
            <v>31</v>
          </cell>
        </row>
        <row r="32">
          <cell r="C32" t="str">
            <v xml:space="preserve">Personas capacitadas en post-producción, elaboración y comercialización </v>
          </cell>
        </row>
        <row r="33">
          <cell r="C33" t="str">
            <v>Carreteras construidas o rehabilitadas</v>
          </cell>
        </row>
        <row r="34">
          <cell r="C34" t="str">
            <v>Locales e installaciones de elaboración construidos o rehabilitados</v>
          </cell>
        </row>
        <row r="35">
          <cell r="C35" t="str">
            <v>Locales e installaciones de almacenamiento construidos o rehabilitados</v>
          </cell>
        </row>
        <row r="36">
          <cell r="C36" t="str">
            <v>Locales e installaciones comerciales construidos o rehabilitados</v>
          </cell>
        </row>
        <row r="37">
          <cell r="C37" t="str">
            <v>Grupos de comercialización formados o reforzados</v>
          </cell>
        </row>
        <row r="38">
          <cell r="C38" t="str">
            <v xml:space="preserve">Miembros de grupos de comercialización </v>
          </cell>
        </row>
        <row r="39">
          <cell r="C39" t="str">
            <v>Grupos de comercialización en cuyos cargos directivos hay mujeres</v>
          </cell>
        </row>
        <row r="40">
          <cell r="C40" t="str">
            <v>Personas capacitadas en actividades generadoras de ingresos</v>
          </cell>
        </row>
        <row r="41">
          <cell r="C41" t="str">
            <v>Personas que han recibido formación profesional</v>
          </cell>
        </row>
        <row r="42">
          <cell r="C42" t="str">
            <v>Personas capacitadas en empresas y capacidad empresarial</v>
          </cell>
        </row>
        <row r="43">
          <cell r="C43" t="str">
            <v>Empresas con acceso a servicios no financieros facilitado</v>
          </cell>
        </row>
        <row r="44">
          <cell r="C44" t="str">
            <v>Empresas con acceso a servicios financieros facilitado</v>
          </cell>
        </row>
        <row r="45">
          <cell r="C45" t="str">
            <v>Funcionarios públicos capacitados</v>
          </cell>
        </row>
        <row r="46">
          <cell r="C46" t="str">
            <v>Personas capacitadas en temas de la gestión de las comunidades</v>
          </cell>
        </row>
        <row r="47">
          <cell r="C47" t="str">
            <v>Trabajadores de desarrollo de la comunidad y voluntarios capacitados</v>
          </cell>
        </row>
        <row r="48">
          <cell r="C48" t="str">
            <v>Grupos de la comunidad formados o reforzados</v>
          </cell>
        </row>
        <row r="49">
          <cell r="C49" t="str">
            <v>Miembros de grupos de la comunidad formados o reforzados</v>
          </cell>
        </row>
        <row r="50">
          <cell r="C50" t="str">
            <v>Grupos de la comunidad en cuyos cargos directivos hay mujeres</v>
          </cell>
        </row>
        <row r="51">
          <cell r="C51" t="str">
            <v>Planes de aldea o de comunidad formulados</v>
          </cell>
        </row>
        <row r="52">
          <cell r="C52" t="str">
            <v>Personas con acceso a fondos de desarrollo</v>
          </cell>
        </row>
        <row r="53">
          <cell r="C53" t="str">
            <v>Organizaciones centrales o de segundo nivel (apex) formadas o reforzadas</v>
          </cell>
        </row>
        <row r="54">
          <cell r="C54" t="str">
            <v>Esablecimientos escolares construido o rehabilitados</v>
          </cell>
        </row>
        <row r="55">
          <cell r="C55" t="str">
            <v>Centros de salud construidos o rehabilitados</v>
          </cell>
        </row>
        <row r="56">
          <cell r="C56" t="str">
            <v>Redes de abasteciamiento de agua potable construidas o rehabilitadas</v>
          </cell>
        </row>
        <row r="57">
          <cell r="C57" t="str">
            <v>Otra infraestructura y otros locales e instalaciones construidos o rehabilitados</v>
          </cell>
        </row>
        <row r="58">
          <cell r="C58" t="str">
            <v>Personas que reciben servicios del proyecto</v>
          </cell>
        </row>
        <row r="59">
          <cell r="C59" t="str">
            <v>Hogares que reciben servicios del proyecto</v>
          </cell>
        </row>
        <row r="60">
          <cell r="C60" t="str">
            <v>Grupos que reciben servicios del proyecto</v>
          </cell>
        </row>
        <row r="61">
          <cell r="C61" t="str">
            <v>Comunidades que reciben servicios del proyecto</v>
          </cell>
        </row>
        <row r="62">
          <cell r="C62" t="str">
            <v>Probabilidad de sostenibilidad de los grupos que gestionan infraestructura formados o reforzados</v>
          </cell>
        </row>
        <row r="63">
          <cell r="C63" t="str">
            <v>Eficacia de la infraestructura de producción - Sistema de riego</v>
          </cell>
        </row>
        <row r="64">
          <cell r="C64" t="str">
            <v>Eficacia de la infraestructura de producción - Puntos de aguada de ganado</v>
          </cell>
        </row>
        <row r="65">
          <cell r="C65" t="str">
            <v>Eficacia de la infraestructura de producción - Sistemas de recolleción del agua de lluvia</v>
          </cell>
        </row>
        <row r="66">
          <cell r="C66" t="str">
            <v>Eficacia de la infraestructura de producción - Estanques piscícolas</v>
          </cell>
        </row>
        <row r="67">
          <cell r="C67" t="str">
            <v>Probabilidad de sostenibilidad de la infraestructura de producción - Sistema de riego</v>
          </cell>
        </row>
        <row r="68">
          <cell r="C68" t="str">
            <v>Probabilidad de sostenibilidad de la infraestructura de producción - Livestock water points</v>
          </cell>
        </row>
        <row r="69">
          <cell r="C69" t="str">
            <v>Probabilidad de sostenibilidad de la infraestructura de producción - Rainwater harvesting systems</v>
          </cell>
        </row>
        <row r="70">
          <cell r="C70" t="str">
            <v>Probabilidad de sostenibilidad de la infraestructura de producción - Fish ponds</v>
          </cell>
        </row>
        <row r="71">
          <cell r="C71" t="str">
            <v>Probabilidad de sostenibilidad de los grupos de gestión de recursos naturales</v>
          </cell>
        </row>
        <row r="72">
          <cell r="C72" t="str">
            <v>Eficacia de los programas de gestión de recursos naturales</v>
          </cell>
        </row>
        <row r="73">
          <cell r="C73" t="str">
            <v>Eficacia: Mejor desempeño de los proveedores de servicios</v>
          </cell>
        </row>
        <row r="74">
          <cell r="C74" t="str">
            <v>Eficacia: Producción agrícola y ganadera mejorada</v>
          </cell>
        </row>
        <row r="75">
          <cell r="C75" t="str">
            <v>Probabilidad de sostenibilidad de los grupos de ahorro y crédito formados o reforzados</v>
          </cell>
        </row>
        <row r="76">
          <cell r="C76" t="str">
            <v>Eficacia: Acceso mejorado de las instituciones financieras</v>
          </cell>
        </row>
        <row r="77">
          <cell r="C77" t="str">
            <v>Sostenibilidad: Desempeño mejorado de las instituciones financieras</v>
          </cell>
        </row>
        <row r="78">
          <cell r="C78" t="str">
            <v>Eficacia: Productores que se benefician de un acceso a los mercados mejorado</v>
          </cell>
        </row>
        <row r="79">
          <cell r="C79" t="str">
            <v>Probabilidad de sostenibilidad de las carreteras construidas or rehabilitadas</v>
          </cell>
        </row>
        <row r="80">
          <cell r="C80" t="str">
            <v>Probabilitad de sostenibilitad de los locales e installaciones comerciales</v>
          </cell>
        </row>
        <row r="81">
          <cell r="C81" t="str">
            <v>Probabilitad de sostenibilitad de los locales e installaciones de almacenamiento</v>
          </cell>
        </row>
        <row r="82">
          <cell r="C82" t="str">
            <v>Probabilitad de sostenibilitad de los locales e installaciones de elaboración</v>
          </cell>
        </row>
        <row r="83">
          <cell r="C83" t="str">
            <v>Probabilitad de sostenibilitad de los grupos de comercialización formados o reforzados</v>
          </cell>
        </row>
        <row r="84">
          <cell r="C84" t="str">
            <v>Eficacia: Creación de oportunidades de empleo</v>
          </cell>
        </row>
        <row r="85">
          <cell r="C85" t="str">
            <v>Probabilidad de sostenibilidad de las empresas</v>
          </cell>
        </row>
        <row r="86">
          <cell r="C86" t="str">
            <v>Eficacia: Fomento de políticas e instituciones favorables a los pobres</v>
          </cell>
        </row>
        <row r="87">
          <cell r="C87" t="str">
            <v>Eficacia: Desarrollo de comunidades</v>
          </cell>
        </row>
        <row r="88">
          <cell r="C88" t="str">
            <v>Probabilidad de sostenibilidad de los grupos comunitarios formados o reforzados</v>
          </cell>
        </row>
        <row r="89">
          <cell r="C89" t="str">
            <v>Probabilidad de sostenibilidad de las organizaciones de segundo nivel (apex)</v>
          </cell>
        </row>
        <row r="90">
          <cell r="C90" t="str">
            <v>Eficacia de la infraestructura social - Establecimientos escolares</v>
          </cell>
        </row>
        <row r="91">
          <cell r="C91" t="str">
            <v>Eficacia de la infraestructura social - Centros de salud</v>
          </cell>
        </row>
        <row r="92">
          <cell r="C92" t="str">
            <v>Eficacia de la infraestructura social - Redes de abastecimiento de agua</v>
          </cell>
        </row>
        <row r="93">
          <cell r="C93" t="str">
            <v>Eficacia de la infraestructura social - Otra</v>
          </cell>
        </row>
        <row r="94">
          <cell r="C94" t="str">
            <v>Probabilidad de sostenibilidad de la infraestructura social - Establecimientos escolares</v>
          </cell>
        </row>
        <row r="95">
          <cell r="C95" t="str">
            <v>Probabilidad de sostenibilidad de la infraestructura social - Centros de salud</v>
          </cell>
        </row>
        <row r="96">
          <cell r="C96" t="str">
            <v>Probabilidad de sostenibilidad - Redes de abastecimiento de agua</v>
          </cell>
        </row>
        <row r="97">
          <cell r="C97" t="str">
            <v>Probabilidad de sostenibilidad - Otra</v>
          </cell>
        </row>
        <row r="98">
          <cell r="C98" t="str">
            <v>Hogares con una mejora del índice de propiedad de activos</v>
          </cell>
        </row>
        <row r="99">
          <cell r="C99" t="str">
            <v>Peso inferior al normal (peso-edad)</v>
          </cell>
        </row>
        <row r="100">
          <cell r="C100" t="str">
            <v>Malnutrición crónica (estatura-edad)</v>
          </cell>
        </row>
        <row r="101">
          <cell r="C101" t="str">
            <v>Malnutrición aguda (peso-estatura)</v>
          </cell>
        </row>
        <row r="102">
          <cell r="C102" t="str">
            <v>Hogares con un acceso a mejores fuentes de abastecimiento de agua (potable)</v>
          </cell>
        </row>
        <row r="103">
          <cell r="C103" t="str">
            <v>Hogares con acceso a mejores servicios de saneamiento</v>
          </cell>
        </row>
        <row r="104">
          <cell r="C104" t="str">
            <v>Mujeres miembros de hogares que saben leer</v>
          </cell>
        </row>
        <row r="105">
          <cell r="C105" t="str">
            <v>Hombres miembros de hogares que saben leer</v>
          </cell>
        </row>
        <row r="106">
          <cell r="C106" t="str">
            <v>Proporción mujer-hombre entre 15 y 24 años que saben leer</v>
          </cell>
        </row>
        <row r="107">
          <cell r="C107" t="str">
            <v>Hombres entre 15 y 24 que saben leer</v>
          </cell>
        </row>
        <row r="108">
          <cell r="C108" t="str">
            <v>Mujeres entre 15 y 24 que saben leer</v>
          </cell>
        </row>
        <row r="109">
          <cell r="C109" t="str">
            <v xml:space="preserve">Hogares que sufren una estación de hambre </v>
          </cell>
        </row>
        <row r="110">
          <cell r="C110" t="str">
            <v xml:space="preserve">Meses de duración de la primera temporada de hambre </v>
          </cell>
        </row>
        <row r="111">
          <cell r="C111" t="str">
            <v>Households experiencing two hungry seasons</v>
          </cell>
        </row>
        <row r="112">
          <cell r="C112" t="str">
            <v xml:space="preserve">Meses de duración de la segunda temporada de hambre </v>
          </cell>
        </row>
      </sheetData>
      <sheetData sheetId="5">
        <row r="2">
          <cell r="D2" t="str">
            <v>Albania</v>
          </cell>
        </row>
        <row r="3">
          <cell r="D3" t="str">
            <v>Angola</v>
          </cell>
        </row>
        <row r="4">
          <cell r="D4" t="str">
            <v>Argentina</v>
          </cell>
        </row>
        <row r="5">
          <cell r="D5" t="str">
            <v>Armenia</v>
          </cell>
        </row>
        <row r="6">
          <cell r="D6" t="str">
            <v>Azerbaijan</v>
          </cell>
        </row>
        <row r="7">
          <cell r="D7" t="str">
            <v>Bangladesh</v>
          </cell>
        </row>
        <row r="8">
          <cell r="D8" t="str">
            <v>Benin</v>
          </cell>
        </row>
        <row r="9">
          <cell r="D9" t="str">
            <v>Bhutan</v>
          </cell>
        </row>
        <row r="10">
          <cell r="D10" t="str">
            <v>Bolivia</v>
          </cell>
        </row>
        <row r="11">
          <cell r="D11" t="str">
            <v>BosniaHerzegovina</v>
          </cell>
        </row>
        <row r="12">
          <cell r="D12" t="str">
            <v>Brazil</v>
          </cell>
        </row>
        <row r="13">
          <cell r="D13" t="str">
            <v>BurkinaFaso</v>
          </cell>
        </row>
        <row r="14">
          <cell r="D14" t="str">
            <v>Burundi</v>
          </cell>
        </row>
        <row r="15">
          <cell r="D15" t="str">
            <v>Cambodia</v>
          </cell>
        </row>
        <row r="16">
          <cell r="D16" t="str">
            <v>Cameroon</v>
          </cell>
        </row>
        <row r="17">
          <cell r="D17" t="str">
            <v>CapeVerde</v>
          </cell>
        </row>
        <row r="18">
          <cell r="D18" t="str">
            <v>Chad</v>
          </cell>
        </row>
        <row r="19">
          <cell r="D19" t="str">
            <v>China</v>
          </cell>
        </row>
        <row r="20">
          <cell r="D20" t="str">
            <v>Colombia</v>
          </cell>
        </row>
        <row r="21">
          <cell r="D21" t="str">
            <v>Comoros</v>
          </cell>
        </row>
        <row r="22">
          <cell r="D22" t="str">
            <v>Congo</v>
          </cell>
        </row>
        <row r="23">
          <cell r="D23" t="str">
            <v>CongoDR</v>
          </cell>
        </row>
        <row r="24">
          <cell r="D24" t="str">
            <v>CôteIvoire</v>
          </cell>
        </row>
        <row r="25">
          <cell r="D25" t="str">
            <v>Djibouti</v>
          </cell>
        </row>
        <row r="26">
          <cell r="D26" t="str">
            <v>DominicanRepublic</v>
          </cell>
        </row>
        <row r="27">
          <cell r="D27" t="str">
            <v>Ecuador</v>
          </cell>
        </row>
        <row r="28">
          <cell r="D28" t="str">
            <v>Egypt</v>
          </cell>
        </row>
        <row r="29">
          <cell r="D29" t="str">
            <v>ElSalvador</v>
          </cell>
        </row>
        <row r="30">
          <cell r="D30" t="str">
            <v>Eritrea</v>
          </cell>
        </row>
        <row r="31">
          <cell r="D31" t="str">
            <v>Ethiopia</v>
          </cell>
        </row>
        <row r="32">
          <cell r="D32" t="str">
            <v>Gabon</v>
          </cell>
        </row>
        <row r="33">
          <cell r="D33" t="str">
            <v>TheGambia</v>
          </cell>
        </row>
        <row r="34">
          <cell r="D34" t="str">
            <v>GazaWestBank</v>
          </cell>
        </row>
        <row r="35">
          <cell r="D35" t="str">
            <v>Georgia</v>
          </cell>
        </row>
        <row r="36">
          <cell r="D36" t="str">
            <v>Ghana</v>
          </cell>
        </row>
        <row r="37">
          <cell r="D37" t="str">
            <v>Grenada</v>
          </cell>
        </row>
        <row r="38">
          <cell r="D38" t="str">
            <v>Guatemala</v>
          </cell>
        </row>
        <row r="39">
          <cell r="D39" t="str">
            <v>Guinea</v>
          </cell>
        </row>
        <row r="40">
          <cell r="D40" t="str">
            <v>GuineaBissau</v>
          </cell>
        </row>
        <row r="41">
          <cell r="D41" t="str">
            <v>Guyana</v>
          </cell>
        </row>
        <row r="42">
          <cell r="D42" t="str">
            <v>Haiti</v>
          </cell>
        </row>
        <row r="43">
          <cell r="D43" t="str">
            <v>Honduras</v>
          </cell>
        </row>
        <row r="44">
          <cell r="D44" t="str">
            <v>India</v>
          </cell>
        </row>
        <row r="45">
          <cell r="D45" t="str">
            <v>Indonesia</v>
          </cell>
        </row>
        <row r="46">
          <cell r="D46" t="str">
            <v>Jordan</v>
          </cell>
        </row>
        <row r="47">
          <cell r="D47" t="str">
            <v>Kenya</v>
          </cell>
        </row>
        <row r="48">
          <cell r="D48" t="str">
            <v>KoreaDPR</v>
          </cell>
        </row>
        <row r="49">
          <cell r="D49" t="str">
            <v>Laos</v>
          </cell>
        </row>
        <row r="50">
          <cell r="D50" t="str">
            <v>Lesotho</v>
          </cell>
        </row>
        <row r="51">
          <cell r="D51" t="str">
            <v>Macedonia</v>
          </cell>
        </row>
        <row r="52">
          <cell r="D52" t="str">
            <v>Madagascar</v>
          </cell>
        </row>
        <row r="53">
          <cell r="D53" t="str">
            <v>Malawi</v>
          </cell>
        </row>
        <row r="54">
          <cell r="D54" t="str">
            <v>Maldives</v>
          </cell>
        </row>
        <row r="55">
          <cell r="D55" t="str">
            <v>Mali</v>
          </cell>
        </row>
        <row r="56">
          <cell r="D56" t="str">
            <v>Mauritania</v>
          </cell>
        </row>
        <row r="57">
          <cell r="D57" t="str">
            <v>Mauritius</v>
          </cell>
        </row>
        <row r="58">
          <cell r="D58" t="str">
            <v>Mexico</v>
          </cell>
        </row>
        <row r="59">
          <cell r="D59" t="str">
            <v>Moldova</v>
          </cell>
        </row>
        <row r="60">
          <cell r="D60" t="str">
            <v>Mongolia</v>
          </cell>
        </row>
        <row r="61">
          <cell r="D61" t="str">
            <v>Morocco</v>
          </cell>
        </row>
        <row r="62">
          <cell r="D62" t="str">
            <v>Mozambique</v>
          </cell>
        </row>
        <row r="63">
          <cell r="D63" t="str">
            <v>Nepal</v>
          </cell>
        </row>
        <row r="64">
          <cell r="D64" t="str">
            <v>Nicaragua</v>
          </cell>
        </row>
        <row r="65">
          <cell r="D65" t="str">
            <v>Niger</v>
          </cell>
        </row>
        <row r="66">
          <cell r="D66" t="str">
            <v>Nigeria</v>
          </cell>
        </row>
        <row r="67">
          <cell r="D67" t="str">
            <v>Pakistan</v>
          </cell>
        </row>
        <row r="68">
          <cell r="D68" t="str">
            <v>Panama</v>
          </cell>
        </row>
        <row r="69">
          <cell r="D69" t="str">
            <v>Paraguay</v>
          </cell>
        </row>
        <row r="70">
          <cell r="D70" t="str">
            <v>Peru</v>
          </cell>
        </row>
        <row r="71">
          <cell r="D71" t="str">
            <v>Philippines</v>
          </cell>
        </row>
        <row r="72">
          <cell r="D72" t="str">
            <v>Rwanda</v>
          </cell>
        </row>
        <row r="73">
          <cell r="D73" t="str">
            <v>SaoTomePrincipe</v>
          </cell>
        </row>
        <row r="74">
          <cell r="D74" t="str">
            <v>Senegal</v>
          </cell>
        </row>
        <row r="75">
          <cell r="D75" t="str">
            <v>SierraLeone</v>
          </cell>
        </row>
        <row r="76">
          <cell r="D76" t="str">
            <v>SriLanka</v>
          </cell>
        </row>
        <row r="77">
          <cell r="D77" t="str">
            <v>Sudan</v>
          </cell>
        </row>
        <row r="78">
          <cell r="D78" t="str">
            <v>Swaziland</v>
          </cell>
        </row>
        <row r="79">
          <cell r="D79" t="str">
            <v>Syria</v>
          </cell>
        </row>
        <row r="80">
          <cell r="D80" t="str">
            <v>Tanzania</v>
          </cell>
        </row>
        <row r="81">
          <cell r="D81" t="str">
            <v>Tunisia</v>
          </cell>
        </row>
        <row r="82">
          <cell r="D82" t="str">
            <v>Turkey</v>
          </cell>
        </row>
        <row r="83">
          <cell r="D83" t="str">
            <v>Uganda</v>
          </cell>
        </row>
        <row r="84">
          <cell r="D84" t="str">
            <v>Uruguay</v>
          </cell>
        </row>
        <row r="85">
          <cell r="D85" t="str">
            <v>Venezuela</v>
          </cell>
        </row>
        <row r="86">
          <cell r="D86" t="str">
            <v>VietNam</v>
          </cell>
        </row>
        <row r="87">
          <cell r="D87" t="str">
            <v>Yemen</v>
          </cell>
        </row>
        <row r="88">
          <cell r="D88" t="str">
            <v>Zambia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os básicos"/>
      <sheetName val="Primer Nivel"/>
      <sheetName val="Segundo Nivel"/>
      <sheetName val="Tercer Nivel"/>
      <sheetName val="List of Indicators "/>
      <sheetName val="Name"/>
    </sheetNames>
    <sheetDataSet>
      <sheetData sheetId="0"/>
      <sheetData sheetId="1"/>
      <sheetData sheetId="2"/>
      <sheetData sheetId="3"/>
      <sheetData sheetId="4">
        <row r="62">
          <cell r="C62" t="str">
            <v>Probabilidad de sostenibilidad de los grupos que gestionan infraestructura formados o reforzados</v>
          </cell>
        </row>
        <row r="63">
          <cell r="C63" t="str">
            <v>Eficacia de la infraestructura de producción - Sistema de riego</v>
          </cell>
        </row>
        <row r="64">
          <cell r="C64" t="str">
            <v>Eficacia de la infraestructura de producción - Puntos de aguada de ganado</v>
          </cell>
        </row>
        <row r="65">
          <cell r="C65" t="str">
            <v>Eficacia de la infraestructura de producción - Sistemas de recolleción del agua de lluvia</v>
          </cell>
        </row>
        <row r="66">
          <cell r="C66" t="str">
            <v>Eficacia de la infraestructura de producción - Estanques piscícolas</v>
          </cell>
        </row>
        <row r="67">
          <cell r="C67" t="str">
            <v>Probabilidad de sostenibilidad de la infraestructura de producción - Sistema de riego</v>
          </cell>
        </row>
        <row r="68">
          <cell r="C68" t="str">
            <v>Probabilidad de sostenibilidad de la infraestructura de producción - Livestock water points</v>
          </cell>
        </row>
        <row r="69">
          <cell r="C69" t="str">
            <v>Probabilidad de sostenibilidad de la infraestructura de producción - Rainwater harvesting systems</v>
          </cell>
        </row>
        <row r="70">
          <cell r="C70" t="str">
            <v>Probabilidad de sostenibilidad de la infraestructura de producción - Fish ponds</v>
          </cell>
        </row>
        <row r="71">
          <cell r="C71" t="str">
            <v>Probabilidad de sostenibilidad de los grupos de gestión de recursos naturales</v>
          </cell>
        </row>
        <row r="72">
          <cell r="C72" t="str">
            <v>Eficacia de los programas de gestión de recursos naturales</v>
          </cell>
        </row>
        <row r="73">
          <cell r="C73" t="str">
            <v>Eficacia: Mejor desempeño de los proveedores de servicios</v>
          </cell>
        </row>
        <row r="74">
          <cell r="C74" t="str">
            <v>Eficacia: Producción agrícola y ganadera mejorada</v>
          </cell>
        </row>
        <row r="75">
          <cell r="C75" t="str">
            <v>Probabilidad de sostenibilidad de los grupos de ahorro y crédito formados o reforzados</v>
          </cell>
        </row>
        <row r="76">
          <cell r="C76" t="str">
            <v>Eficacia: Acceso mejorado de las instituciones financieras</v>
          </cell>
        </row>
        <row r="77">
          <cell r="C77" t="str">
            <v>Sostenibilidad: Desempeño mejorado de las instituciones financieras</v>
          </cell>
        </row>
        <row r="78">
          <cell r="C78" t="str">
            <v>Eficacia: Productores que se benefician de un acceso a los mercados mejorado</v>
          </cell>
        </row>
        <row r="79">
          <cell r="C79" t="str">
            <v>Probabilidad de sostenibilidad de las carreteras construidas or rehabilitadas</v>
          </cell>
        </row>
        <row r="80">
          <cell r="C80" t="str">
            <v>Probabilitad de sostenibilitad de los locales e installaciones comerciales</v>
          </cell>
        </row>
        <row r="81">
          <cell r="C81" t="str">
            <v>Probabilitad de sostenibilitad de los locales e installaciones de almacenamiento</v>
          </cell>
        </row>
        <row r="82">
          <cell r="C82" t="str">
            <v>Probabilitad de sostenibilitad de los locales e installaciones de elaboración</v>
          </cell>
        </row>
        <row r="83">
          <cell r="C83" t="str">
            <v>Probabilitad de sostenibilitad de los grupos de comercialización formados o reforzados</v>
          </cell>
        </row>
        <row r="84">
          <cell r="C84" t="str">
            <v>Eficacia: Creación de oportunidades de empleo</v>
          </cell>
        </row>
        <row r="85">
          <cell r="C85" t="str">
            <v>Probabilidad de sostenibilidad de las empresas</v>
          </cell>
        </row>
        <row r="86">
          <cell r="C86" t="str">
            <v>Eficacia: Fomento de políticas e instituciones favorables a los pobres</v>
          </cell>
        </row>
        <row r="87">
          <cell r="C87" t="str">
            <v>Eficacia: Desarrollo de comunidades</v>
          </cell>
        </row>
        <row r="88">
          <cell r="C88" t="str">
            <v>Probabilidad de sostenibilidad de los grupos comunitarios formados o reforzados</v>
          </cell>
        </row>
        <row r="89">
          <cell r="C89" t="str">
            <v>Probabilidad de sostenibilidad de las organizaciones de segundo nivel (apex)</v>
          </cell>
        </row>
        <row r="90">
          <cell r="C90" t="str">
            <v>Eficacia de la infraestructura social - Establecimientos escolares</v>
          </cell>
        </row>
        <row r="91">
          <cell r="C91" t="str">
            <v>Eficacia de la infraestructura social - Centros de salud</v>
          </cell>
        </row>
        <row r="92">
          <cell r="C92" t="str">
            <v>Eficacia de la infraestructura social - Redes de abastecimiento de agua</v>
          </cell>
        </row>
        <row r="93">
          <cell r="C93" t="str">
            <v>Eficacia de la infraestructura social - Otra</v>
          </cell>
        </row>
        <row r="94">
          <cell r="C94" t="str">
            <v>Probabilidad de sostenibilidad de la infraestructura social - Establecimientos escolares</v>
          </cell>
        </row>
        <row r="95">
          <cell r="C95" t="str">
            <v>Probabilidad de sostenibilidad de la infraestructura social - Centros de salud</v>
          </cell>
        </row>
        <row r="96">
          <cell r="C96" t="str">
            <v>Probabilidad de sostenibilidad - Redes de abastecimiento de agua</v>
          </cell>
        </row>
        <row r="97">
          <cell r="C97" t="str">
            <v>Probabilidad de sostenibilidad - Otra</v>
          </cell>
        </row>
      </sheetData>
      <sheetData sheetId="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Inicio"/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Flujo de Efectivo"/>
      <sheetName val="Comite 1"/>
      <sheetName val="Comite 2"/>
      <sheetName val="Comite 3"/>
      <sheetName val="Comite 4"/>
      <sheetName val="Comite 5"/>
      <sheetName val="Noviembre"/>
      <sheetName val="Diciembre"/>
      <sheetName val="Datos"/>
      <sheetName val="Comite 6"/>
      <sheetName val="Comite 7"/>
      <sheetName val="Comite 8"/>
      <sheetName val="TOTALES2012"/>
      <sheetName val="Anual"/>
      <sheetName val="Calculos"/>
      <sheetName val="Actividades"/>
      <sheetName val="Reuniones"/>
      <sheetName val="Anotaciones"/>
      <sheetName val="Requisitos"/>
      <sheetName val="Montos"/>
      <sheetName val="Cadenas"/>
      <sheetName val="Llamadas"/>
      <sheetName val="Documentacion"/>
      <sheetName val="Consolidado"/>
      <sheetName val="TOTAL CADEN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1 B"/>
      <sheetName val="2 B"/>
      <sheetName val="3 B"/>
      <sheetName val="4 B (2)"/>
      <sheetName val="Fig 4 B1"/>
      <sheetName val="5 B"/>
      <sheetName val="6 B"/>
      <sheetName val="7 B"/>
      <sheetName val="7 B-2"/>
      <sheetName val="8 B"/>
      <sheetName val="9 B"/>
      <sheetName val="10 B"/>
      <sheetName val="Ficha Ind"/>
      <sheetName val="M d V"/>
      <sheetName val="11 B"/>
      <sheetName val="12 B"/>
      <sheetName val="13 B"/>
      <sheetName val="14 B"/>
      <sheetName val="Cuadro 1 B"/>
      <sheetName val="Cuadro 2 B"/>
      <sheetName val="Cuadro 3 B"/>
      <sheetName val="Cuadro 4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0">
          <cell r="C10" t="str">
            <v>Manzana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Guia PAO"/>
      <sheetName val="POA 2016 ODC"/>
      <sheetName val="POA 2015 ODC"/>
      <sheetName val="Objetivos "/>
    </sheetNames>
    <sheetDataSet>
      <sheetData sheetId="0"/>
      <sheetData sheetId="1"/>
      <sheetData sheetId="2">
        <row r="10">
          <cell r="C10" t="str">
            <v>E.11</v>
          </cell>
          <cell r="D10" t="str">
            <v>L.11.05.03</v>
          </cell>
          <cell r="E10" t="str">
            <v>R.11.05.03.02-E</v>
          </cell>
          <cell r="F10" t="str">
            <v>Institucionalizar la rendición de cuentas en el MAG, cómo práctica permanente para generar un diálogo abierto con la ciudadanía.</v>
          </cell>
        </row>
        <row r="11">
          <cell r="C11" t="str">
            <v>E.11</v>
          </cell>
          <cell r="D11" t="str">
            <v>L.11.05.03</v>
          </cell>
          <cell r="E11" t="str">
            <v>A.11.05.03.02.01-E</v>
          </cell>
          <cell r="F11" t="str">
            <v>Desarrollar eventos públicos de rendición de cuentas y elaborar el informe respectivo</v>
          </cell>
          <cell r="G11">
            <v>1</v>
          </cell>
          <cell r="H11" t="str">
            <v>evento</v>
          </cell>
          <cell r="I11" t="str">
            <v>Evento público de rendición de cuentas, realizado</v>
          </cell>
          <cell r="J11" t="str">
            <v>Informe de rendición de cuentas del MAG</v>
          </cell>
        </row>
        <row r="12">
          <cell r="C12" t="str">
            <v>E.12</v>
          </cell>
          <cell r="D12" t="str">
            <v>L.12.07</v>
          </cell>
          <cell r="E12" t="str">
            <v>R.12.07.01-O</v>
          </cell>
          <cell r="F12" t="str">
            <v>Desarrollar acciones de Comunicación e información publica del  MAG</v>
          </cell>
        </row>
        <row r="13">
          <cell r="C13" t="str">
            <v>E.12</v>
          </cell>
          <cell r="D13" t="str">
            <v>L.12.07</v>
          </cell>
          <cell r="E13" t="str">
            <v>A.12.07.01.01-O</v>
          </cell>
          <cell r="F13" t="str">
            <v>Organizar eventos públicos del MAG</v>
          </cell>
          <cell r="G13">
            <v>56</v>
          </cell>
          <cell r="H13" t="str">
            <v>Evento</v>
          </cell>
          <cell r="I13" t="str">
            <v>Evento públicos del MAG, organizados</v>
          </cell>
          <cell r="J13" t="str">
            <v>Agenda protocolar del MAG</v>
          </cell>
        </row>
        <row r="14">
          <cell r="C14" t="str">
            <v>E.12</v>
          </cell>
          <cell r="D14" t="str">
            <v>L.12.07</v>
          </cell>
          <cell r="E14" t="str">
            <v>A.12.07.01.02-O</v>
          </cell>
          <cell r="F14" t="str">
            <v>Gestionar Entrevistas en medios de comunicación para dar a conocer acciones del MAG</v>
          </cell>
          <cell r="G14">
            <v>36</v>
          </cell>
          <cell r="H14" t="str">
            <v>Entrevista</v>
          </cell>
          <cell r="I14" t="str">
            <v>Entrevistas en medios de comunicación para dar a conocer acciones del MAG, gestionadas</v>
          </cell>
          <cell r="J14" t="str">
            <v>Informe de entrevistas divulgadas</v>
          </cell>
        </row>
        <row r="16">
          <cell r="C16" t="str">
            <v>E.12</v>
          </cell>
          <cell r="D16" t="str">
            <v>L.12.07</v>
          </cell>
          <cell r="E16" t="str">
            <v>A.12.07.01.04-O</v>
          </cell>
          <cell r="F16" t="str">
            <v>Informar al personal del MAG las actividades publicas institucionales en módulos informativos impresos</v>
          </cell>
          <cell r="G16">
            <v>432</v>
          </cell>
          <cell r="H16" t="str">
            <v>Modulo</v>
          </cell>
          <cell r="I16" t="str">
            <v>Módulos informativos impresos, actualizados</v>
          </cell>
          <cell r="J16" t="str">
            <v>Informe de actualización de Módulos institucionales</v>
          </cell>
        </row>
        <row r="17">
          <cell r="C17" t="str">
            <v>E.12</v>
          </cell>
          <cell r="D17" t="str">
            <v>L.12.07</v>
          </cell>
          <cell r="E17" t="str">
            <v>A.12.07.01.05-O</v>
          </cell>
          <cell r="F17" t="str">
            <v>Comunicar acciones relevantes del quehacer institucional en los medios de comunicación social</v>
          </cell>
          <cell r="G17">
            <v>144</v>
          </cell>
          <cell r="H17" t="str">
            <v>Comunicado</v>
          </cell>
          <cell r="I17" t="str">
            <v>Acciones relevantes del quehacer institucional en los medios de comunicación social, divulgados</v>
          </cell>
          <cell r="J17" t="str">
            <v>Informe de comunicados divulgados</v>
          </cell>
        </row>
        <row r="19">
          <cell r="C19" t="str">
            <v>E.12</v>
          </cell>
          <cell r="D19" t="str">
            <v>L.12.07</v>
          </cell>
          <cell r="E19" t="str">
            <v>A.12.07.01.07-O</v>
          </cell>
          <cell r="F19" t="str">
            <v>Producir revista digital institucional "Cosechando Juntos"</v>
          </cell>
          <cell r="G19">
            <v>12</v>
          </cell>
          <cell r="H19" t="str">
            <v>Revista</v>
          </cell>
          <cell r="I19" t="str">
            <v>Revista digital institucional "Cosechando juntos", producida</v>
          </cell>
          <cell r="J19" t="str">
            <v>Revista publicada</v>
          </cell>
        </row>
        <row r="20">
          <cell r="C20" t="str">
            <v>E.12</v>
          </cell>
          <cell r="D20" t="str">
            <v>L.12.07</v>
          </cell>
          <cell r="E20" t="str">
            <v>A.12.07.01.08-O</v>
          </cell>
          <cell r="F20" t="str">
            <v>Producir noticiero digital "NOTIMAG"</v>
          </cell>
          <cell r="G20">
            <v>48</v>
          </cell>
          <cell r="H20" t="str">
            <v>Noticiero</v>
          </cell>
          <cell r="I20" t="str">
            <v>Noticiero digital "NOTIMAG", publicado</v>
          </cell>
          <cell r="J20" t="str">
            <v>Informe del NOTIMAG</v>
          </cell>
        </row>
        <row r="24">
          <cell r="C24" t="str">
            <v>E.12</v>
          </cell>
          <cell r="D24" t="str">
            <v>L.12.07</v>
          </cell>
          <cell r="E24" t="str">
            <v>A.12.07.01.12-O</v>
          </cell>
          <cell r="F24" t="str">
            <v>Registrar número de visitas Bibliográficas presenciales</v>
          </cell>
          <cell r="G24">
            <v>720</v>
          </cell>
          <cell r="H24" t="str">
            <v>Hombre</v>
          </cell>
          <cell r="I24" t="str">
            <v>Número de visitas presenciales bibliotecarias, Registradas</v>
          </cell>
          <cell r="J24" t="str">
            <v>Informe de visitas a  Bibliográfica de Sede</v>
          </cell>
        </row>
        <row r="25">
          <cell r="G25">
            <v>480</v>
          </cell>
          <cell r="H25" t="str">
            <v>Mujer</v>
          </cell>
        </row>
        <row r="26">
          <cell r="C26" t="str">
            <v>E.12</v>
          </cell>
          <cell r="D26" t="str">
            <v>L.12.07</v>
          </cell>
          <cell r="E26" t="str">
            <v>A.12.07.01.13-O</v>
          </cell>
          <cell r="F26" t="str">
            <v>Informar retorno de la inversión publicitaria</v>
          </cell>
          <cell r="G26">
            <v>12</v>
          </cell>
          <cell r="H26" t="str">
            <v xml:space="preserve">Informe </v>
          </cell>
          <cell r="I26" t="str">
            <v>Informe del  retorno de la inversión publicitaria, elaborado</v>
          </cell>
          <cell r="J26" t="str">
            <v>Informe del retorno de la inversión publicitaria</v>
          </cell>
        </row>
      </sheetData>
      <sheetData sheetId="3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FORMATO PAO 2016"/>
      <sheetName val="PCA POA 2016"/>
      <sheetName val="Amanecer Rural"/>
      <sheetName val="Dirección"/>
      <sheetName val="DGDR PAO 2016"/>
    </sheetNames>
    <sheetDataSet>
      <sheetData sheetId="0">
        <row r="96">
          <cell r="AJ96">
            <v>13791695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W78"/>
  <sheetViews>
    <sheetView showGridLines="0" view="pageBreakPreview" topLeftCell="A70" zoomScale="84" zoomScaleNormal="100" zoomScaleSheetLayoutView="84" workbookViewId="0">
      <selection activeCell="G76" sqref="G76"/>
    </sheetView>
  </sheetViews>
  <sheetFormatPr baseColWidth="10" defaultRowHeight="15"/>
  <cols>
    <col min="1" max="1" width="5" style="71" customWidth="1"/>
    <col min="2" max="2" width="10.85546875" style="71" customWidth="1"/>
    <col min="3" max="3" width="19" style="71" customWidth="1"/>
    <col min="4" max="4" width="26.7109375" style="71" customWidth="1"/>
    <col min="5" max="5" width="7.140625" style="71" customWidth="1"/>
    <col min="6" max="6" width="12" style="71" customWidth="1"/>
    <col min="7" max="8" width="25.7109375" style="71" customWidth="1"/>
    <col min="9" max="9" width="12.42578125" style="71" customWidth="1"/>
    <col min="10" max="10" width="11.85546875" style="71" customWidth="1"/>
    <col min="11" max="11" width="11.42578125" style="71" customWidth="1"/>
    <col min="12" max="12" width="3.5703125" style="71" bestFit="1" customWidth="1"/>
    <col min="13" max="13" width="2.28515625" style="71" bestFit="1" customWidth="1"/>
    <col min="14" max="14" width="3.5703125" style="71" bestFit="1" customWidth="1"/>
    <col min="15" max="15" width="6.42578125" style="123" bestFit="1" customWidth="1"/>
    <col min="16" max="17" width="7.5703125" style="123" bestFit="1" customWidth="1"/>
    <col min="18" max="20" width="3.5703125" style="123" bestFit="1" customWidth="1"/>
    <col min="21" max="22" width="7.5703125" style="123" bestFit="1" customWidth="1"/>
    <col min="23" max="23" width="8.85546875" style="71" bestFit="1" customWidth="1"/>
    <col min="24" max="26" width="3.5703125" style="71" bestFit="1" customWidth="1"/>
    <col min="27" max="29" width="7.5703125" style="71" bestFit="1" customWidth="1"/>
    <col min="30" max="32" width="3.5703125" style="71" bestFit="1" customWidth="1"/>
    <col min="33" max="34" width="7.5703125" style="71" bestFit="1" customWidth="1"/>
    <col min="35" max="35" width="8.85546875" style="71" bestFit="1" customWidth="1"/>
    <col min="36" max="36" width="9.140625" style="71" customWidth="1"/>
    <col min="37" max="37" width="8.85546875" style="123" bestFit="1" customWidth="1"/>
    <col min="38" max="39" width="6.28515625" style="71" bestFit="1" customWidth="1"/>
    <col min="40" max="40" width="8.85546875" style="71" customWidth="1"/>
    <col min="41" max="41" width="8.140625" style="71" customWidth="1"/>
    <col min="42" max="42" width="15.5703125" style="71" customWidth="1"/>
    <col min="43" max="43" width="18.7109375" style="71" customWidth="1"/>
    <col min="44" max="44" width="12.42578125" style="71" customWidth="1"/>
    <col min="45" max="16384" width="11.42578125" style="71"/>
  </cols>
  <sheetData>
    <row r="1" spans="1:49" ht="15.75">
      <c r="A1" s="869" t="s">
        <v>0</v>
      </c>
      <c r="B1" s="869"/>
      <c r="C1" s="869"/>
      <c r="D1" s="869"/>
      <c r="E1" s="869"/>
      <c r="F1" s="869"/>
      <c r="G1" s="869"/>
      <c r="H1" s="869"/>
      <c r="I1" s="869"/>
      <c r="J1" s="869"/>
      <c r="K1" s="869"/>
      <c r="L1" s="869"/>
      <c r="M1" s="869"/>
      <c r="N1" s="869"/>
      <c r="O1" s="869"/>
      <c r="P1" s="869"/>
      <c r="Q1" s="869"/>
      <c r="R1" s="869"/>
      <c r="S1" s="869"/>
      <c r="T1" s="869"/>
      <c r="U1" s="869"/>
      <c r="V1" s="869"/>
      <c r="W1" s="869"/>
      <c r="X1" s="869"/>
      <c r="Y1" s="869"/>
      <c r="Z1" s="869"/>
      <c r="AA1" s="869"/>
      <c r="AB1" s="869"/>
      <c r="AC1" s="869"/>
      <c r="AD1" s="869"/>
      <c r="AE1" s="869"/>
      <c r="AF1" s="869"/>
      <c r="AG1" s="869"/>
      <c r="AH1" s="869"/>
      <c r="AI1" s="869"/>
      <c r="AJ1" s="869"/>
      <c r="AK1" s="869"/>
      <c r="AL1" s="869"/>
      <c r="AM1" s="869"/>
      <c r="AN1" s="869"/>
      <c r="AO1" s="869"/>
      <c r="AP1" s="869"/>
      <c r="AQ1" s="869"/>
      <c r="AR1" s="869"/>
    </row>
    <row r="2" spans="1:49" ht="15.75">
      <c r="A2" s="869" t="s">
        <v>1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69"/>
      <c r="O2" s="869"/>
      <c r="P2" s="869"/>
      <c r="Q2" s="869"/>
      <c r="R2" s="869"/>
      <c r="S2" s="869"/>
      <c r="T2" s="869"/>
      <c r="U2" s="869"/>
      <c r="V2" s="869"/>
      <c r="W2" s="869"/>
      <c r="X2" s="869"/>
      <c r="Y2" s="869"/>
      <c r="Z2" s="869"/>
      <c r="AA2" s="869"/>
      <c r="AB2" s="869"/>
      <c r="AC2" s="869"/>
      <c r="AD2" s="869"/>
      <c r="AE2" s="869"/>
      <c r="AF2" s="869"/>
      <c r="AG2" s="869"/>
      <c r="AH2" s="869"/>
      <c r="AI2" s="869"/>
      <c r="AJ2" s="869"/>
      <c r="AK2" s="869"/>
      <c r="AL2" s="869"/>
      <c r="AM2" s="869"/>
      <c r="AN2" s="869"/>
      <c r="AO2" s="869"/>
      <c r="AP2" s="869"/>
      <c r="AQ2" s="869"/>
      <c r="AR2" s="869"/>
    </row>
    <row r="3" spans="1:49" ht="15.75">
      <c r="A3" s="72"/>
      <c r="B3" s="72"/>
      <c r="C3" s="72"/>
      <c r="D3" s="73" t="s">
        <v>158</v>
      </c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</row>
    <row r="4" spans="1:49" ht="15.75">
      <c r="A4" s="72"/>
      <c r="B4" s="72"/>
      <c r="C4" s="72"/>
      <c r="D4" s="73" t="s">
        <v>159</v>
      </c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</row>
    <row r="5" spans="1:49" ht="15.75">
      <c r="A5" s="72"/>
      <c r="B5" s="72"/>
      <c r="C5" s="72"/>
      <c r="D5" s="73" t="s">
        <v>160</v>
      </c>
      <c r="E5" s="73"/>
      <c r="F5" s="73"/>
      <c r="G5" s="72"/>
      <c r="H5" s="72"/>
      <c r="I5" s="72"/>
      <c r="J5" s="72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5"/>
      <c r="AT5" s="75"/>
      <c r="AU5" s="75"/>
      <c r="AV5" s="75"/>
      <c r="AW5" s="75"/>
    </row>
    <row r="6" spans="1:49" ht="15.75">
      <c r="A6" s="863" t="s">
        <v>5</v>
      </c>
      <c r="B6" s="863"/>
      <c r="C6" s="863"/>
      <c r="D6" s="870" t="s">
        <v>6</v>
      </c>
      <c r="E6" s="868" t="s">
        <v>7</v>
      </c>
      <c r="F6" s="863" t="s">
        <v>8</v>
      </c>
      <c r="G6" s="863" t="s">
        <v>9</v>
      </c>
      <c r="H6" s="863" t="s">
        <v>10</v>
      </c>
      <c r="I6" s="863" t="s">
        <v>11</v>
      </c>
      <c r="J6" s="863" t="s">
        <v>12</v>
      </c>
      <c r="K6" s="863" t="s">
        <v>13</v>
      </c>
      <c r="L6" s="864" t="s">
        <v>14</v>
      </c>
      <c r="M6" s="865"/>
      <c r="N6" s="865"/>
      <c r="O6" s="865"/>
      <c r="P6" s="865"/>
      <c r="Q6" s="865"/>
      <c r="R6" s="865"/>
      <c r="S6" s="865"/>
      <c r="T6" s="865"/>
      <c r="U6" s="865"/>
      <c r="V6" s="865"/>
      <c r="W6" s="865"/>
      <c r="X6" s="865"/>
      <c r="Y6" s="865"/>
      <c r="Z6" s="865"/>
      <c r="AA6" s="865"/>
      <c r="AB6" s="865"/>
      <c r="AC6" s="865"/>
      <c r="AD6" s="865"/>
      <c r="AE6" s="865"/>
      <c r="AF6" s="865"/>
      <c r="AG6" s="865"/>
      <c r="AH6" s="865"/>
      <c r="AI6" s="865"/>
      <c r="AJ6" s="866"/>
      <c r="AK6" s="863" t="s">
        <v>15</v>
      </c>
      <c r="AL6" s="863"/>
      <c r="AM6" s="863"/>
      <c r="AN6" s="863"/>
      <c r="AO6" s="863"/>
      <c r="AP6" s="863" t="s">
        <v>16</v>
      </c>
      <c r="AQ6" s="863" t="s">
        <v>17</v>
      </c>
      <c r="AR6" s="863" t="s">
        <v>18</v>
      </c>
    </row>
    <row r="7" spans="1:49" ht="15.75">
      <c r="A7" s="863" t="s">
        <v>20</v>
      </c>
      <c r="B7" s="863" t="s">
        <v>21</v>
      </c>
      <c r="C7" s="863" t="s">
        <v>22</v>
      </c>
      <c r="D7" s="870"/>
      <c r="E7" s="868"/>
      <c r="F7" s="863"/>
      <c r="G7" s="863"/>
      <c r="H7" s="863"/>
      <c r="I7" s="863"/>
      <c r="J7" s="863"/>
      <c r="K7" s="863"/>
      <c r="L7" s="867" t="s">
        <v>23</v>
      </c>
      <c r="M7" s="867"/>
      <c r="N7" s="867"/>
      <c r="O7" s="867"/>
      <c r="P7" s="867"/>
      <c r="Q7" s="867"/>
      <c r="R7" s="867" t="s">
        <v>24</v>
      </c>
      <c r="S7" s="867"/>
      <c r="T7" s="867"/>
      <c r="U7" s="867"/>
      <c r="V7" s="867"/>
      <c r="W7" s="867"/>
      <c r="X7" s="867" t="s">
        <v>25</v>
      </c>
      <c r="Y7" s="867"/>
      <c r="Z7" s="867"/>
      <c r="AA7" s="867"/>
      <c r="AB7" s="867"/>
      <c r="AC7" s="867"/>
      <c r="AD7" s="867" t="s">
        <v>26</v>
      </c>
      <c r="AE7" s="867"/>
      <c r="AF7" s="867"/>
      <c r="AG7" s="867"/>
      <c r="AH7" s="867"/>
      <c r="AI7" s="867"/>
      <c r="AJ7" s="868" t="s">
        <v>162</v>
      </c>
      <c r="AK7" s="863" t="s">
        <v>28</v>
      </c>
      <c r="AL7" s="863" t="s">
        <v>29</v>
      </c>
      <c r="AM7" s="863" t="s">
        <v>30</v>
      </c>
      <c r="AN7" s="863" t="s">
        <v>163</v>
      </c>
      <c r="AO7" s="863" t="s">
        <v>32</v>
      </c>
      <c r="AP7" s="863"/>
      <c r="AQ7" s="863"/>
      <c r="AR7" s="863"/>
    </row>
    <row r="8" spans="1:49" ht="15.75">
      <c r="A8" s="863"/>
      <c r="B8" s="863"/>
      <c r="C8" s="863"/>
      <c r="D8" s="870"/>
      <c r="E8" s="868"/>
      <c r="F8" s="863"/>
      <c r="G8" s="863"/>
      <c r="H8" s="863"/>
      <c r="I8" s="863"/>
      <c r="J8" s="863"/>
      <c r="K8" s="863"/>
      <c r="L8" s="867" t="s">
        <v>33</v>
      </c>
      <c r="M8" s="867"/>
      <c r="N8" s="867"/>
      <c r="O8" s="867" t="s">
        <v>34</v>
      </c>
      <c r="P8" s="867"/>
      <c r="Q8" s="867"/>
      <c r="R8" s="867" t="s">
        <v>33</v>
      </c>
      <c r="S8" s="867"/>
      <c r="T8" s="867"/>
      <c r="U8" s="867" t="s">
        <v>34</v>
      </c>
      <c r="V8" s="867"/>
      <c r="W8" s="867"/>
      <c r="X8" s="867" t="s">
        <v>33</v>
      </c>
      <c r="Y8" s="867"/>
      <c r="Z8" s="867"/>
      <c r="AA8" s="867" t="s">
        <v>34</v>
      </c>
      <c r="AB8" s="867"/>
      <c r="AC8" s="867"/>
      <c r="AD8" s="867" t="s">
        <v>33</v>
      </c>
      <c r="AE8" s="867"/>
      <c r="AF8" s="867"/>
      <c r="AG8" s="867" t="s">
        <v>34</v>
      </c>
      <c r="AH8" s="867"/>
      <c r="AI8" s="867"/>
      <c r="AJ8" s="868"/>
      <c r="AK8" s="863"/>
      <c r="AL8" s="863"/>
      <c r="AM8" s="863"/>
      <c r="AN8" s="863"/>
      <c r="AO8" s="863"/>
      <c r="AP8" s="863"/>
      <c r="AQ8" s="863"/>
      <c r="AR8" s="863"/>
    </row>
    <row r="9" spans="1:49" ht="15.75">
      <c r="A9" s="863"/>
      <c r="B9" s="863"/>
      <c r="C9" s="863"/>
      <c r="D9" s="870"/>
      <c r="E9" s="868"/>
      <c r="F9" s="863"/>
      <c r="G9" s="863"/>
      <c r="H9" s="863"/>
      <c r="I9" s="863"/>
      <c r="J9" s="863"/>
      <c r="K9" s="863"/>
      <c r="L9" s="76" t="s">
        <v>35</v>
      </c>
      <c r="M9" s="76" t="s">
        <v>36</v>
      </c>
      <c r="N9" s="76" t="s">
        <v>37</v>
      </c>
      <c r="O9" s="76" t="s">
        <v>35</v>
      </c>
      <c r="P9" s="76" t="s">
        <v>36</v>
      </c>
      <c r="Q9" s="76" t="s">
        <v>37</v>
      </c>
      <c r="R9" s="76" t="s">
        <v>38</v>
      </c>
      <c r="S9" s="76" t="s">
        <v>37</v>
      </c>
      <c r="T9" s="76" t="s">
        <v>39</v>
      </c>
      <c r="U9" s="76" t="s">
        <v>38</v>
      </c>
      <c r="V9" s="76" t="s">
        <v>37</v>
      </c>
      <c r="W9" s="76" t="s">
        <v>39</v>
      </c>
      <c r="X9" s="76" t="s">
        <v>39</v>
      </c>
      <c r="Y9" s="76" t="s">
        <v>38</v>
      </c>
      <c r="Z9" s="76" t="s">
        <v>40</v>
      </c>
      <c r="AA9" s="76" t="s">
        <v>39</v>
      </c>
      <c r="AB9" s="76" t="s">
        <v>38</v>
      </c>
      <c r="AC9" s="76" t="s">
        <v>40</v>
      </c>
      <c r="AD9" s="76" t="s">
        <v>41</v>
      </c>
      <c r="AE9" s="76" t="s">
        <v>42</v>
      </c>
      <c r="AF9" s="76" t="s">
        <v>43</v>
      </c>
      <c r="AG9" s="76" t="s">
        <v>41</v>
      </c>
      <c r="AH9" s="76" t="s">
        <v>42</v>
      </c>
      <c r="AI9" s="76" t="s">
        <v>43</v>
      </c>
      <c r="AJ9" s="868"/>
      <c r="AK9" s="863"/>
      <c r="AL9" s="863"/>
      <c r="AM9" s="863"/>
      <c r="AN9" s="863"/>
      <c r="AO9" s="863"/>
      <c r="AP9" s="863"/>
      <c r="AQ9" s="863"/>
      <c r="AR9" s="863"/>
    </row>
    <row r="10" spans="1:49" ht="94.5">
      <c r="A10" s="77" t="s">
        <v>44</v>
      </c>
      <c r="B10" s="77" t="s">
        <v>45</v>
      </c>
      <c r="C10" s="77" t="s">
        <v>164</v>
      </c>
      <c r="D10" s="78" t="s">
        <v>165</v>
      </c>
      <c r="E10" s="79"/>
      <c r="F10" s="80"/>
      <c r="G10" s="80"/>
      <c r="H10" s="80"/>
      <c r="I10" s="81">
        <v>3</v>
      </c>
      <c r="J10" s="82">
        <v>3</v>
      </c>
      <c r="K10" s="81"/>
      <c r="L10" s="83"/>
      <c r="M10" s="83"/>
      <c r="N10" s="83"/>
      <c r="O10" s="84"/>
      <c r="P10" s="84"/>
      <c r="Q10" s="84"/>
      <c r="R10" s="83"/>
      <c r="S10" s="83"/>
      <c r="T10" s="83"/>
      <c r="U10" s="84"/>
      <c r="V10" s="84"/>
      <c r="W10" s="84">
        <f>SUM(W11:W12)</f>
        <v>14550</v>
      </c>
      <c r="X10" s="83"/>
      <c r="Y10" s="83"/>
      <c r="Z10" s="83"/>
      <c r="AA10" s="84"/>
      <c r="AB10" s="84"/>
      <c r="AC10" s="84"/>
      <c r="AD10" s="83"/>
      <c r="AE10" s="83"/>
      <c r="AF10" s="83"/>
      <c r="AG10" s="84"/>
      <c r="AH10" s="84"/>
      <c r="AI10" s="84">
        <f>SUM(AI11:AI12)</f>
        <v>3635</v>
      </c>
      <c r="AJ10" s="84">
        <f>SUM(AJ11:AJ12)</f>
        <v>18185</v>
      </c>
      <c r="AK10" s="84">
        <f>SUM(AK11:AK12)</f>
        <v>18185</v>
      </c>
      <c r="AL10" s="83"/>
      <c r="AM10" s="83"/>
      <c r="AN10" s="83"/>
      <c r="AO10" s="83"/>
      <c r="AP10" s="80"/>
      <c r="AQ10" s="80"/>
      <c r="AR10" s="80"/>
      <c r="AS10" s="161">
        <f t="shared" ref="AS10" si="0">AJ10-(O10+P10+Q10+U10+V10+W10+AA10+AB10+AC10+AG10+AH10+AI10)</f>
        <v>0</v>
      </c>
      <c r="AT10" s="161">
        <f t="shared" ref="AT10" si="1">AJ10-(AK10+AL10+AM10+AN10+AO10)</f>
        <v>0</v>
      </c>
    </row>
    <row r="11" spans="1:49" ht="62.25" customHeight="1">
      <c r="A11" s="847" t="s">
        <v>44</v>
      </c>
      <c r="B11" s="847" t="s">
        <v>45</v>
      </c>
      <c r="C11" s="839" t="s">
        <v>166</v>
      </c>
      <c r="D11" s="841" t="s">
        <v>167</v>
      </c>
      <c r="E11" s="85">
        <f>SUM(L11,M11,N11,R11,S11,T11,X11,Y11,Z11,AD11,AE11,AF11)</f>
        <v>3</v>
      </c>
      <c r="F11" s="47" t="s">
        <v>168</v>
      </c>
      <c r="G11" s="691" t="s">
        <v>2304</v>
      </c>
      <c r="H11" s="86" t="s">
        <v>169</v>
      </c>
      <c r="I11" s="837">
        <v>100</v>
      </c>
      <c r="J11" s="852"/>
      <c r="K11" s="837">
        <v>100</v>
      </c>
      <c r="L11" s="87"/>
      <c r="M11" s="87"/>
      <c r="N11" s="87"/>
      <c r="O11" s="87"/>
      <c r="P11" s="87"/>
      <c r="Q11" s="87"/>
      <c r="R11" s="87"/>
      <c r="S11" s="87"/>
      <c r="T11" s="87">
        <v>2</v>
      </c>
      <c r="U11" s="87"/>
      <c r="V11" s="87"/>
      <c r="W11" s="87">
        <v>7275</v>
      </c>
      <c r="X11" s="87"/>
      <c r="Y11" s="87"/>
      <c r="Z11" s="87"/>
      <c r="AA11" s="87"/>
      <c r="AB11" s="87"/>
      <c r="AC11" s="87"/>
      <c r="AD11" s="87"/>
      <c r="AE11" s="87"/>
      <c r="AF11" s="87">
        <v>1</v>
      </c>
      <c r="AG11" s="87"/>
      <c r="AH11" s="87"/>
      <c r="AI11" s="87">
        <v>3635</v>
      </c>
      <c r="AJ11" s="87">
        <f>+O11+P11+Q11+U11+V11+W11+AA11+AB11+AC11+AG11+AH11+AI11</f>
        <v>10910</v>
      </c>
      <c r="AK11" s="87">
        <f>+AJ11</f>
        <v>10910</v>
      </c>
      <c r="AL11" s="87"/>
      <c r="AM11" s="87"/>
      <c r="AN11" s="87"/>
      <c r="AO11" s="87"/>
      <c r="AP11" s="88" t="s">
        <v>101</v>
      </c>
      <c r="AQ11" s="88" t="s">
        <v>170</v>
      </c>
      <c r="AR11" s="88"/>
      <c r="AS11" s="161">
        <f t="shared" ref="AS11:AS74" si="2">AJ11-(O11+P11+Q11+U11+V11+W11+AA11+AB11+AC11+AG11+AH11+AI11)</f>
        <v>0</v>
      </c>
      <c r="AT11" s="161">
        <f t="shared" ref="AT11:AT74" si="3">AJ11-(AK11+AL11+AM11+AN11+AO11)</f>
        <v>0</v>
      </c>
    </row>
    <row r="12" spans="1:49" ht="47.25">
      <c r="A12" s="848"/>
      <c r="B12" s="848"/>
      <c r="C12" s="840"/>
      <c r="D12" s="842"/>
      <c r="E12" s="85">
        <f>SUM(L12,M12,N12,R12,S12,T12,X12,Y12,Z12,AD12,AE12,AF12)</f>
        <v>2</v>
      </c>
      <c r="F12" s="47" t="s">
        <v>171</v>
      </c>
      <c r="G12" s="86" t="s">
        <v>172</v>
      </c>
      <c r="H12" s="86" t="s">
        <v>173</v>
      </c>
      <c r="I12" s="862"/>
      <c r="J12" s="854"/>
      <c r="K12" s="862"/>
      <c r="L12" s="87"/>
      <c r="M12" s="87"/>
      <c r="N12" s="87"/>
      <c r="O12" s="87"/>
      <c r="P12" s="87"/>
      <c r="Q12" s="87"/>
      <c r="R12" s="87"/>
      <c r="S12" s="87"/>
      <c r="T12" s="87">
        <v>2</v>
      </c>
      <c r="U12" s="87"/>
      <c r="V12" s="87"/>
      <c r="W12" s="87">
        <v>7275</v>
      </c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>
        <f>+O12+P12+Q12+U12+V12+W12+AA12+AB12+AC12+AG12+AH12+AI12</f>
        <v>7275</v>
      </c>
      <c r="AK12" s="87">
        <f>+AJ12</f>
        <v>7275</v>
      </c>
      <c r="AL12" s="87"/>
      <c r="AM12" s="87"/>
      <c r="AN12" s="87"/>
      <c r="AO12" s="87"/>
      <c r="AP12" s="88" t="s">
        <v>101</v>
      </c>
      <c r="AQ12" s="88" t="s">
        <v>170</v>
      </c>
      <c r="AR12" s="88"/>
      <c r="AS12" s="161">
        <f t="shared" si="2"/>
        <v>0</v>
      </c>
      <c r="AT12" s="161">
        <f t="shared" si="3"/>
        <v>0</v>
      </c>
    </row>
    <row r="13" spans="1:49" ht="78.75">
      <c r="A13" s="77" t="s">
        <v>44</v>
      </c>
      <c r="B13" s="77" t="s">
        <v>45</v>
      </c>
      <c r="C13" s="77" t="s">
        <v>174</v>
      </c>
      <c r="D13" s="78" t="s">
        <v>175</v>
      </c>
      <c r="E13" s="79"/>
      <c r="F13" s="89"/>
      <c r="G13" s="89"/>
      <c r="H13" s="89"/>
      <c r="I13" s="81">
        <v>3</v>
      </c>
      <c r="J13" s="82">
        <v>3</v>
      </c>
      <c r="K13" s="81"/>
      <c r="L13" s="90"/>
      <c r="M13" s="90"/>
      <c r="N13" s="90"/>
      <c r="O13" s="84"/>
      <c r="P13" s="84"/>
      <c r="Q13" s="84"/>
      <c r="R13" s="91"/>
      <c r="S13" s="91"/>
      <c r="T13" s="91"/>
      <c r="U13" s="84"/>
      <c r="V13" s="84"/>
      <c r="W13" s="84"/>
      <c r="X13" s="90"/>
      <c r="Y13" s="90"/>
      <c r="Z13" s="90"/>
      <c r="AA13" s="84"/>
      <c r="AB13" s="84"/>
      <c r="AC13" s="84">
        <f>SUM(AC14:AC15)</f>
        <v>9090</v>
      </c>
      <c r="AD13" s="90"/>
      <c r="AE13" s="90"/>
      <c r="AF13" s="90"/>
      <c r="AG13" s="84"/>
      <c r="AH13" s="84"/>
      <c r="AI13" s="84">
        <f>SUM(AI14:AI15)</f>
        <v>9090</v>
      </c>
      <c r="AJ13" s="84">
        <f>SUM(AJ14:AJ15)</f>
        <v>18180</v>
      </c>
      <c r="AK13" s="84">
        <f>SUM(AK14:AK15)</f>
        <v>18180</v>
      </c>
      <c r="AL13" s="90"/>
      <c r="AM13" s="90"/>
      <c r="AN13" s="90"/>
      <c r="AO13" s="90"/>
      <c r="AP13" s="89"/>
      <c r="AQ13" s="89"/>
      <c r="AR13" s="89"/>
      <c r="AS13" s="161">
        <f t="shared" si="2"/>
        <v>0</v>
      </c>
      <c r="AT13" s="161">
        <f t="shared" si="3"/>
        <v>0</v>
      </c>
    </row>
    <row r="14" spans="1:49" ht="63">
      <c r="A14" s="847" t="s">
        <v>44</v>
      </c>
      <c r="B14" s="847" t="s">
        <v>45</v>
      </c>
      <c r="C14" s="839" t="s">
        <v>176</v>
      </c>
      <c r="D14" s="841" t="s">
        <v>177</v>
      </c>
      <c r="E14" s="85">
        <f>SUM(L14,M14,N14,R14,S14,T14,X14,Y14,Z14,AD14,AE14,AF14)</f>
        <v>1</v>
      </c>
      <c r="F14" s="47" t="s">
        <v>178</v>
      </c>
      <c r="G14" s="86" t="s">
        <v>179</v>
      </c>
      <c r="H14" s="86" t="s">
        <v>180</v>
      </c>
      <c r="I14" s="837">
        <v>100</v>
      </c>
      <c r="J14" s="852"/>
      <c r="K14" s="837">
        <v>100</v>
      </c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>
        <v>1</v>
      </c>
      <c r="AG14" s="87"/>
      <c r="AH14" s="87"/>
      <c r="AI14" s="87">
        <v>9090</v>
      </c>
      <c r="AJ14" s="87">
        <f>+O14+P14+Q14+U14+V14+W14+AA14+AB14+AC14+AG14+AH14+AI14</f>
        <v>9090</v>
      </c>
      <c r="AK14" s="87">
        <f>+AJ14</f>
        <v>9090</v>
      </c>
      <c r="AL14" s="87"/>
      <c r="AM14" s="87"/>
      <c r="AN14" s="87"/>
      <c r="AO14" s="87"/>
      <c r="AP14" s="88" t="s">
        <v>101</v>
      </c>
      <c r="AQ14" s="88" t="s">
        <v>170</v>
      </c>
      <c r="AR14" s="88"/>
      <c r="AS14" s="161">
        <f t="shared" si="2"/>
        <v>0</v>
      </c>
      <c r="AT14" s="161">
        <f t="shared" si="3"/>
        <v>0</v>
      </c>
    </row>
    <row r="15" spans="1:49" ht="58.5" customHeight="1">
      <c r="A15" s="848"/>
      <c r="B15" s="848"/>
      <c r="C15" s="840"/>
      <c r="D15" s="842"/>
      <c r="E15" s="85">
        <f>SUM(L15,M15,N15,R15,S15,T15,X15,Y15,Z15,AD15,AE15,AF15)</f>
        <v>1</v>
      </c>
      <c r="F15" s="47" t="s">
        <v>181</v>
      </c>
      <c r="G15" s="86" t="s">
        <v>182</v>
      </c>
      <c r="H15" s="86" t="s">
        <v>183</v>
      </c>
      <c r="I15" s="862"/>
      <c r="J15" s="854"/>
      <c r="K15" s="862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>
        <v>1</v>
      </c>
      <c r="AA15" s="87"/>
      <c r="AB15" s="87"/>
      <c r="AC15" s="87">
        <v>9090</v>
      </c>
      <c r="AD15" s="87"/>
      <c r="AE15" s="87"/>
      <c r="AF15" s="87"/>
      <c r="AG15" s="87"/>
      <c r="AH15" s="87"/>
      <c r="AI15" s="87"/>
      <c r="AJ15" s="87">
        <f>+O15+P15+Q15+U15+V15+W15+AA15+AB15+AC15+AG15+AH15+AI15</f>
        <v>9090</v>
      </c>
      <c r="AK15" s="87">
        <f>+AJ15</f>
        <v>9090</v>
      </c>
      <c r="AL15" s="87"/>
      <c r="AM15" s="87"/>
      <c r="AN15" s="87"/>
      <c r="AO15" s="87"/>
      <c r="AP15" s="88" t="s">
        <v>101</v>
      </c>
      <c r="AQ15" s="88" t="s">
        <v>170</v>
      </c>
      <c r="AR15" s="88"/>
      <c r="AS15" s="161">
        <f t="shared" si="2"/>
        <v>0</v>
      </c>
      <c r="AT15" s="161">
        <f t="shared" si="3"/>
        <v>0</v>
      </c>
    </row>
    <row r="16" spans="1:49" ht="31.5">
      <c r="A16" s="77" t="s">
        <v>184</v>
      </c>
      <c r="B16" s="77" t="s">
        <v>185</v>
      </c>
      <c r="C16" s="77" t="s">
        <v>186</v>
      </c>
      <c r="D16" s="78" t="s">
        <v>187</v>
      </c>
      <c r="E16" s="79"/>
      <c r="F16" s="89"/>
      <c r="G16" s="89"/>
      <c r="H16" s="89"/>
      <c r="I16" s="81">
        <v>3</v>
      </c>
      <c r="J16" s="82">
        <v>3</v>
      </c>
      <c r="K16" s="81"/>
      <c r="L16" s="90"/>
      <c r="M16" s="90"/>
      <c r="N16" s="90"/>
      <c r="O16" s="84"/>
      <c r="P16" s="84"/>
      <c r="Q16" s="84"/>
      <c r="R16" s="91"/>
      <c r="S16" s="91"/>
      <c r="T16" s="91"/>
      <c r="U16" s="84">
        <f>SUM(U17:U21)</f>
        <v>3030</v>
      </c>
      <c r="V16" s="84"/>
      <c r="W16" s="84">
        <f>SUM(W17:W21)</f>
        <v>2020</v>
      </c>
      <c r="X16" s="90"/>
      <c r="Y16" s="90"/>
      <c r="Z16" s="90"/>
      <c r="AA16" s="84">
        <f>SUM(AA17:AA21)</f>
        <v>2020</v>
      </c>
      <c r="AB16" s="84"/>
      <c r="AC16" s="84">
        <f>SUM(AC17:AC21)</f>
        <v>9090</v>
      </c>
      <c r="AD16" s="90"/>
      <c r="AE16" s="90"/>
      <c r="AF16" s="90"/>
      <c r="AG16" s="84"/>
      <c r="AH16" s="84"/>
      <c r="AI16" s="84">
        <f>SUM(AI17:AI21)</f>
        <v>2020</v>
      </c>
      <c r="AJ16" s="84">
        <f>SUM(AJ17:AJ21)</f>
        <v>18180</v>
      </c>
      <c r="AK16" s="84">
        <f>SUM(AK17:AK21)</f>
        <v>18180</v>
      </c>
      <c r="AL16" s="90"/>
      <c r="AM16" s="90"/>
      <c r="AN16" s="90"/>
      <c r="AO16" s="90"/>
      <c r="AP16" s="89"/>
      <c r="AQ16" s="89"/>
      <c r="AR16" s="89"/>
      <c r="AS16" s="161">
        <f t="shared" si="2"/>
        <v>0</v>
      </c>
      <c r="AT16" s="161">
        <f t="shared" si="3"/>
        <v>0</v>
      </c>
    </row>
    <row r="17" spans="1:46" ht="63">
      <c r="A17" s="839" t="s">
        <v>184</v>
      </c>
      <c r="B17" s="839" t="s">
        <v>185</v>
      </c>
      <c r="C17" s="839" t="s">
        <v>188</v>
      </c>
      <c r="D17" s="841" t="s">
        <v>189</v>
      </c>
      <c r="E17" s="85">
        <f>SUM(L17,M17,N17,R17,S17,T17,X17,Y17,Z17,AD17,AE17,AF17)</f>
        <v>6</v>
      </c>
      <c r="F17" s="47" t="s">
        <v>168</v>
      </c>
      <c r="G17" s="86" t="s">
        <v>190</v>
      </c>
      <c r="H17" s="86" t="s">
        <v>191</v>
      </c>
      <c r="I17" s="837">
        <v>100</v>
      </c>
      <c r="J17" s="852"/>
      <c r="K17" s="837">
        <v>100</v>
      </c>
      <c r="L17" s="87"/>
      <c r="M17" s="87"/>
      <c r="N17" s="87"/>
      <c r="O17" s="87"/>
      <c r="P17" s="87"/>
      <c r="Q17" s="87"/>
      <c r="R17" s="87"/>
      <c r="S17" s="87"/>
      <c r="T17" s="87">
        <v>2</v>
      </c>
      <c r="U17" s="87"/>
      <c r="V17" s="87"/>
      <c r="W17" s="87">
        <v>2020</v>
      </c>
      <c r="X17" s="87">
        <v>2</v>
      </c>
      <c r="Y17" s="87"/>
      <c r="Z17" s="87"/>
      <c r="AA17" s="87">
        <v>2020</v>
      </c>
      <c r="AB17" s="87"/>
      <c r="AC17" s="87"/>
      <c r="AD17" s="87"/>
      <c r="AE17" s="87"/>
      <c r="AF17" s="87">
        <v>2</v>
      </c>
      <c r="AG17" s="87"/>
      <c r="AH17" s="87"/>
      <c r="AI17" s="87">
        <v>2020</v>
      </c>
      <c r="AJ17" s="87">
        <f>+O17+P17+Q17+U17+V17+W17+AA17+AB17+AC17+AG17+AH17+AI17</f>
        <v>6060</v>
      </c>
      <c r="AK17" s="87">
        <f>+AJ17</f>
        <v>6060</v>
      </c>
      <c r="AL17" s="87"/>
      <c r="AM17" s="87"/>
      <c r="AN17" s="87"/>
      <c r="AO17" s="87"/>
      <c r="AP17" s="88" t="s">
        <v>101</v>
      </c>
      <c r="AQ17" s="88" t="s">
        <v>170</v>
      </c>
      <c r="AR17" s="88"/>
      <c r="AS17" s="161">
        <f t="shared" si="2"/>
        <v>0</v>
      </c>
      <c r="AT17" s="161">
        <f t="shared" si="3"/>
        <v>0</v>
      </c>
    </row>
    <row r="18" spans="1:46" ht="31.5">
      <c r="A18" s="861"/>
      <c r="B18" s="861"/>
      <c r="C18" s="861"/>
      <c r="D18" s="859"/>
      <c r="E18" s="85">
        <f>SUM(L18,M18,N18,R18,S18,T18,X18,Y18,Z18,AD18,AE18,AF18)</f>
        <v>1</v>
      </c>
      <c r="F18" s="47" t="s">
        <v>171</v>
      </c>
      <c r="G18" s="86" t="s">
        <v>192</v>
      </c>
      <c r="H18" s="86" t="s">
        <v>193</v>
      </c>
      <c r="I18" s="857"/>
      <c r="J18" s="853"/>
      <c r="K18" s="85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>
        <v>1</v>
      </c>
      <c r="AA18" s="87"/>
      <c r="AB18" s="87"/>
      <c r="AC18" s="87">
        <v>6060</v>
      </c>
      <c r="AD18" s="87"/>
      <c r="AE18" s="87"/>
      <c r="AF18" s="87"/>
      <c r="AG18" s="87"/>
      <c r="AH18" s="87"/>
      <c r="AI18" s="87"/>
      <c r="AJ18" s="87">
        <f>+O18+P18+Q18+U18+V18+W18+AA18+AB18+AC18+AG18+AH18+AI18</f>
        <v>6060</v>
      </c>
      <c r="AK18" s="87">
        <f>+AJ18</f>
        <v>6060</v>
      </c>
      <c r="AL18" s="87"/>
      <c r="AM18" s="87"/>
      <c r="AN18" s="87"/>
      <c r="AO18" s="87"/>
      <c r="AP18" s="88" t="s">
        <v>101</v>
      </c>
      <c r="AQ18" s="88" t="s">
        <v>170</v>
      </c>
      <c r="AR18" s="88"/>
      <c r="AS18" s="161">
        <f t="shared" si="2"/>
        <v>0</v>
      </c>
      <c r="AT18" s="161">
        <f t="shared" si="3"/>
        <v>0</v>
      </c>
    </row>
    <row r="19" spans="1:46" ht="31.5">
      <c r="A19" s="861"/>
      <c r="B19" s="861"/>
      <c r="C19" s="861"/>
      <c r="D19" s="859"/>
      <c r="E19" s="85">
        <f>SUM(L19,M19,N19,R19,S19,T19,X19,Y19,Z19,AD19,AE19,AF19)</f>
        <v>16</v>
      </c>
      <c r="F19" s="47" t="s">
        <v>131</v>
      </c>
      <c r="G19" s="858" t="s">
        <v>194</v>
      </c>
      <c r="H19" s="858" t="s">
        <v>195</v>
      </c>
      <c r="I19" s="857"/>
      <c r="J19" s="853"/>
      <c r="K19" s="857"/>
      <c r="L19" s="87"/>
      <c r="M19" s="87"/>
      <c r="N19" s="87"/>
      <c r="O19" s="87"/>
      <c r="P19" s="87"/>
      <c r="Q19" s="87"/>
      <c r="R19" s="87">
        <v>8</v>
      </c>
      <c r="S19" s="87"/>
      <c r="T19" s="87"/>
      <c r="U19" s="87">
        <v>1345</v>
      </c>
      <c r="V19" s="87"/>
      <c r="W19" s="87"/>
      <c r="X19" s="87"/>
      <c r="Y19" s="87"/>
      <c r="Z19" s="87">
        <v>8</v>
      </c>
      <c r="AA19" s="87"/>
      <c r="AB19" s="87"/>
      <c r="AC19" s="87">
        <v>1345</v>
      </c>
      <c r="AD19" s="87"/>
      <c r="AE19" s="87"/>
      <c r="AF19" s="87"/>
      <c r="AG19" s="87"/>
      <c r="AH19" s="87"/>
      <c r="AI19" s="87"/>
      <c r="AJ19" s="87">
        <f>+O19+P19+Q19+U19+V19+W19+AA19+AB19+AC19+AG19+AH19+AI19</f>
        <v>2690</v>
      </c>
      <c r="AK19" s="87">
        <f>+AJ19</f>
        <v>2690</v>
      </c>
      <c r="AL19" s="87"/>
      <c r="AM19" s="87"/>
      <c r="AN19" s="87"/>
      <c r="AO19" s="87"/>
      <c r="AP19" s="88" t="s">
        <v>101</v>
      </c>
      <c r="AQ19" s="88" t="s">
        <v>170</v>
      </c>
      <c r="AR19" s="88"/>
      <c r="AS19" s="161">
        <f t="shared" si="2"/>
        <v>0</v>
      </c>
      <c r="AT19" s="161">
        <f t="shared" si="3"/>
        <v>0</v>
      </c>
    </row>
    <row r="20" spans="1:46" ht="31.5">
      <c r="A20" s="861"/>
      <c r="B20" s="861"/>
      <c r="C20" s="861"/>
      <c r="D20" s="859"/>
      <c r="E20" s="85">
        <f>SUM(L20,M20,N20,R20,S20,T20,X20,Y20,Z20,AD20,AE20,AF20)</f>
        <v>18</v>
      </c>
      <c r="F20" s="47" t="s">
        <v>134</v>
      </c>
      <c r="G20" s="859"/>
      <c r="H20" s="859"/>
      <c r="I20" s="857"/>
      <c r="J20" s="853"/>
      <c r="K20" s="857"/>
      <c r="L20" s="87"/>
      <c r="M20" s="87"/>
      <c r="N20" s="87"/>
      <c r="O20" s="87"/>
      <c r="P20" s="87"/>
      <c r="Q20" s="87"/>
      <c r="R20" s="87">
        <v>9</v>
      </c>
      <c r="S20" s="87"/>
      <c r="T20" s="87"/>
      <c r="U20" s="87">
        <v>1515</v>
      </c>
      <c r="V20" s="87"/>
      <c r="W20" s="87"/>
      <c r="X20" s="87"/>
      <c r="Y20" s="87"/>
      <c r="Z20" s="87">
        <v>9</v>
      </c>
      <c r="AA20" s="87"/>
      <c r="AB20" s="87"/>
      <c r="AC20" s="87">
        <v>1515</v>
      </c>
      <c r="AD20" s="87"/>
      <c r="AE20" s="87"/>
      <c r="AF20" s="87"/>
      <c r="AG20" s="87"/>
      <c r="AH20" s="87"/>
      <c r="AI20" s="87"/>
      <c r="AJ20" s="87">
        <f>+O20+P20+Q20+U20+V20+W20+AA20+AB20+AC20+AG20+AH20+AI20</f>
        <v>3030</v>
      </c>
      <c r="AK20" s="87">
        <f>+AJ20</f>
        <v>3030</v>
      </c>
      <c r="AL20" s="87"/>
      <c r="AM20" s="87"/>
      <c r="AN20" s="87"/>
      <c r="AO20" s="87"/>
      <c r="AP20" s="88" t="s">
        <v>101</v>
      </c>
      <c r="AQ20" s="88" t="s">
        <v>170</v>
      </c>
      <c r="AR20" s="88"/>
      <c r="AS20" s="161">
        <f t="shared" si="2"/>
        <v>0</v>
      </c>
      <c r="AT20" s="161">
        <f t="shared" si="3"/>
        <v>0</v>
      </c>
    </row>
    <row r="21" spans="1:46" ht="31.5">
      <c r="A21" s="846"/>
      <c r="B21" s="846"/>
      <c r="C21" s="846"/>
      <c r="D21" s="836"/>
      <c r="E21" s="85">
        <f>SUM(L21,M21,N21,R21,S21,T21,X21,Y21,Z21,AD21,AE21,AF21)</f>
        <v>2</v>
      </c>
      <c r="F21" s="47" t="s">
        <v>196</v>
      </c>
      <c r="G21" s="836"/>
      <c r="H21" s="836"/>
      <c r="I21" s="829"/>
      <c r="J21" s="854"/>
      <c r="K21" s="829"/>
      <c r="L21" s="87"/>
      <c r="M21" s="87"/>
      <c r="N21" s="87"/>
      <c r="O21" s="87"/>
      <c r="P21" s="87"/>
      <c r="Q21" s="87"/>
      <c r="R21" s="87">
        <v>1</v>
      </c>
      <c r="S21" s="87"/>
      <c r="T21" s="87"/>
      <c r="U21" s="87">
        <v>170</v>
      </c>
      <c r="V21" s="87"/>
      <c r="W21" s="87"/>
      <c r="X21" s="87"/>
      <c r="Y21" s="87"/>
      <c r="Z21" s="87">
        <v>1</v>
      </c>
      <c r="AA21" s="87"/>
      <c r="AB21" s="87"/>
      <c r="AC21" s="87">
        <v>170</v>
      </c>
      <c r="AD21" s="87"/>
      <c r="AE21" s="87"/>
      <c r="AF21" s="87"/>
      <c r="AG21" s="87"/>
      <c r="AH21" s="87"/>
      <c r="AI21" s="87"/>
      <c r="AJ21" s="87">
        <f>+O21+P21+Q21+U21+V21+W21+AA21+AB21+AC21+AG21+AH21+AI21</f>
        <v>340</v>
      </c>
      <c r="AK21" s="87">
        <f>+AJ21</f>
        <v>340</v>
      </c>
      <c r="AL21" s="87"/>
      <c r="AM21" s="87"/>
      <c r="AN21" s="87"/>
      <c r="AO21" s="87"/>
      <c r="AP21" s="88" t="s">
        <v>101</v>
      </c>
      <c r="AQ21" s="88" t="s">
        <v>170</v>
      </c>
      <c r="AR21" s="88"/>
      <c r="AS21" s="161">
        <f t="shared" si="2"/>
        <v>0</v>
      </c>
      <c r="AT21" s="161">
        <f t="shared" si="3"/>
        <v>0</v>
      </c>
    </row>
    <row r="22" spans="1:46" ht="31.5">
      <c r="A22" s="77" t="s">
        <v>138</v>
      </c>
      <c r="B22" s="77" t="s">
        <v>197</v>
      </c>
      <c r="C22" s="77" t="s">
        <v>198</v>
      </c>
      <c r="D22" s="78" t="s">
        <v>199</v>
      </c>
      <c r="E22" s="79"/>
      <c r="F22" s="89"/>
      <c r="G22" s="89"/>
      <c r="H22" s="89"/>
      <c r="I22" s="81">
        <v>3</v>
      </c>
      <c r="J22" s="82">
        <v>3</v>
      </c>
      <c r="K22" s="81"/>
      <c r="L22" s="90"/>
      <c r="M22" s="90"/>
      <c r="N22" s="90"/>
      <c r="O22" s="84"/>
      <c r="P22" s="84"/>
      <c r="Q22" s="84">
        <f>SUM(Q23:Q27)</f>
        <v>605</v>
      </c>
      <c r="R22" s="91"/>
      <c r="S22" s="91"/>
      <c r="T22" s="91"/>
      <c r="U22" s="84">
        <f>SUM(U23:U27)</f>
        <v>3640</v>
      </c>
      <c r="V22" s="84">
        <f>SUM(V23:V27)</f>
        <v>1815</v>
      </c>
      <c r="W22" s="84">
        <f>SUM(W23:W27)</f>
        <v>3030</v>
      </c>
      <c r="X22" s="90"/>
      <c r="Y22" s="90"/>
      <c r="Z22" s="90"/>
      <c r="AA22" s="84"/>
      <c r="AB22" s="84">
        <f>SUM(AB23:AB27)</f>
        <v>3640</v>
      </c>
      <c r="AC22" s="84">
        <f>SUM(AC23:AC27)</f>
        <v>605</v>
      </c>
      <c r="AD22" s="90"/>
      <c r="AE22" s="90"/>
      <c r="AF22" s="90"/>
      <c r="AG22" s="84"/>
      <c r="AH22" s="84"/>
      <c r="AI22" s="84">
        <f>SUM(AI23:AI27)</f>
        <v>4845</v>
      </c>
      <c r="AJ22" s="84">
        <f>SUM(AJ23:AJ27)</f>
        <v>18180</v>
      </c>
      <c r="AK22" s="84">
        <f>SUM(AK23:AK27)</f>
        <v>18180</v>
      </c>
      <c r="AL22" s="90"/>
      <c r="AM22" s="90"/>
      <c r="AN22" s="90"/>
      <c r="AO22" s="90"/>
      <c r="AP22" s="89"/>
      <c r="AQ22" s="89"/>
      <c r="AR22" s="89"/>
      <c r="AS22" s="161">
        <f t="shared" si="2"/>
        <v>0</v>
      </c>
      <c r="AT22" s="161">
        <f t="shared" si="3"/>
        <v>0</v>
      </c>
    </row>
    <row r="23" spans="1:46" ht="63">
      <c r="A23" s="847" t="s">
        <v>138</v>
      </c>
      <c r="B23" s="847" t="s">
        <v>197</v>
      </c>
      <c r="C23" s="847" t="s">
        <v>200</v>
      </c>
      <c r="D23" s="850" t="s">
        <v>201</v>
      </c>
      <c r="E23" s="85">
        <f>SUM(L23,M23,N23,R23,S23,T23,X23,Y23,Z23,AD23,AE23,AF23)</f>
        <v>8</v>
      </c>
      <c r="F23" s="47" t="s">
        <v>202</v>
      </c>
      <c r="G23" s="86" t="s">
        <v>203</v>
      </c>
      <c r="H23" s="86" t="s">
        <v>204</v>
      </c>
      <c r="I23" s="843">
        <v>100</v>
      </c>
      <c r="J23" s="843"/>
      <c r="K23" s="843">
        <v>100</v>
      </c>
      <c r="L23" s="92"/>
      <c r="M23" s="92"/>
      <c r="N23" s="92"/>
      <c r="O23" s="92"/>
      <c r="P23" s="92"/>
      <c r="Q23" s="92"/>
      <c r="R23" s="92"/>
      <c r="S23" s="92">
        <v>4</v>
      </c>
      <c r="T23" s="92"/>
      <c r="U23" s="92"/>
      <c r="V23" s="87">
        <v>1815</v>
      </c>
      <c r="W23" s="92"/>
      <c r="X23" s="92"/>
      <c r="Y23" s="92"/>
      <c r="Z23" s="92"/>
      <c r="AA23" s="92"/>
      <c r="AB23" s="92"/>
      <c r="AC23" s="92"/>
      <c r="AD23" s="92"/>
      <c r="AE23" s="92"/>
      <c r="AF23" s="92">
        <v>4</v>
      </c>
      <c r="AG23" s="92"/>
      <c r="AH23" s="92"/>
      <c r="AI23" s="87">
        <v>1815</v>
      </c>
      <c r="AJ23" s="87">
        <f>+O23+P23+Q23+U23+V23+W23+AA23+AB23+AC23+AG23+AH23+AI23</f>
        <v>3630</v>
      </c>
      <c r="AK23" s="87">
        <f>+AJ23</f>
        <v>3630</v>
      </c>
      <c r="AL23" s="87"/>
      <c r="AM23" s="87"/>
      <c r="AN23" s="92"/>
      <c r="AO23" s="92"/>
      <c r="AP23" s="88" t="s">
        <v>101</v>
      </c>
      <c r="AQ23" s="88" t="s">
        <v>170</v>
      </c>
      <c r="AR23" s="93"/>
      <c r="AS23" s="161">
        <f t="shared" si="2"/>
        <v>0</v>
      </c>
      <c r="AT23" s="161">
        <f t="shared" si="3"/>
        <v>0</v>
      </c>
    </row>
    <row r="24" spans="1:46" ht="47.25">
      <c r="A24" s="849"/>
      <c r="B24" s="849"/>
      <c r="C24" s="849"/>
      <c r="D24" s="851"/>
      <c r="E24" s="85">
        <f>SUM(L24,M24,N24,R24,S24,T24,X24,Y24,Z24,AD24,AE24,AF24)</f>
        <v>6</v>
      </c>
      <c r="F24" s="47" t="s">
        <v>205</v>
      </c>
      <c r="G24" s="86" t="s">
        <v>206</v>
      </c>
      <c r="H24" s="86" t="s">
        <v>207</v>
      </c>
      <c r="I24" s="845"/>
      <c r="J24" s="845"/>
      <c r="K24" s="845"/>
      <c r="L24" s="92"/>
      <c r="M24" s="92"/>
      <c r="N24" s="92">
        <v>1</v>
      </c>
      <c r="O24" s="92"/>
      <c r="P24" s="92"/>
      <c r="Q24" s="92">
        <v>605</v>
      </c>
      <c r="R24" s="92"/>
      <c r="S24" s="92"/>
      <c r="T24" s="92">
        <v>2</v>
      </c>
      <c r="U24" s="92"/>
      <c r="V24" s="92"/>
      <c r="W24" s="92">
        <v>1210</v>
      </c>
      <c r="X24" s="92"/>
      <c r="Y24" s="92"/>
      <c r="Z24" s="92">
        <v>1</v>
      </c>
      <c r="AA24" s="92"/>
      <c r="AB24" s="92"/>
      <c r="AC24" s="92">
        <v>605</v>
      </c>
      <c r="AD24" s="92"/>
      <c r="AE24" s="92"/>
      <c r="AF24" s="92">
        <v>2</v>
      </c>
      <c r="AG24" s="92"/>
      <c r="AH24" s="92"/>
      <c r="AI24" s="92">
        <v>1210</v>
      </c>
      <c r="AJ24" s="87">
        <f>+O24+P24+Q24+U24+V24+W24+AA24+AB24+AC24+AG24+AH24+AI24</f>
        <v>3630</v>
      </c>
      <c r="AK24" s="87">
        <f>+AJ24</f>
        <v>3630</v>
      </c>
      <c r="AL24" s="87"/>
      <c r="AM24" s="87"/>
      <c r="AN24" s="92"/>
      <c r="AO24" s="92"/>
      <c r="AP24" s="88" t="s">
        <v>101</v>
      </c>
      <c r="AQ24" s="88" t="s">
        <v>170</v>
      </c>
      <c r="AR24" s="93"/>
      <c r="AS24" s="161">
        <f t="shared" si="2"/>
        <v>0</v>
      </c>
      <c r="AT24" s="161">
        <f t="shared" si="3"/>
        <v>0</v>
      </c>
    </row>
    <row r="25" spans="1:46" ht="110.25">
      <c r="A25" s="849"/>
      <c r="B25" s="849"/>
      <c r="C25" s="849"/>
      <c r="D25" s="851"/>
      <c r="E25" s="85">
        <f>SUM(L25,M25,N25,R25,S25,T25,X25,Y25,Z25,AD25,AE25,AF25)</f>
        <v>2</v>
      </c>
      <c r="F25" s="47" t="s">
        <v>168</v>
      </c>
      <c r="G25" s="86" t="s">
        <v>208</v>
      </c>
      <c r="H25" s="86" t="s">
        <v>209</v>
      </c>
      <c r="I25" s="845"/>
      <c r="J25" s="845"/>
      <c r="K25" s="845"/>
      <c r="L25" s="92"/>
      <c r="M25" s="92"/>
      <c r="N25" s="92"/>
      <c r="O25" s="92"/>
      <c r="P25" s="92"/>
      <c r="Q25" s="92"/>
      <c r="R25" s="92"/>
      <c r="S25" s="92"/>
      <c r="T25" s="92">
        <v>1</v>
      </c>
      <c r="U25" s="92"/>
      <c r="V25" s="92"/>
      <c r="W25" s="87">
        <v>1820</v>
      </c>
      <c r="X25" s="92"/>
      <c r="Y25" s="92"/>
      <c r="Z25" s="92"/>
      <c r="AA25" s="92"/>
      <c r="AB25" s="92"/>
      <c r="AC25" s="92"/>
      <c r="AD25" s="92"/>
      <c r="AE25" s="92"/>
      <c r="AF25" s="92">
        <v>1</v>
      </c>
      <c r="AG25" s="92"/>
      <c r="AH25" s="92"/>
      <c r="AI25" s="87">
        <v>1820</v>
      </c>
      <c r="AJ25" s="87">
        <f>+O25+P25+Q25+U25+V25+W25+AA25+AB25+AC25+AG25+AH25+AI25</f>
        <v>3640</v>
      </c>
      <c r="AK25" s="87">
        <f>+AJ25</f>
        <v>3640</v>
      </c>
      <c r="AL25" s="87"/>
      <c r="AM25" s="87"/>
      <c r="AN25" s="92"/>
      <c r="AO25" s="92"/>
      <c r="AP25" s="88" t="s">
        <v>101</v>
      </c>
      <c r="AQ25" s="88" t="s">
        <v>170</v>
      </c>
      <c r="AR25" s="93"/>
      <c r="AS25" s="161">
        <f t="shared" si="2"/>
        <v>0</v>
      </c>
      <c r="AT25" s="161">
        <f t="shared" si="3"/>
        <v>0</v>
      </c>
    </row>
    <row r="26" spans="1:46" ht="47.25">
      <c r="A26" s="849"/>
      <c r="B26" s="849"/>
      <c r="C26" s="849"/>
      <c r="D26" s="851"/>
      <c r="E26" s="85">
        <f>SUM(L26,M26,N26,R26,S26,T26,X26,Y26,Z26,AD26,AE26,AF26)</f>
        <v>1</v>
      </c>
      <c r="F26" s="47" t="s">
        <v>210</v>
      </c>
      <c r="G26" s="86" t="s">
        <v>211</v>
      </c>
      <c r="H26" s="86" t="s">
        <v>212</v>
      </c>
      <c r="I26" s="845"/>
      <c r="J26" s="845"/>
      <c r="K26" s="845"/>
      <c r="L26" s="92"/>
      <c r="M26" s="92"/>
      <c r="N26" s="92"/>
      <c r="O26" s="92"/>
      <c r="P26" s="92"/>
      <c r="Q26" s="92"/>
      <c r="R26" s="92">
        <v>1</v>
      </c>
      <c r="S26" s="92"/>
      <c r="T26" s="92"/>
      <c r="U26" s="87">
        <v>3640</v>
      </c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87">
        <f>+O26+P26+Q26+U26+V26+W26+AA26+AB26+AC26+AG26+AH26+AI26</f>
        <v>3640</v>
      </c>
      <c r="AK26" s="87">
        <f>+AJ26</f>
        <v>3640</v>
      </c>
      <c r="AL26" s="87"/>
      <c r="AM26" s="87"/>
      <c r="AN26" s="92"/>
      <c r="AO26" s="92"/>
      <c r="AP26" s="88" t="s">
        <v>101</v>
      </c>
      <c r="AQ26" s="88" t="s">
        <v>170</v>
      </c>
      <c r="AR26" s="93"/>
      <c r="AS26" s="161">
        <f t="shared" si="2"/>
        <v>0</v>
      </c>
      <c r="AT26" s="161">
        <f t="shared" si="3"/>
        <v>0</v>
      </c>
    </row>
    <row r="27" spans="1:46" ht="63">
      <c r="A27" s="848"/>
      <c r="B27" s="848"/>
      <c r="C27" s="848"/>
      <c r="D27" s="860"/>
      <c r="E27" s="85">
        <f>SUM(L27,M27,N27,R27,S27,T27,X27,Y27,Z27,AD27,AE27,AF27)</f>
        <v>1</v>
      </c>
      <c r="F27" s="47" t="s">
        <v>213</v>
      </c>
      <c r="G27" s="86" t="s">
        <v>214</v>
      </c>
      <c r="H27" s="86" t="s">
        <v>215</v>
      </c>
      <c r="I27" s="844"/>
      <c r="J27" s="844"/>
      <c r="K27" s="844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>
        <v>1</v>
      </c>
      <c r="Z27" s="92"/>
      <c r="AA27" s="92"/>
      <c r="AB27" s="87">
        <v>3640</v>
      </c>
      <c r="AC27" s="92"/>
      <c r="AD27" s="92"/>
      <c r="AE27" s="92"/>
      <c r="AF27" s="92"/>
      <c r="AG27" s="92"/>
      <c r="AH27" s="92"/>
      <c r="AI27" s="92"/>
      <c r="AJ27" s="87">
        <f>+O27+P27+Q27+U27+V27+W27+AA27+AB27+AC27+AG27+AH27+AI27</f>
        <v>3640</v>
      </c>
      <c r="AK27" s="87">
        <f>+AJ27</f>
        <v>3640</v>
      </c>
      <c r="AL27" s="87"/>
      <c r="AM27" s="87"/>
      <c r="AN27" s="92"/>
      <c r="AO27" s="92"/>
      <c r="AP27" s="88" t="s">
        <v>101</v>
      </c>
      <c r="AQ27" s="88" t="s">
        <v>170</v>
      </c>
      <c r="AR27" s="93"/>
      <c r="AS27" s="161">
        <f t="shared" si="2"/>
        <v>0</v>
      </c>
      <c r="AT27" s="161">
        <f t="shared" si="3"/>
        <v>0</v>
      </c>
    </row>
    <row r="28" spans="1:46" ht="47.25">
      <c r="A28" s="77" t="s">
        <v>147</v>
      </c>
      <c r="B28" s="77" t="s">
        <v>216</v>
      </c>
      <c r="C28" s="77" t="s">
        <v>217</v>
      </c>
      <c r="D28" s="78" t="s">
        <v>218</v>
      </c>
      <c r="E28" s="79"/>
      <c r="F28" s="89"/>
      <c r="G28" s="89"/>
      <c r="H28" s="89"/>
      <c r="I28" s="81">
        <v>29</v>
      </c>
      <c r="J28" s="82">
        <v>29</v>
      </c>
      <c r="K28" s="81"/>
      <c r="L28" s="90"/>
      <c r="M28" s="90"/>
      <c r="N28" s="90"/>
      <c r="O28" s="84">
        <f>SUM(O29:O43)</f>
        <v>4005</v>
      </c>
      <c r="P28" s="84">
        <f>SUM(P29:P43)</f>
        <v>7755</v>
      </c>
      <c r="Q28" s="84">
        <f>SUM(Q29:Q43)</f>
        <v>8830</v>
      </c>
      <c r="R28" s="91"/>
      <c r="S28" s="91"/>
      <c r="T28" s="91"/>
      <c r="U28" s="84">
        <f>SUM(U29:U43)</f>
        <v>5880</v>
      </c>
      <c r="V28" s="84">
        <f>SUM(V29:V43)</f>
        <v>3355</v>
      </c>
      <c r="W28" s="84">
        <f>SUM(W29:W43)</f>
        <v>46665</v>
      </c>
      <c r="X28" s="90"/>
      <c r="Y28" s="90"/>
      <c r="Z28" s="90"/>
      <c r="AA28" s="84">
        <f>SUM(AA29:AA43)</f>
        <v>11210</v>
      </c>
      <c r="AB28" s="84">
        <f>SUM(AB29:AB43)</f>
        <v>3355</v>
      </c>
      <c r="AC28" s="84">
        <f>SUM(AC29:AC43)</f>
        <v>19485</v>
      </c>
      <c r="AD28" s="90"/>
      <c r="AE28" s="90"/>
      <c r="AF28" s="90"/>
      <c r="AG28" s="84">
        <f>SUM(AG29:AG43)</f>
        <v>5880</v>
      </c>
      <c r="AH28" s="84">
        <f>SUM(AH29:AH43)</f>
        <v>3350</v>
      </c>
      <c r="AI28" s="84">
        <f>SUM(AI29:AI43)</f>
        <v>36005</v>
      </c>
      <c r="AJ28" s="84">
        <f>SUM(AJ29:AJ43)</f>
        <v>155775</v>
      </c>
      <c r="AK28" s="84">
        <f>SUM(AK29:AK43)</f>
        <v>155775</v>
      </c>
      <c r="AL28" s="90"/>
      <c r="AM28" s="90"/>
      <c r="AN28" s="90"/>
      <c r="AO28" s="90"/>
      <c r="AP28" s="89"/>
      <c r="AQ28" s="89"/>
      <c r="AR28" s="89"/>
      <c r="AS28" s="161">
        <f t="shared" si="2"/>
        <v>0</v>
      </c>
      <c r="AT28" s="161">
        <f t="shared" si="3"/>
        <v>0</v>
      </c>
    </row>
    <row r="29" spans="1:46" ht="31.5">
      <c r="A29" s="847" t="s">
        <v>147</v>
      </c>
      <c r="B29" s="847" t="s">
        <v>216</v>
      </c>
      <c r="C29" s="847" t="s">
        <v>219</v>
      </c>
      <c r="D29" s="850" t="s">
        <v>220</v>
      </c>
      <c r="E29" s="85">
        <f>SUM(L29,M29,N29,R29,S29,T29,X29,Y29,Z29,AD29,AE29,AF29)</f>
        <v>17</v>
      </c>
      <c r="F29" s="47" t="s">
        <v>213</v>
      </c>
      <c r="G29" s="94" t="s">
        <v>221</v>
      </c>
      <c r="H29" s="86" t="s">
        <v>222</v>
      </c>
      <c r="I29" s="843">
        <v>23</v>
      </c>
      <c r="J29" s="852"/>
      <c r="K29" s="843">
        <v>23</v>
      </c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>
        <v>17</v>
      </c>
      <c r="AG29" s="87"/>
      <c r="AH29" s="87"/>
      <c r="AI29" s="87">
        <v>18120</v>
      </c>
      <c r="AJ29" s="87">
        <f>+O29+P29+Q29+U29+V29+W29+AA29+AB29+AC29+AG29+AH29+AI29</f>
        <v>18120</v>
      </c>
      <c r="AK29" s="87">
        <f t="shared" ref="AK29:AK43" si="4">+AJ29</f>
        <v>18120</v>
      </c>
      <c r="AL29" s="87"/>
      <c r="AM29" s="87"/>
      <c r="AN29" s="87"/>
      <c r="AO29" s="87"/>
      <c r="AP29" s="88" t="s">
        <v>223</v>
      </c>
      <c r="AQ29" s="88" t="s">
        <v>224</v>
      </c>
      <c r="AR29" s="88"/>
      <c r="AS29" s="161">
        <f t="shared" si="2"/>
        <v>0</v>
      </c>
      <c r="AT29" s="161">
        <f t="shared" si="3"/>
        <v>0</v>
      </c>
    </row>
    <row r="30" spans="1:46" ht="42" customHeight="1">
      <c r="A30" s="849"/>
      <c r="B30" s="849"/>
      <c r="C30" s="849"/>
      <c r="D30" s="851"/>
      <c r="E30" s="85">
        <f t="shared" ref="E30:E43" si="5">SUM(L30,M30,N30,R30,S30,T30,X30,Y30,Z30,AD30,AE30,AF30)</f>
        <v>1</v>
      </c>
      <c r="F30" s="47" t="s">
        <v>213</v>
      </c>
      <c r="G30" s="94" t="s">
        <v>225</v>
      </c>
      <c r="H30" s="86" t="s">
        <v>226</v>
      </c>
      <c r="I30" s="845"/>
      <c r="J30" s="853"/>
      <c r="K30" s="845"/>
      <c r="L30" s="95"/>
      <c r="M30" s="95"/>
      <c r="N30" s="95"/>
      <c r="O30" s="96"/>
      <c r="P30" s="96"/>
      <c r="Q30" s="96"/>
      <c r="R30" s="97"/>
      <c r="S30" s="97"/>
      <c r="T30" s="97"/>
      <c r="U30" s="96"/>
      <c r="V30" s="96"/>
      <c r="W30" s="96"/>
      <c r="X30" s="95"/>
      <c r="Y30" s="95"/>
      <c r="Z30" s="95"/>
      <c r="AA30" s="96"/>
      <c r="AB30" s="96"/>
      <c r="AC30" s="96"/>
      <c r="AD30" s="95"/>
      <c r="AE30" s="95"/>
      <c r="AF30" s="95">
        <v>1</v>
      </c>
      <c r="AG30" s="96"/>
      <c r="AH30" s="96"/>
      <c r="AI30" s="87">
        <v>9060</v>
      </c>
      <c r="AJ30" s="87">
        <f>+O30+P30+Q30+U30+V30+W30+AA30+AB30+AC30+AG30+AH30+AI30</f>
        <v>9060</v>
      </c>
      <c r="AK30" s="87">
        <f t="shared" si="4"/>
        <v>9060</v>
      </c>
      <c r="AL30" s="87"/>
      <c r="AM30" s="95"/>
      <c r="AN30" s="95"/>
      <c r="AO30" s="95"/>
      <c r="AP30" s="88" t="s">
        <v>223</v>
      </c>
      <c r="AQ30" s="88" t="s">
        <v>224</v>
      </c>
      <c r="AR30" s="98"/>
      <c r="AS30" s="161">
        <f t="shared" si="2"/>
        <v>0</v>
      </c>
      <c r="AT30" s="161">
        <f t="shared" si="3"/>
        <v>0</v>
      </c>
    </row>
    <row r="31" spans="1:46" ht="47.25">
      <c r="A31" s="846"/>
      <c r="B31" s="846"/>
      <c r="C31" s="846"/>
      <c r="D31" s="836"/>
      <c r="E31" s="85">
        <f t="shared" si="5"/>
        <v>10</v>
      </c>
      <c r="F31" s="47" t="s">
        <v>213</v>
      </c>
      <c r="G31" s="94" t="s">
        <v>227</v>
      </c>
      <c r="H31" s="86" t="s">
        <v>228</v>
      </c>
      <c r="I31" s="846"/>
      <c r="J31" s="853"/>
      <c r="K31" s="846"/>
      <c r="L31" s="95"/>
      <c r="M31" s="95"/>
      <c r="N31" s="95"/>
      <c r="O31" s="96"/>
      <c r="P31" s="96"/>
      <c r="Q31" s="96"/>
      <c r="R31" s="97"/>
      <c r="S31" s="97"/>
      <c r="T31" s="97">
        <v>10</v>
      </c>
      <c r="U31" s="96"/>
      <c r="V31" s="96"/>
      <c r="W31" s="96">
        <v>9060</v>
      </c>
      <c r="X31" s="95"/>
      <c r="Y31" s="95"/>
      <c r="Z31" s="95"/>
      <c r="AA31" s="96"/>
      <c r="AB31" s="96"/>
      <c r="AC31" s="96"/>
      <c r="AD31" s="95"/>
      <c r="AE31" s="95"/>
      <c r="AF31" s="95"/>
      <c r="AG31" s="96"/>
      <c r="AH31" s="96"/>
      <c r="AI31" s="87"/>
      <c r="AJ31" s="87">
        <f>+O31+P31+Q31+U31+V31+W31+AA31+AB31+AC31+AG31+AH31+AI31</f>
        <v>9060</v>
      </c>
      <c r="AK31" s="87">
        <f t="shared" si="4"/>
        <v>9060</v>
      </c>
      <c r="AL31" s="87"/>
      <c r="AM31" s="95"/>
      <c r="AN31" s="95"/>
      <c r="AO31" s="95"/>
      <c r="AP31" s="88" t="s">
        <v>223</v>
      </c>
      <c r="AQ31" s="88" t="s">
        <v>224</v>
      </c>
      <c r="AR31" s="98"/>
      <c r="AS31" s="161">
        <f t="shared" si="2"/>
        <v>0</v>
      </c>
      <c r="AT31" s="161">
        <f t="shared" si="3"/>
        <v>0</v>
      </c>
    </row>
    <row r="32" spans="1:46" ht="31.5">
      <c r="A32" s="847" t="s">
        <v>147</v>
      </c>
      <c r="B32" s="847" t="s">
        <v>216</v>
      </c>
      <c r="C32" s="839" t="s">
        <v>229</v>
      </c>
      <c r="D32" s="841" t="s">
        <v>230</v>
      </c>
      <c r="E32" s="85">
        <f t="shared" si="5"/>
        <v>8</v>
      </c>
      <c r="F32" s="99" t="s">
        <v>231</v>
      </c>
      <c r="G32" s="100" t="s">
        <v>232</v>
      </c>
      <c r="H32" s="100" t="s">
        <v>233</v>
      </c>
      <c r="I32" s="843">
        <v>23</v>
      </c>
      <c r="J32" s="853"/>
      <c r="K32" s="843">
        <v>23</v>
      </c>
      <c r="L32" s="87"/>
      <c r="M32" s="87"/>
      <c r="N32" s="87">
        <v>2</v>
      </c>
      <c r="O32" s="87"/>
      <c r="P32" s="87"/>
      <c r="Q32" s="87">
        <v>4530</v>
      </c>
      <c r="R32" s="87"/>
      <c r="S32" s="87"/>
      <c r="T32" s="87">
        <v>2</v>
      </c>
      <c r="U32" s="87"/>
      <c r="V32" s="87"/>
      <c r="W32" s="87">
        <v>4530</v>
      </c>
      <c r="X32" s="87"/>
      <c r="Y32" s="87"/>
      <c r="Z32" s="87">
        <v>2</v>
      </c>
      <c r="AA32" s="87"/>
      <c r="AB32" s="87"/>
      <c r="AC32" s="87">
        <v>4530</v>
      </c>
      <c r="AD32" s="87"/>
      <c r="AE32" s="87"/>
      <c r="AF32" s="87">
        <v>2</v>
      </c>
      <c r="AG32" s="87"/>
      <c r="AH32" s="87"/>
      <c r="AI32" s="87">
        <v>4530</v>
      </c>
      <c r="AJ32" s="87">
        <f t="shared" ref="AJ32:AJ33" si="6">+O32+P32+Q32+U32+V32+W32+AA32+AB32+AC32+AG32+AH32+AI32</f>
        <v>18120</v>
      </c>
      <c r="AK32" s="87">
        <f t="shared" si="4"/>
        <v>18120</v>
      </c>
      <c r="AL32" s="87"/>
      <c r="AM32" s="87"/>
      <c r="AN32" s="87"/>
      <c r="AO32" s="87"/>
      <c r="AP32" s="88" t="s">
        <v>223</v>
      </c>
      <c r="AQ32" s="88" t="s">
        <v>224</v>
      </c>
      <c r="AR32" s="88"/>
      <c r="AS32" s="161">
        <f t="shared" si="2"/>
        <v>0</v>
      </c>
      <c r="AT32" s="161">
        <f t="shared" si="3"/>
        <v>0</v>
      </c>
    </row>
    <row r="33" spans="1:46" ht="47.25">
      <c r="A33" s="848"/>
      <c r="B33" s="848"/>
      <c r="C33" s="840"/>
      <c r="D33" s="842"/>
      <c r="E33" s="85">
        <f t="shared" si="5"/>
        <v>100</v>
      </c>
      <c r="F33" s="99" t="s">
        <v>234</v>
      </c>
      <c r="G33" s="100" t="s">
        <v>235</v>
      </c>
      <c r="H33" s="100" t="s">
        <v>236</v>
      </c>
      <c r="I33" s="844"/>
      <c r="J33" s="853"/>
      <c r="K33" s="844"/>
      <c r="L33" s="87"/>
      <c r="M33" s="87"/>
      <c r="N33" s="87">
        <v>10</v>
      </c>
      <c r="O33" s="87"/>
      <c r="P33" s="87"/>
      <c r="Q33" s="87">
        <v>1875</v>
      </c>
      <c r="R33" s="87">
        <v>10</v>
      </c>
      <c r="S33" s="87">
        <v>10</v>
      </c>
      <c r="T33" s="87">
        <v>10</v>
      </c>
      <c r="U33" s="87">
        <v>1875</v>
      </c>
      <c r="V33" s="87">
        <v>1875</v>
      </c>
      <c r="W33" s="87">
        <v>1875</v>
      </c>
      <c r="X33" s="87">
        <v>10</v>
      </c>
      <c r="Y33" s="87">
        <v>10</v>
      </c>
      <c r="Z33" s="87">
        <v>10</v>
      </c>
      <c r="AA33" s="87">
        <v>1875</v>
      </c>
      <c r="AB33" s="87">
        <v>1875</v>
      </c>
      <c r="AC33" s="87">
        <v>1875</v>
      </c>
      <c r="AD33" s="87">
        <v>10</v>
      </c>
      <c r="AE33" s="87">
        <v>10</v>
      </c>
      <c r="AF33" s="87">
        <v>10</v>
      </c>
      <c r="AG33" s="87">
        <v>1870</v>
      </c>
      <c r="AH33" s="87">
        <v>1870</v>
      </c>
      <c r="AI33" s="87">
        <v>1870</v>
      </c>
      <c r="AJ33" s="87">
        <f t="shared" si="6"/>
        <v>18735</v>
      </c>
      <c r="AK33" s="87">
        <f t="shared" si="4"/>
        <v>18735</v>
      </c>
      <c r="AL33" s="87"/>
      <c r="AM33" s="87"/>
      <c r="AN33" s="87"/>
      <c r="AO33" s="87"/>
      <c r="AP33" s="88" t="s">
        <v>223</v>
      </c>
      <c r="AQ33" s="88" t="s">
        <v>224</v>
      </c>
      <c r="AR33" s="88"/>
      <c r="AS33" s="161">
        <f t="shared" si="2"/>
        <v>0</v>
      </c>
      <c r="AT33" s="161">
        <f t="shared" si="3"/>
        <v>0</v>
      </c>
    </row>
    <row r="34" spans="1:46" s="104" customFormat="1" ht="78.75">
      <c r="A34" s="101" t="s">
        <v>147</v>
      </c>
      <c r="B34" s="101" t="s">
        <v>216</v>
      </c>
      <c r="C34" s="102" t="s">
        <v>237</v>
      </c>
      <c r="D34" s="103" t="s">
        <v>238</v>
      </c>
      <c r="E34" s="85">
        <f t="shared" si="5"/>
        <v>17</v>
      </c>
      <c r="F34" s="99" t="s">
        <v>239</v>
      </c>
      <c r="G34" s="100" t="s">
        <v>240</v>
      </c>
      <c r="H34" s="100" t="s">
        <v>241</v>
      </c>
      <c r="I34" s="85">
        <v>12</v>
      </c>
      <c r="J34" s="853"/>
      <c r="K34" s="85">
        <v>12</v>
      </c>
      <c r="L34" s="87"/>
      <c r="M34" s="87"/>
      <c r="N34" s="87"/>
      <c r="O34" s="87"/>
      <c r="P34" s="87"/>
      <c r="Q34" s="87"/>
      <c r="R34" s="87"/>
      <c r="S34" s="87"/>
      <c r="T34" s="87">
        <v>17</v>
      </c>
      <c r="U34" s="87"/>
      <c r="V34" s="87"/>
      <c r="W34" s="87">
        <f>18120</f>
        <v>18120</v>
      </c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>
        <f>+O34+P34+Q34+U34+V34+W34+AA34+AB34+AC34+AG34+AH34+AI34</f>
        <v>18120</v>
      </c>
      <c r="AK34" s="87">
        <f t="shared" si="4"/>
        <v>18120</v>
      </c>
      <c r="AL34" s="87"/>
      <c r="AM34" s="87"/>
      <c r="AN34" s="87"/>
      <c r="AO34" s="87"/>
      <c r="AP34" s="88" t="s">
        <v>223</v>
      </c>
      <c r="AQ34" s="88" t="s">
        <v>224</v>
      </c>
      <c r="AR34" s="88"/>
      <c r="AS34" s="161">
        <f t="shared" si="2"/>
        <v>0</v>
      </c>
      <c r="AT34" s="161">
        <f t="shared" si="3"/>
        <v>0</v>
      </c>
    </row>
    <row r="35" spans="1:46" s="104" customFormat="1" ht="78.75">
      <c r="A35" s="101" t="s">
        <v>147</v>
      </c>
      <c r="B35" s="101" t="s">
        <v>216</v>
      </c>
      <c r="C35" s="102" t="s">
        <v>242</v>
      </c>
      <c r="D35" s="103" t="s">
        <v>243</v>
      </c>
      <c r="E35" s="85">
        <f t="shared" si="5"/>
        <v>17</v>
      </c>
      <c r="F35" s="99" t="s">
        <v>239</v>
      </c>
      <c r="G35" s="100" t="s">
        <v>244</v>
      </c>
      <c r="H35" s="100" t="s">
        <v>245</v>
      </c>
      <c r="I35" s="85">
        <v>7</v>
      </c>
      <c r="J35" s="853"/>
      <c r="K35" s="85">
        <v>7</v>
      </c>
      <c r="L35" s="87"/>
      <c r="M35" s="87"/>
      <c r="N35" s="87"/>
      <c r="O35" s="87"/>
      <c r="P35" s="87"/>
      <c r="Q35" s="87"/>
      <c r="R35" s="87"/>
      <c r="S35" s="87"/>
      <c r="T35" s="87">
        <v>17</v>
      </c>
      <c r="U35" s="87"/>
      <c r="V35" s="87"/>
      <c r="W35" s="87">
        <v>10655</v>
      </c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>
        <f>+O35+P35+Q35+U35+V35+W35+AA35+AB35+AC35+AG35+AH35+AI35</f>
        <v>10655</v>
      </c>
      <c r="AK35" s="87">
        <f t="shared" si="4"/>
        <v>10655</v>
      </c>
      <c r="AL35" s="87"/>
      <c r="AM35" s="87"/>
      <c r="AN35" s="87"/>
      <c r="AO35" s="87"/>
      <c r="AP35" s="105" t="s">
        <v>223</v>
      </c>
      <c r="AQ35" s="105" t="s">
        <v>246</v>
      </c>
      <c r="AR35" s="88"/>
      <c r="AS35" s="161">
        <f t="shared" si="2"/>
        <v>0</v>
      </c>
      <c r="AT35" s="161">
        <f t="shared" si="3"/>
        <v>0</v>
      </c>
    </row>
    <row r="36" spans="1:46" ht="63">
      <c r="A36" s="847" t="s">
        <v>147</v>
      </c>
      <c r="B36" s="847" t="s">
        <v>216</v>
      </c>
      <c r="C36" s="839" t="s">
        <v>247</v>
      </c>
      <c r="D36" s="841" t="s">
        <v>248</v>
      </c>
      <c r="E36" s="85">
        <f t="shared" si="5"/>
        <v>68</v>
      </c>
      <c r="F36" s="47" t="s">
        <v>249</v>
      </c>
      <c r="G36" s="105" t="s">
        <v>250</v>
      </c>
      <c r="H36" s="105" t="s">
        <v>251</v>
      </c>
      <c r="I36" s="837">
        <v>7</v>
      </c>
      <c r="J36" s="853"/>
      <c r="K36" s="837">
        <v>7</v>
      </c>
      <c r="L36" s="87">
        <v>17</v>
      </c>
      <c r="M36" s="87"/>
      <c r="N36" s="87"/>
      <c r="O36" s="87">
        <v>890</v>
      </c>
      <c r="P36" s="87"/>
      <c r="Q36" s="87"/>
      <c r="R36" s="87">
        <v>17</v>
      </c>
      <c r="S36" s="87"/>
      <c r="T36" s="87"/>
      <c r="U36" s="87">
        <v>890</v>
      </c>
      <c r="V36" s="87"/>
      <c r="W36" s="87"/>
      <c r="X36" s="87">
        <v>17</v>
      </c>
      <c r="Y36" s="87"/>
      <c r="Z36" s="87"/>
      <c r="AA36" s="87">
        <v>890</v>
      </c>
      <c r="AB36" s="87"/>
      <c r="AC36" s="87"/>
      <c r="AD36" s="87">
        <v>17</v>
      </c>
      <c r="AE36" s="87"/>
      <c r="AF36" s="87"/>
      <c r="AG36" s="87">
        <v>890</v>
      </c>
      <c r="AH36" s="87"/>
      <c r="AI36" s="87"/>
      <c r="AJ36" s="87">
        <f>+O36+P36+Q36+U36+V36+W36+AA36+AB36+AC36+AG36+AH36+AI36</f>
        <v>3560</v>
      </c>
      <c r="AK36" s="87">
        <f t="shared" si="4"/>
        <v>3560</v>
      </c>
      <c r="AL36" s="87"/>
      <c r="AM36" s="87"/>
      <c r="AN36" s="87"/>
      <c r="AO36" s="87"/>
      <c r="AP36" s="105" t="s">
        <v>223</v>
      </c>
      <c r="AQ36" s="105" t="s">
        <v>246</v>
      </c>
      <c r="AR36" s="88"/>
      <c r="AS36" s="161">
        <f t="shared" si="2"/>
        <v>0</v>
      </c>
      <c r="AT36" s="161">
        <f t="shared" si="3"/>
        <v>0</v>
      </c>
    </row>
    <row r="37" spans="1:46" ht="31.5">
      <c r="A37" s="849"/>
      <c r="B37" s="849"/>
      <c r="C37" s="855"/>
      <c r="D37" s="856"/>
      <c r="E37" s="85">
        <f t="shared" si="5"/>
        <v>3</v>
      </c>
      <c r="F37" s="47" t="s">
        <v>168</v>
      </c>
      <c r="G37" s="105" t="s">
        <v>252</v>
      </c>
      <c r="H37" s="105" t="s">
        <v>253</v>
      </c>
      <c r="I37" s="838"/>
      <c r="J37" s="853"/>
      <c r="K37" s="838"/>
      <c r="L37" s="87"/>
      <c r="M37" s="87"/>
      <c r="N37" s="87"/>
      <c r="O37" s="87"/>
      <c r="P37" s="87"/>
      <c r="Q37" s="87"/>
      <c r="R37" s="87"/>
      <c r="S37" s="87">
        <v>1</v>
      </c>
      <c r="T37" s="87"/>
      <c r="U37" s="87"/>
      <c r="V37" s="87">
        <v>1185</v>
      </c>
      <c r="W37" s="87"/>
      <c r="X37" s="87"/>
      <c r="Y37" s="87">
        <v>1</v>
      </c>
      <c r="Z37" s="87"/>
      <c r="AA37" s="87"/>
      <c r="AB37" s="87">
        <v>1185</v>
      </c>
      <c r="AC37" s="87"/>
      <c r="AD37" s="87"/>
      <c r="AE37" s="87">
        <v>1</v>
      </c>
      <c r="AF37" s="87"/>
      <c r="AG37" s="87"/>
      <c r="AH37" s="87">
        <v>1185</v>
      </c>
      <c r="AI37" s="87"/>
      <c r="AJ37" s="87">
        <f t="shared" ref="AJ37:AJ39" si="7">+O37+P37+Q37+U37+V37+W37+AA37+AB37+AC37+AG37+AH37+AI37</f>
        <v>3555</v>
      </c>
      <c r="AK37" s="87">
        <f t="shared" si="4"/>
        <v>3555</v>
      </c>
      <c r="AL37" s="87"/>
      <c r="AM37" s="87"/>
      <c r="AN37" s="87"/>
      <c r="AO37" s="87"/>
      <c r="AP37" s="88" t="s">
        <v>101</v>
      </c>
      <c r="AQ37" s="105" t="s">
        <v>246</v>
      </c>
      <c r="AR37" s="88"/>
      <c r="AS37" s="161">
        <f t="shared" si="2"/>
        <v>0</v>
      </c>
      <c r="AT37" s="161">
        <f t="shared" si="3"/>
        <v>0</v>
      </c>
    </row>
    <row r="38" spans="1:46" ht="47.25">
      <c r="A38" s="848"/>
      <c r="B38" s="848"/>
      <c r="C38" s="840"/>
      <c r="D38" s="836"/>
      <c r="E38" s="85">
        <f t="shared" si="5"/>
        <v>12</v>
      </c>
      <c r="F38" s="47" t="s">
        <v>168</v>
      </c>
      <c r="G38" s="105" t="s">
        <v>254</v>
      </c>
      <c r="H38" s="105" t="s">
        <v>255</v>
      </c>
      <c r="I38" s="829"/>
      <c r="J38" s="853"/>
      <c r="K38" s="829"/>
      <c r="L38" s="106">
        <v>1</v>
      </c>
      <c r="M38" s="106">
        <v>1</v>
      </c>
      <c r="N38" s="106">
        <v>1</v>
      </c>
      <c r="O38" s="106">
        <v>295</v>
      </c>
      <c r="P38" s="106">
        <v>295</v>
      </c>
      <c r="Q38" s="106">
        <v>295</v>
      </c>
      <c r="R38" s="106">
        <v>1</v>
      </c>
      <c r="S38" s="106">
        <v>1</v>
      </c>
      <c r="T38" s="106">
        <v>1</v>
      </c>
      <c r="U38" s="106">
        <v>295</v>
      </c>
      <c r="V38" s="106">
        <v>295</v>
      </c>
      <c r="W38" s="106">
        <v>295</v>
      </c>
      <c r="X38" s="106">
        <v>1</v>
      </c>
      <c r="Y38" s="106">
        <v>1</v>
      </c>
      <c r="Z38" s="106">
        <v>1</v>
      </c>
      <c r="AA38" s="106">
        <v>295</v>
      </c>
      <c r="AB38" s="106">
        <v>295</v>
      </c>
      <c r="AC38" s="106">
        <v>295</v>
      </c>
      <c r="AD38" s="106">
        <v>1</v>
      </c>
      <c r="AE38" s="106">
        <v>1</v>
      </c>
      <c r="AF38" s="106">
        <v>1</v>
      </c>
      <c r="AG38" s="106">
        <v>295</v>
      </c>
      <c r="AH38" s="106">
        <v>295</v>
      </c>
      <c r="AI38" s="106">
        <v>295</v>
      </c>
      <c r="AJ38" s="87">
        <f t="shared" si="7"/>
        <v>3540</v>
      </c>
      <c r="AK38" s="87">
        <f t="shared" si="4"/>
        <v>3540</v>
      </c>
      <c r="AL38" s="87"/>
      <c r="AM38" s="87"/>
      <c r="AN38" s="87"/>
      <c r="AO38" s="87"/>
      <c r="AP38" s="88" t="s">
        <v>101</v>
      </c>
      <c r="AQ38" s="105" t="s">
        <v>246</v>
      </c>
      <c r="AR38" s="88"/>
      <c r="AS38" s="161">
        <f t="shared" si="2"/>
        <v>0</v>
      </c>
      <c r="AT38" s="161">
        <f t="shared" si="3"/>
        <v>0</v>
      </c>
    </row>
    <row r="39" spans="1:46" ht="47.25">
      <c r="A39" s="101" t="s">
        <v>147</v>
      </c>
      <c r="B39" s="101" t="s">
        <v>216</v>
      </c>
      <c r="C39" s="102" t="s">
        <v>256</v>
      </c>
      <c r="D39" s="103" t="s">
        <v>257</v>
      </c>
      <c r="E39" s="85">
        <f t="shared" si="5"/>
        <v>2</v>
      </c>
      <c r="F39" s="47" t="s">
        <v>249</v>
      </c>
      <c r="G39" s="100" t="s">
        <v>258</v>
      </c>
      <c r="H39" s="105" t="s">
        <v>259</v>
      </c>
      <c r="I39" s="85">
        <v>7</v>
      </c>
      <c r="J39" s="853"/>
      <c r="K39" s="85">
        <v>7</v>
      </c>
      <c r="L39" s="87"/>
      <c r="M39" s="87">
        <v>1</v>
      </c>
      <c r="N39" s="87"/>
      <c r="O39" s="87"/>
      <c r="P39" s="87">
        <v>5325</v>
      </c>
      <c r="Q39" s="87"/>
      <c r="R39" s="87"/>
      <c r="S39" s="87"/>
      <c r="T39" s="87"/>
      <c r="U39" s="87"/>
      <c r="V39" s="87"/>
      <c r="W39" s="87"/>
      <c r="X39" s="87">
        <v>1</v>
      </c>
      <c r="Y39" s="87"/>
      <c r="Z39" s="87"/>
      <c r="AA39" s="87">
        <v>5330</v>
      </c>
      <c r="AB39" s="87"/>
      <c r="AC39" s="87"/>
      <c r="AD39" s="87"/>
      <c r="AE39" s="87"/>
      <c r="AF39" s="87"/>
      <c r="AG39" s="87"/>
      <c r="AH39" s="87"/>
      <c r="AI39" s="87"/>
      <c r="AJ39" s="87">
        <f t="shared" si="7"/>
        <v>10655</v>
      </c>
      <c r="AK39" s="87">
        <f t="shared" si="4"/>
        <v>10655</v>
      </c>
      <c r="AL39" s="87"/>
      <c r="AM39" s="87"/>
      <c r="AN39" s="87"/>
      <c r="AO39" s="87"/>
      <c r="AP39" s="105" t="s">
        <v>223</v>
      </c>
      <c r="AQ39" s="105" t="s">
        <v>246</v>
      </c>
      <c r="AR39" s="88"/>
      <c r="AS39" s="161">
        <f t="shared" si="2"/>
        <v>0</v>
      </c>
      <c r="AT39" s="161">
        <f t="shared" si="3"/>
        <v>0</v>
      </c>
    </row>
    <row r="40" spans="1:46" ht="63">
      <c r="A40" s="101" t="s">
        <v>147</v>
      </c>
      <c r="B40" s="101" t="s">
        <v>216</v>
      </c>
      <c r="C40" s="102" t="s">
        <v>260</v>
      </c>
      <c r="D40" s="103" t="s">
        <v>261</v>
      </c>
      <c r="E40" s="85">
        <f t="shared" si="5"/>
        <v>4</v>
      </c>
      <c r="F40" s="107" t="s">
        <v>168</v>
      </c>
      <c r="G40" s="105" t="s">
        <v>262</v>
      </c>
      <c r="H40" s="105" t="s">
        <v>263</v>
      </c>
      <c r="I40" s="85">
        <v>7</v>
      </c>
      <c r="J40" s="853"/>
      <c r="K40" s="85">
        <v>7</v>
      </c>
      <c r="L40" s="106">
        <v>1</v>
      </c>
      <c r="M40" s="106"/>
      <c r="N40" s="106"/>
      <c r="O40" s="106">
        <v>2820</v>
      </c>
      <c r="P40" s="106"/>
      <c r="Q40" s="106"/>
      <c r="R40" s="106">
        <v>1</v>
      </c>
      <c r="S40" s="106"/>
      <c r="T40" s="106"/>
      <c r="U40" s="106">
        <v>2820</v>
      </c>
      <c r="V40" s="106"/>
      <c r="W40" s="106"/>
      <c r="X40" s="106">
        <v>1</v>
      </c>
      <c r="Y40" s="106"/>
      <c r="Z40" s="106"/>
      <c r="AA40" s="106">
        <v>2820</v>
      </c>
      <c r="AB40" s="106"/>
      <c r="AC40" s="106"/>
      <c r="AD40" s="106">
        <v>1</v>
      </c>
      <c r="AE40" s="106"/>
      <c r="AF40" s="106"/>
      <c r="AG40" s="92">
        <v>2825</v>
      </c>
      <c r="AH40" s="106"/>
      <c r="AI40" s="106"/>
      <c r="AJ40" s="87">
        <f>+O40+P40+Q40+U40+V40+W40+AA40+AB40+AC40+AG40+AH40+AI40</f>
        <v>11285</v>
      </c>
      <c r="AK40" s="87">
        <f t="shared" si="4"/>
        <v>11285</v>
      </c>
      <c r="AL40" s="87"/>
      <c r="AM40" s="106"/>
      <c r="AN40" s="106"/>
      <c r="AO40" s="106"/>
      <c r="AP40" s="105" t="s">
        <v>223</v>
      </c>
      <c r="AQ40" s="105" t="s">
        <v>246</v>
      </c>
      <c r="AR40" s="100"/>
      <c r="AS40" s="161">
        <f t="shared" si="2"/>
        <v>0</v>
      </c>
      <c r="AT40" s="161">
        <f t="shared" si="3"/>
        <v>0</v>
      </c>
    </row>
    <row r="41" spans="1:46" ht="63">
      <c r="A41" s="830" t="s">
        <v>147</v>
      </c>
      <c r="B41" s="830" t="s">
        <v>216</v>
      </c>
      <c r="C41" s="839" t="s">
        <v>264</v>
      </c>
      <c r="D41" s="841" t="s">
        <v>265</v>
      </c>
      <c r="E41" s="85">
        <f t="shared" si="5"/>
        <v>4</v>
      </c>
      <c r="F41" s="107" t="s">
        <v>168</v>
      </c>
      <c r="G41" s="105" t="s">
        <v>266</v>
      </c>
      <c r="H41" s="105" t="s">
        <v>267</v>
      </c>
      <c r="I41" s="843">
        <v>7</v>
      </c>
      <c r="J41" s="853"/>
      <c r="K41" s="843">
        <v>7</v>
      </c>
      <c r="L41" s="87"/>
      <c r="M41" s="87"/>
      <c r="N41" s="87">
        <v>1</v>
      </c>
      <c r="O41" s="87"/>
      <c r="P41" s="87"/>
      <c r="Q41" s="87">
        <v>2130</v>
      </c>
      <c r="R41" s="87"/>
      <c r="S41" s="87"/>
      <c r="T41" s="87">
        <v>1</v>
      </c>
      <c r="U41" s="87"/>
      <c r="V41" s="87"/>
      <c r="W41" s="87">
        <v>2130</v>
      </c>
      <c r="X41" s="87"/>
      <c r="Y41" s="87"/>
      <c r="Z41" s="87">
        <v>1</v>
      </c>
      <c r="AA41" s="87"/>
      <c r="AB41" s="87"/>
      <c r="AC41" s="87">
        <v>2130</v>
      </c>
      <c r="AD41" s="87"/>
      <c r="AE41" s="87"/>
      <c r="AF41" s="87">
        <v>1</v>
      </c>
      <c r="AG41" s="87"/>
      <c r="AH41" s="87"/>
      <c r="AI41" s="87">
        <v>2130</v>
      </c>
      <c r="AJ41" s="87">
        <f>+O41+P41+Q41+U41+V41+W41+AA41+AB41+AC41+AG41+AH41+AI41</f>
        <v>8520</v>
      </c>
      <c r="AK41" s="87">
        <f t="shared" si="4"/>
        <v>8520</v>
      </c>
      <c r="AL41" s="87"/>
      <c r="AM41" s="87"/>
      <c r="AN41" s="87"/>
      <c r="AO41" s="87"/>
      <c r="AP41" s="105" t="s">
        <v>223</v>
      </c>
      <c r="AQ41" s="105" t="s">
        <v>246</v>
      </c>
      <c r="AR41" s="88"/>
      <c r="AS41" s="161">
        <f t="shared" si="2"/>
        <v>0</v>
      </c>
      <c r="AT41" s="161">
        <f t="shared" si="3"/>
        <v>0</v>
      </c>
    </row>
    <row r="42" spans="1:46" ht="78.75">
      <c r="A42" s="832"/>
      <c r="B42" s="832"/>
      <c r="C42" s="840"/>
      <c r="D42" s="842"/>
      <c r="E42" s="85">
        <f t="shared" si="5"/>
        <v>1</v>
      </c>
      <c r="F42" s="107" t="s">
        <v>171</v>
      </c>
      <c r="G42" s="105" t="s">
        <v>268</v>
      </c>
      <c r="H42" s="105" t="s">
        <v>269</v>
      </c>
      <c r="I42" s="844"/>
      <c r="J42" s="853"/>
      <c r="K42" s="844"/>
      <c r="L42" s="106"/>
      <c r="M42" s="106">
        <v>1</v>
      </c>
      <c r="N42" s="106"/>
      <c r="O42" s="106"/>
      <c r="P42" s="87">
        <v>2135</v>
      </c>
      <c r="Q42" s="87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87">
        <f>+O42+P42+Q42+U42+V42+W42+AA42+AB42+AC42+AG42+AH42+AI42</f>
        <v>2135</v>
      </c>
      <c r="AK42" s="87">
        <f t="shared" si="4"/>
        <v>2135</v>
      </c>
      <c r="AL42" s="87"/>
      <c r="AM42" s="87"/>
      <c r="AN42" s="87"/>
      <c r="AO42" s="87"/>
      <c r="AP42" s="105" t="s">
        <v>223</v>
      </c>
      <c r="AQ42" s="105" t="s">
        <v>246</v>
      </c>
      <c r="AR42" s="88"/>
      <c r="AS42" s="161">
        <f t="shared" si="2"/>
        <v>0</v>
      </c>
      <c r="AT42" s="161">
        <f t="shared" si="3"/>
        <v>0</v>
      </c>
    </row>
    <row r="43" spans="1:46" ht="94.5">
      <c r="A43" s="101" t="s">
        <v>147</v>
      </c>
      <c r="B43" s="101" t="s">
        <v>216</v>
      </c>
      <c r="C43" s="102" t="s">
        <v>270</v>
      </c>
      <c r="D43" s="103" t="s">
        <v>271</v>
      </c>
      <c r="E43" s="85">
        <f t="shared" si="5"/>
        <v>1</v>
      </c>
      <c r="F43" s="107" t="s">
        <v>168</v>
      </c>
      <c r="G43" s="105" t="s">
        <v>272</v>
      </c>
      <c r="H43" s="105" t="s">
        <v>273</v>
      </c>
      <c r="I43" s="85">
        <v>7</v>
      </c>
      <c r="J43" s="854"/>
      <c r="K43" s="85">
        <v>7</v>
      </c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>
        <v>1</v>
      </c>
      <c r="AA43" s="87"/>
      <c r="AB43" s="87"/>
      <c r="AC43" s="87">
        <v>10655</v>
      </c>
      <c r="AD43" s="87"/>
      <c r="AE43" s="87"/>
      <c r="AF43" s="87"/>
      <c r="AG43" s="87"/>
      <c r="AH43" s="87"/>
      <c r="AI43" s="87"/>
      <c r="AJ43" s="87">
        <f>+O43+P43+Q43+U43+V43+W43+AA43+AB43+AC43+AG43+AH43+AI43</f>
        <v>10655</v>
      </c>
      <c r="AK43" s="87">
        <f t="shared" si="4"/>
        <v>10655</v>
      </c>
      <c r="AL43" s="87"/>
      <c r="AM43" s="87"/>
      <c r="AN43" s="87"/>
      <c r="AO43" s="87"/>
      <c r="AP43" s="105" t="s">
        <v>223</v>
      </c>
      <c r="AQ43" s="105" t="s">
        <v>246</v>
      </c>
      <c r="AR43" s="88"/>
      <c r="AS43" s="161">
        <f t="shared" si="2"/>
        <v>0</v>
      </c>
      <c r="AT43" s="161">
        <f t="shared" si="3"/>
        <v>0</v>
      </c>
    </row>
    <row r="44" spans="1:46" ht="31.5">
      <c r="A44" s="77" t="s">
        <v>147</v>
      </c>
      <c r="B44" s="77" t="s">
        <v>274</v>
      </c>
      <c r="C44" s="77" t="s">
        <v>275</v>
      </c>
      <c r="D44" s="78" t="s">
        <v>276</v>
      </c>
      <c r="E44" s="79"/>
      <c r="F44" s="89"/>
      <c r="G44" s="89"/>
      <c r="H44" s="89"/>
      <c r="I44" s="81">
        <v>5</v>
      </c>
      <c r="J44" s="82">
        <v>5</v>
      </c>
      <c r="K44" s="81"/>
      <c r="L44" s="90"/>
      <c r="M44" s="90"/>
      <c r="N44" s="90"/>
      <c r="O44" s="84"/>
      <c r="P44" s="84"/>
      <c r="Q44" s="84"/>
      <c r="R44" s="91"/>
      <c r="S44" s="91"/>
      <c r="T44" s="91"/>
      <c r="U44" s="84"/>
      <c r="V44" s="84"/>
      <c r="W44" s="84">
        <f>SUM(W45:W46)</f>
        <v>21310</v>
      </c>
      <c r="X44" s="90"/>
      <c r="Y44" s="90"/>
      <c r="Z44" s="90"/>
      <c r="AA44" s="84"/>
      <c r="AB44" s="84"/>
      <c r="AC44" s="84"/>
      <c r="AD44" s="90"/>
      <c r="AE44" s="90"/>
      <c r="AF44" s="90"/>
      <c r="AG44" s="84"/>
      <c r="AH44" s="84"/>
      <c r="AI44" s="84"/>
      <c r="AJ44" s="84">
        <f>SUM(AJ45:AJ46)</f>
        <v>21310</v>
      </c>
      <c r="AK44" s="84">
        <f>SUM(AK45:AK46)</f>
        <v>21310</v>
      </c>
      <c r="AL44" s="90"/>
      <c r="AM44" s="90"/>
      <c r="AN44" s="90"/>
      <c r="AO44" s="90"/>
      <c r="AP44" s="89"/>
      <c r="AQ44" s="89"/>
      <c r="AR44" s="89"/>
      <c r="AS44" s="161">
        <f t="shared" si="2"/>
        <v>0</v>
      </c>
      <c r="AT44" s="161">
        <f t="shared" si="3"/>
        <v>0</v>
      </c>
    </row>
    <row r="45" spans="1:46" ht="47.25">
      <c r="A45" s="101" t="s">
        <v>147</v>
      </c>
      <c r="B45" s="101" t="s">
        <v>274</v>
      </c>
      <c r="C45" s="102" t="s">
        <v>277</v>
      </c>
      <c r="D45" s="103" t="s">
        <v>278</v>
      </c>
      <c r="E45" s="85">
        <f>SUM(L45,M45,N45,R45,S45,T45,X45,Y45,Z45,AD45,AE45,AF45)</f>
        <v>1</v>
      </c>
      <c r="F45" s="47" t="s">
        <v>249</v>
      </c>
      <c r="G45" s="100" t="s">
        <v>279</v>
      </c>
      <c r="H45" s="105" t="s">
        <v>280</v>
      </c>
      <c r="I45" s="85">
        <v>50</v>
      </c>
      <c r="J45" s="826"/>
      <c r="K45" s="85">
        <v>50</v>
      </c>
      <c r="L45" s="106"/>
      <c r="M45" s="106"/>
      <c r="N45" s="106"/>
      <c r="O45" s="106"/>
      <c r="P45" s="106"/>
      <c r="Q45" s="106"/>
      <c r="R45" s="106"/>
      <c r="S45" s="106"/>
      <c r="T45" s="106">
        <v>1</v>
      </c>
      <c r="U45" s="106"/>
      <c r="V45" s="106"/>
      <c r="W45" s="87">
        <v>10655</v>
      </c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87">
        <f>+O45+P45+Q45+U45+V45+W45+AA45+AB45+AC45+AG45+AH45+AI45</f>
        <v>10655</v>
      </c>
      <c r="AK45" s="87">
        <f t="shared" ref="AK45:AK46" si="8">+AJ45</f>
        <v>10655</v>
      </c>
      <c r="AL45" s="87"/>
      <c r="AM45" s="106"/>
      <c r="AN45" s="106"/>
      <c r="AO45" s="106"/>
      <c r="AP45" s="105" t="s">
        <v>223</v>
      </c>
      <c r="AQ45" s="105" t="s">
        <v>246</v>
      </c>
      <c r="AR45" s="100"/>
      <c r="AS45" s="161">
        <f t="shared" si="2"/>
        <v>0</v>
      </c>
      <c r="AT45" s="161">
        <f t="shared" si="3"/>
        <v>0</v>
      </c>
    </row>
    <row r="46" spans="1:46" ht="47.25">
      <c r="A46" s="101" t="s">
        <v>147</v>
      </c>
      <c r="B46" s="101" t="s">
        <v>274</v>
      </c>
      <c r="C46" s="101" t="s">
        <v>281</v>
      </c>
      <c r="D46" s="108" t="s">
        <v>282</v>
      </c>
      <c r="E46" s="85">
        <f>SUM(L46,M46,N46,R46,S46,T46,X46,Y46,Z46,AD46,AE46,AF46)</f>
        <v>1</v>
      </c>
      <c r="F46" s="47" t="s">
        <v>171</v>
      </c>
      <c r="G46" s="100" t="s">
        <v>283</v>
      </c>
      <c r="H46" s="105" t="s">
        <v>284</v>
      </c>
      <c r="I46" s="109">
        <v>50</v>
      </c>
      <c r="J46" s="828"/>
      <c r="K46" s="109">
        <v>50</v>
      </c>
      <c r="L46" s="106"/>
      <c r="M46" s="106"/>
      <c r="N46" s="106"/>
      <c r="O46" s="106"/>
      <c r="P46" s="106"/>
      <c r="Q46" s="106"/>
      <c r="R46" s="106"/>
      <c r="S46" s="106"/>
      <c r="T46" s="106">
        <v>1</v>
      </c>
      <c r="U46" s="106"/>
      <c r="V46" s="106"/>
      <c r="W46" s="87">
        <v>10655</v>
      </c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87">
        <f>+O46+P46+Q46+U46+V46+W46+AA46+AB46+AC46+AG46+AH46+AI46</f>
        <v>10655</v>
      </c>
      <c r="AK46" s="87">
        <f t="shared" si="8"/>
        <v>10655</v>
      </c>
      <c r="AL46" s="87"/>
      <c r="AM46" s="106"/>
      <c r="AN46" s="106"/>
      <c r="AO46" s="106"/>
      <c r="AP46" s="105" t="s">
        <v>223</v>
      </c>
      <c r="AQ46" s="105" t="s">
        <v>246</v>
      </c>
      <c r="AR46" s="100"/>
      <c r="AS46" s="161">
        <f t="shared" si="2"/>
        <v>0</v>
      </c>
      <c r="AT46" s="161">
        <f t="shared" si="3"/>
        <v>0</v>
      </c>
    </row>
    <row r="47" spans="1:46" ht="31.5">
      <c r="A47" s="110" t="s">
        <v>285</v>
      </c>
      <c r="B47" s="110" t="s">
        <v>286</v>
      </c>
      <c r="C47" s="110" t="s">
        <v>287</v>
      </c>
      <c r="D47" s="111" t="s">
        <v>288</v>
      </c>
      <c r="E47" s="81"/>
      <c r="F47" s="110"/>
      <c r="G47" s="111"/>
      <c r="H47" s="111"/>
      <c r="I47" s="81">
        <v>8</v>
      </c>
      <c r="J47" s="82">
        <v>8</v>
      </c>
      <c r="K47" s="81"/>
      <c r="L47" s="84"/>
      <c r="M47" s="84"/>
      <c r="N47" s="84"/>
      <c r="O47" s="84">
        <f>SUM(O48:O54)</f>
        <v>4265</v>
      </c>
      <c r="P47" s="84">
        <f t="shared" ref="P47:Q47" si="9">SUM(P48:P54)</f>
        <v>2040</v>
      </c>
      <c r="Q47" s="84">
        <f t="shared" si="9"/>
        <v>2040</v>
      </c>
      <c r="R47" s="84"/>
      <c r="S47" s="84"/>
      <c r="T47" s="84"/>
      <c r="U47" s="84">
        <f t="shared" ref="U47:W47" si="10">SUM(U48:U54)</f>
        <v>12530</v>
      </c>
      <c r="V47" s="84">
        <f t="shared" si="10"/>
        <v>2040</v>
      </c>
      <c r="W47" s="84">
        <f t="shared" si="10"/>
        <v>2045</v>
      </c>
      <c r="X47" s="84"/>
      <c r="Y47" s="84"/>
      <c r="Z47" s="84"/>
      <c r="AA47" s="84">
        <f t="shared" ref="AA47:AC47" si="11">SUM(AA48:AA54)</f>
        <v>1600</v>
      </c>
      <c r="AB47" s="84">
        <f t="shared" si="11"/>
        <v>2755</v>
      </c>
      <c r="AC47" s="84">
        <f t="shared" si="11"/>
        <v>1600</v>
      </c>
      <c r="AD47" s="84"/>
      <c r="AE47" s="84"/>
      <c r="AF47" s="84"/>
      <c r="AG47" s="84">
        <f t="shared" ref="AG47:AK47" si="12">SUM(AG48:AG54)</f>
        <v>1600</v>
      </c>
      <c r="AH47" s="84">
        <f t="shared" si="12"/>
        <v>5155</v>
      </c>
      <c r="AI47" s="84">
        <f t="shared" si="12"/>
        <v>4980</v>
      </c>
      <c r="AJ47" s="84">
        <f t="shared" si="12"/>
        <v>42650</v>
      </c>
      <c r="AK47" s="84">
        <f t="shared" si="12"/>
        <v>42650</v>
      </c>
      <c r="AL47" s="84"/>
      <c r="AM47" s="84"/>
      <c r="AN47" s="84"/>
      <c r="AO47" s="84"/>
      <c r="AP47" s="84"/>
      <c r="AQ47" s="111"/>
      <c r="AR47" s="111"/>
      <c r="AS47" s="161">
        <f t="shared" si="2"/>
        <v>0</v>
      </c>
      <c r="AT47" s="161">
        <f t="shared" si="3"/>
        <v>0</v>
      </c>
    </row>
    <row r="48" spans="1:46" ht="63">
      <c r="A48" s="830" t="s">
        <v>285</v>
      </c>
      <c r="B48" s="830" t="s">
        <v>286</v>
      </c>
      <c r="C48" s="830" t="s">
        <v>289</v>
      </c>
      <c r="D48" s="833" t="s">
        <v>290</v>
      </c>
      <c r="E48" s="85">
        <f t="shared" ref="E48:E54" si="13">SUM(L48,M48,N48,R48,S48,T48,X48,Y48,Z48,AD48,AE48,AF48)</f>
        <v>12</v>
      </c>
      <c r="F48" s="47" t="s">
        <v>168</v>
      </c>
      <c r="G48" s="100" t="s">
        <v>291</v>
      </c>
      <c r="H48" s="105" t="s">
        <v>292</v>
      </c>
      <c r="I48" s="826">
        <v>25</v>
      </c>
      <c r="J48" s="826"/>
      <c r="K48" s="826">
        <v>25</v>
      </c>
      <c r="L48" s="106">
        <v>1</v>
      </c>
      <c r="M48" s="106">
        <v>1</v>
      </c>
      <c r="N48" s="106">
        <v>1</v>
      </c>
      <c r="O48" s="106">
        <v>710</v>
      </c>
      <c r="P48" s="106">
        <v>710</v>
      </c>
      <c r="Q48" s="106">
        <v>710</v>
      </c>
      <c r="R48" s="106">
        <v>1</v>
      </c>
      <c r="S48" s="106">
        <v>1</v>
      </c>
      <c r="T48" s="106">
        <v>1</v>
      </c>
      <c r="U48" s="106">
        <v>710</v>
      </c>
      <c r="V48" s="106">
        <v>710</v>
      </c>
      <c r="W48" s="106">
        <v>710</v>
      </c>
      <c r="X48" s="106">
        <v>1</v>
      </c>
      <c r="Y48" s="106">
        <v>1</v>
      </c>
      <c r="Z48" s="106">
        <v>1</v>
      </c>
      <c r="AA48" s="106">
        <v>710</v>
      </c>
      <c r="AB48" s="106">
        <v>710</v>
      </c>
      <c r="AC48" s="106">
        <v>710</v>
      </c>
      <c r="AD48" s="106">
        <v>1</v>
      </c>
      <c r="AE48" s="106">
        <v>1</v>
      </c>
      <c r="AF48" s="106">
        <v>1</v>
      </c>
      <c r="AG48" s="106">
        <v>710</v>
      </c>
      <c r="AH48" s="106">
        <v>710</v>
      </c>
      <c r="AI48" s="106">
        <v>710</v>
      </c>
      <c r="AJ48" s="87">
        <f t="shared" ref="AJ48:AJ54" si="14">+O48+P48+Q48+U48+V48+W48+AA48+AB48+AC48+AG48+AH48+AI48</f>
        <v>8520</v>
      </c>
      <c r="AK48" s="87">
        <f t="shared" ref="AK48:AK54" si="15">+AJ48</f>
        <v>8520</v>
      </c>
      <c r="AL48" s="87"/>
      <c r="AM48" s="106"/>
      <c r="AN48" s="106"/>
      <c r="AO48" s="106"/>
      <c r="AP48" s="105" t="s">
        <v>223</v>
      </c>
      <c r="AQ48" s="105" t="s">
        <v>246</v>
      </c>
      <c r="AR48" s="100"/>
      <c r="AS48" s="161">
        <f t="shared" si="2"/>
        <v>0</v>
      </c>
      <c r="AT48" s="161">
        <f t="shared" si="3"/>
        <v>0</v>
      </c>
    </row>
    <row r="49" spans="1:46" ht="57" customHeight="1">
      <c r="A49" s="832"/>
      <c r="B49" s="832"/>
      <c r="C49" s="832"/>
      <c r="D49" s="836"/>
      <c r="E49" s="85">
        <f t="shared" si="13"/>
        <v>3</v>
      </c>
      <c r="F49" s="47" t="s">
        <v>168</v>
      </c>
      <c r="G49" s="100" t="s">
        <v>293</v>
      </c>
      <c r="H49" s="105" t="s">
        <v>294</v>
      </c>
      <c r="I49" s="829"/>
      <c r="J49" s="827"/>
      <c r="K49" s="829"/>
      <c r="L49" s="106"/>
      <c r="M49" s="106"/>
      <c r="N49" s="106"/>
      <c r="O49" s="106"/>
      <c r="P49" s="106"/>
      <c r="Q49" s="106"/>
      <c r="R49" s="106">
        <v>1</v>
      </c>
      <c r="S49" s="106"/>
      <c r="T49" s="106"/>
      <c r="U49" s="106">
        <v>710</v>
      </c>
      <c r="V49" s="106"/>
      <c r="W49" s="106"/>
      <c r="X49" s="106"/>
      <c r="Y49" s="106">
        <v>1</v>
      </c>
      <c r="Z49" s="106"/>
      <c r="AA49" s="106"/>
      <c r="AB49" s="106">
        <v>710</v>
      </c>
      <c r="AC49" s="106"/>
      <c r="AD49" s="106"/>
      <c r="AE49" s="106"/>
      <c r="AF49" s="106">
        <v>1</v>
      </c>
      <c r="AG49" s="106"/>
      <c r="AH49" s="106"/>
      <c r="AI49" s="106">
        <v>715</v>
      </c>
      <c r="AJ49" s="87">
        <f t="shared" si="14"/>
        <v>2135</v>
      </c>
      <c r="AK49" s="87">
        <f t="shared" si="15"/>
        <v>2135</v>
      </c>
      <c r="AL49" s="87"/>
      <c r="AM49" s="106"/>
      <c r="AN49" s="106"/>
      <c r="AO49" s="106"/>
      <c r="AP49" s="105" t="s">
        <v>223</v>
      </c>
      <c r="AQ49" s="105" t="s">
        <v>246</v>
      </c>
      <c r="AR49" s="100"/>
      <c r="AS49" s="161">
        <f t="shared" si="2"/>
        <v>0</v>
      </c>
      <c r="AT49" s="161">
        <f t="shared" si="3"/>
        <v>0</v>
      </c>
    </row>
    <row r="50" spans="1:46" ht="47.25">
      <c r="A50" s="830" t="s">
        <v>285</v>
      </c>
      <c r="B50" s="830" t="s">
        <v>286</v>
      </c>
      <c r="C50" s="830" t="s">
        <v>295</v>
      </c>
      <c r="D50" s="833" t="s">
        <v>296</v>
      </c>
      <c r="E50" s="85">
        <f t="shared" si="13"/>
        <v>10</v>
      </c>
      <c r="F50" s="47" t="s">
        <v>297</v>
      </c>
      <c r="G50" s="112" t="s">
        <v>298</v>
      </c>
      <c r="H50" s="105" t="s">
        <v>299</v>
      </c>
      <c r="I50" s="826">
        <v>25</v>
      </c>
      <c r="J50" s="827"/>
      <c r="K50" s="826">
        <v>25</v>
      </c>
      <c r="L50" s="106"/>
      <c r="M50" s="106">
        <v>1</v>
      </c>
      <c r="N50" s="106">
        <v>1</v>
      </c>
      <c r="O50" s="106"/>
      <c r="P50" s="106">
        <v>445</v>
      </c>
      <c r="Q50" s="106">
        <v>445</v>
      </c>
      <c r="R50" s="106">
        <v>1</v>
      </c>
      <c r="S50" s="106">
        <v>1</v>
      </c>
      <c r="T50" s="106">
        <v>1</v>
      </c>
      <c r="U50" s="106">
        <v>445</v>
      </c>
      <c r="V50" s="106">
        <v>445</v>
      </c>
      <c r="W50" s="106">
        <v>445</v>
      </c>
      <c r="X50" s="106">
        <v>1</v>
      </c>
      <c r="Y50" s="106">
        <v>1</v>
      </c>
      <c r="Z50" s="106">
        <v>1</v>
      </c>
      <c r="AA50" s="106">
        <v>445</v>
      </c>
      <c r="AB50" s="106">
        <v>445</v>
      </c>
      <c r="AC50" s="106">
        <v>445</v>
      </c>
      <c r="AD50" s="106">
        <v>1</v>
      </c>
      <c r="AE50" s="106">
        <v>1</v>
      </c>
      <c r="AF50" s="106"/>
      <c r="AG50" s="106">
        <v>445</v>
      </c>
      <c r="AH50" s="106">
        <v>445</v>
      </c>
      <c r="AI50" s="106"/>
      <c r="AJ50" s="87">
        <f t="shared" si="14"/>
        <v>4450</v>
      </c>
      <c r="AK50" s="87">
        <f t="shared" si="15"/>
        <v>4450</v>
      </c>
      <c r="AL50" s="87"/>
      <c r="AM50" s="106"/>
      <c r="AN50" s="106"/>
      <c r="AO50" s="106"/>
      <c r="AP50" s="105" t="s">
        <v>223</v>
      </c>
      <c r="AQ50" s="105" t="s">
        <v>246</v>
      </c>
      <c r="AR50" s="100"/>
      <c r="AS50" s="161">
        <f t="shared" si="2"/>
        <v>0</v>
      </c>
      <c r="AT50" s="161">
        <f t="shared" si="3"/>
        <v>0</v>
      </c>
    </row>
    <row r="51" spans="1:46" ht="31.5">
      <c r="A51" s="831"/>
      <c r="B51" s="831"/>
      <c r="C51" s="831"/>
      <c r="D51" s="834"/>
      <c r="E51" s="85">
        <f t="shared" si="13"/>
        <v>8</v>
      </c>
      <c r="F51" s="47" t="s">
        <v>300</v>
      </c>
      <c r="G51" s="100" t="s">
        <v>301</v>
      </c>
      <c r="H51" s="105" t="s">
        <v>302</v>
      </c>
      <c r="I51" s="827"/>
      <c r="J51" s="827"/>
      <c r="K51" s="827"/>
      <c r="L51" s="106"/>
      <c r="M51" s="106">
        <v>1</v>
      </c>
      <c r="N51" s="106">
        <v>1</v>
      </c>
      <c r="O51" s="106"/>
      <c r="P51" s="106">
        <v>445</v>
      </c>
      <c r="Q51" s="106">
        <v>445</v>
      </c>
      <c r="R51" s="106"/>
      <c r="S51" s="106">
        <v>1</v>
      </c>
      <c r="T51" s="106">
        <v>1</v>
      </c>
      <c r="U51" s="106"/>
      <c r="V51" s="106">
        <v>445</v>
      </c>
      <c r="W51" s="106">
        <v>445</v>
      </c>
      <c r="X51" s="106">
        <v>1</v>
      </c>
      <c r="Y51" s="106">
        <v>1</v>
      </c>
      <c r="Z51" s="106">
        <v>1</v>
      </c>
      <c r="AA51" s="106">
        <v>445</v>
      </c>
      <c r="AB51" s="106">
        <v>445</v>
      </c>
      <c r="AC51" s="106">
        <v>445</v>
      </c>
      <c r="AD51" s="106">
        <v>1</v>
      </c>
      <c r="AE51" s="106"/>
      <c r="AF51" s="106"/>
      <c r="AG51" s="106">
        <v>445</v>
      </c>
      <c r="AH51" s="106"/>
      <c r="AI51" s="106"/>
      <c r="AJ51" s="87">
        <f t="shared" si="14"/>
        <v>3560</v>
      </c>
      <c r="AK51" s="87">
        <f t="shared" si="15"/>
        <v>3560</v>
      </c>
      <c r="AL51" s="87"/>
      <c r="AM51" s="106"/>
      <c r="AN51" s="106"/>
      <c r="AO51" s="106"/>
      <c r="AP51" s="88" t="s">
        <v>223</v>
      </c>
      <c r="AQ51" s="88" t="s">
        <v>246</v>
      </c>
      <c r="AR51" s="100"/>
      <c r="AS51" s="161">
        <f t="shared" si="2"/>
        <v>0</v>
      </c>
      <c r="AT51" s="161">
        <f t="shared" si="3"/>
        <v>0</v>
      </c>
    </row>
    <row r="52" spans="1:46" ht="31.5">
      <c r="A52" s="832"/>
      <c r="B52" s="832"/>
      <c r="C52" s="832"/>
      <c r="D52" s="835"/>
      <c r="E52" s="85">
        <f t="shared" si="13"/>
        <v>6</v>
      </c>
      <c r="F52" s="47" t="s">
        <v>297</v>
      </c>
      <c r="G52" s="100" t="s">
        <v>303</v>
      </c>
      <c r="H52" s="105" t="s">
        <v>304</v>
      </c>
      <c r="I52" s="828"/>
      <c r="J52" s="827"/>
      <c r="K52" s="828"/>
      <c r="L52" s="106"/>
      <c r="M52" s="106">
        <v>1</v>
      </c>
      <c r="N52" s="106">
        <v>1</v>
      </c>
      <c r="O52" s="106"/>
      <c r="P52" s="106">
        <v>440</v>
      </c>
      <c r="Q52" s="106">
        <v>440</v>
      </c>
      <c r="R52" s="106"/>
      <c r="S52" s="106">
        <v>1</v>
      </c>
      <c r="T52" s="106">
        <v>1</v>
      </c>
      <c r="U52" s="106"/>
      <c r="V52" s="106">
        <v>440</v>
      </c>
      <c r="W52" s="106">
        <v>445</v>
      </c>
      <c r="X52" s="106"/>
      <c r="Y52" s="106">
        <v>1</v>
      </c>
      <c r="Z52" s="106"/>
      <c r="AA52" s="106"/>
      <c r="AB52" s="106">
        <v>445</v>
      </c>
      <c r="AC52" s="106"/>
      <c r="AD52" s="106"/>
      <c r="AE52" s="106">
        <v>1</v>
      </c>
      <c r="AF52" s="106"/>
      <c r="AG52" s="106"/>
      <c r="AH52" s="106">
        <v>445</v>
      </c>
      <c r="AI52" s="106"/>
      <c r="AJ52" s="87">
        <f t="shared" si="14"/>
        <v>2655</v>
      </c>
      <c r="AK52" s="87">
        <f t="shared" si="15"/>
        <v>2655</v>
      </c>
      <c r="AL52" s="87"/>
      <c r="AM52" s="106"/>
      <c r="AN52" s="106"/>
      <c r="AO52" s="106"/>
      <c r="AP52" s="105" t="s">
        <v>223</v>
      </c>
      <c r="AQ52" s="105" t="s">
        <v>246</v>
      </c>
      <c r="AR52" s="100"/>
      <c r="AS52" s="161">
        <f t="shared" si="2"/>
        <v>0</v>
      </c>
      <c r="AT52" s="161">
        <f t="shared" si="3"/>
        <v>0</v>
      </c>
    </row>
    <row r="53" spans="1:46" ht="105.75" customHeight="1">
      <c r="A53" s="113" t="s">
        <v>285</v>
      </c>
      <c r="B53" s="113" t="s">
        <v>286</v>
      </c>
      <c r="C53" s="113" t="s">
        <v>305</v>
      </c>
      <c r="D53" s="105" t="s">
        <v>306</v>
      </c>
      <c r="E53" s="85">
        <f t="shared" si="13"/>
        <v>3</v>
      </c>
      <c r="F53" s="107" t="s">
        <v>307</v>
      </c>
      <c r="G53" s="105" t="s">
        <v>308</v>
      </c>
      <c r="H53" s="105" t="s">
        <v>309</v>
      </c>
      <c r="I53" s="47">
        <v>25</v>
      </c>
      <c r="J53" s="828"/>
      <c r="K53" s="47">
        <v>25</v>
      </c>
      <c r="L53" s="106">
        <v>1</v>
      </c>
      <c r="M53" s="106"/>
      <c r="N53" s="106"/>
      <c r="O53" s="106">
        <v>3555</v>
      </c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>
        <v>1</v>
      </c>
      <c r="AF53" s="106">
        <v>1</v>
      </c>
      <c r="AG53" s="106"/>
      <c r="AH53" s="106">
        <v>3555</v>
      </c>
      <c r="AI53" s="106">
        <v>3555</v>
      </c>
      <c r="AJ53" s="87">
        <f t="shared" si="14"/>
        <v>10665</v>
      </c>
      <c r="AK53" s="87">
        <f t="shared" si="15"/>
        <v>10665</v>
      </c>
      <c r="AL53" s="87"/>
      <c r="AM53" s="106"/>
      <c r="AN53" s="106"/>
      <c r="AO53" s="106"/>
      <c r="AP53" s="88" t="s">
        <v>223</v>
      </c>
      <c r="AQ53" s="88" t="s">
        <v>246</v>
      </c>
      <c r="AR53" s="100"/>
      <c r="AS53" s="161">
        <f t="shared" si="2"/>
        <v>0</v>
      </c>
      <c r="AT53" s="161">
        <f t="shared" si="3"/>
        <v>0</v>
      </c>
    </row>
    <row r="54" spans="1:46" ht="63">
      <c r="A54" s="113" t="s">
        <v>285</v>
      </c>
      <c r="B54" s="113" t="s">
        <v>286</v>
      </c>
      <c r="C54" s="113" t="s">
        <v>310</v>
      </c>
      <c r="D54" s="105" t="s">
        <v>311</v>
      </c>
      <c r="E54" s="85">
        <f t="shared" si="13"/>
        <v>1</v>
      </c>
      <c r="F54" s="107" t="s">
        <v>231</v>
      </c>
      <c r="G54" s="105" t="s">
        <v>312</v>
      </c>
      <c r="H54" s="105" t="s">
        <v>313</v>
      </c>
      <c r="I54" s="47">
        <v>25</v>
      </c>
      <c r="J54" s="114"/>
      <c r="K54" s="47">
        <v>25</v>
      </c>
      <c r="L54" s="106"/>
      <c r="M54" s="106"/>
      <c r="N54" s="106"/>
      <c r="O54" s="106"/>
      <c r="P54" s="106"/>
      <c r="Q54" s="106"/>
      <c r="R54" s="106">
        <v>1</v>
      </c>
      <c r="S54" s="106"/>
      <c r="T54" s="106"/>
      <c r="U54" s="106">
        <v>10665</v>
      </c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87">
        <f t="shared" si="14"/>
        <v>10665</v>
      </c>
      <c r="AK54" s="87">
        <f t="shared" si="15"/>
        <v>10665</v>
      </c>
      <c r="AL54" s="87"/>
      <c r="AM54" s="106"/>
      <c r="AN54" s="106"/>
      <c r="AO54" s="106"/>
      <c r="AP54" s="88" t="s">
        <v>223</v>
      </c>
      <c r="AQ54" s="88" t="s">
        <v>246</v>
      </c>
      <c r="AR54" s="100"/>
      <c r="AS54" s="161">
        <f t="shared" si="2"/>
        <v>0</v>
      </c>
      <c r="AT54" s="161">
        <f t="shared" si="3"/>
        <v>0</v>
      </c>
    </row>
    <row r="55" spans="1:46" ht="47.25">
      <c r="A55" s="110" t="s">
        <v>285</v>
      </c>
      <c r="B55" s="110" t="s">
        <v>314</v>
      </c>
      <c r="C55" s="110" t="s">
        <v>315</v>
      </c>
      <c r="D55" s="111" t="s">
        <v>316</v>
      </c>
      <c r="E55" s="81"/>
      <c r="F55" s="110"/>
      <c r="G55" s="111"/>
      <c r="H55" s="111"/>
      <c r="I55" s="81">
        <v>26</v>
      </c>
      <c r="J55" s="82">
        <v>26</v>
      </c>
      <c r="K55" s="81"/>
      <c r="L55" s="84"/>
      <c r="M55" s="84"/>
      <c r="N55" s="84"/>
      <c r="O55" s="84"/>
      <c r="P55" s="84">
        <f>SUM(P56:P65)</f>
        <v>7995</v>
      </c>
      <c r="Q55" s="84"/>
      <c r="R55" s="84"/>
      <c r="S55" s="84"/>
      <c r="T55" s="84"/>
      <c r="U55" s="84">
        <f>SUM(U56:U65)</f>
        <v>15095</v>
      </c>
      <c r="V55" s="84"/>
      <c r="W55" s="84"/>
      <c r="X55" s="84"/>
      <c r="Y55" s="84"/>
      <c r="Z55" s="84"/>
      <c r="AA55" s="84">
        <f>SUM(AA56:AA65)</f>
        <v>15095</v>
      </c>
      <c r="AB55" s="84"/>
      <c r="AC55" s="84"/>
      <c r="AD55" s="84"/>
      <c r="AE55" s="84"/>
      <c r="AF55" s="84"/>
      <c r="AG55" s="84">
        <f>SUM(AG56:AG65)</f>
        <v>15110</v>
      </c>
      <c r="AH55" s="84"/>
      <c r="AI55" s="84">
        <f>SUM(AI56:AI65)</f>
        <v>90600</v>
      </c>
      <c r="AJ55" s="84">
        <f>SUM(AJ56:AJ65)</f>
        <v>143895</v>
      </c>
      <c r="AK55" s="84">
        <f>SUM(AK56:AK65)</f>
        <v>143895</v>
      </c>
      <c r="AL55" s="84"/>
      <c r="AM55" s="84"/>
      <c r="AN55" s="84"/>
      <c r="AO55" s="84"/>
      <c r="AP55" s="84"/>
      <c r="AQ55" s="111"/>
      <c r="AR55" s="111"/>
      <c r="AS55" s="161">
        <f t="shared" si="2"/>
        <v>0</v>
      </c>
      <c r="AT55" s="161">
        <f t="shared" si="3"/>
        <v>0</v>
      </c>
    </row>
    <row r="56" spans="1:46" ht="63">
      <c r="A56" s="113" t="s">
        <v>285</v>
      </c>
      <c r="B56" s="113" t="s">
        <v>314</v>
      </c>
      <c r="C56" s="113" t="s">
        <v>317</v>
      </c>
      <c r="D56" s="105" t="s">
        <v>318</v>
      </c>
      <c r="E56" s="85">
        <f>SUM(L56,M56,N56,R56,S56,T56,X56,Y56,Z56,AD56,AE56,AF56)</f>
        <v>1</v>
      </c>
      <c r="F56" s="107" t="s">
        <v>213</v>
      </c>
      <c r="G56" s="105" t="s">
        <v>319</v>
      </c>
      <c r="H56" s="105" t="s">
        <v>320</v>
      </c>
      <c r="I56" s="47">
        <v>13</v>
      </c>
      <c r="J56" s="826"/>
      <c r="K56" s="47">
        <v>13</v>
      </c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>
        <v>1</v>
      </c>
      <c r="AG56" s="106"/>
      <c r="AH56" s="106"/>
      <c r="AI56" s="87">
        <v>18120</v>
      </c>
      <c r="AJ56" s="87">
        <f t="shared" ref="AJ56:AJ65" si="16">+O56+P56+Q56+U56+V56+W56+AA56+AB56+AC56+AG56+AH56+AI56</f>
        <v>18120</v>
      </c>
      <c r="AK56" s="87">
        <f t="shared" ref="AK56:AK65" si="17">+AJ56</f>
        <v>18120</v>
      </c>
      <c r="AL56" s="87"/>
      <c r="AM56" s="106"/>
      <c r="AN56" s="106"/>
      <c r="AO56" s="106"/>
      <c r="AP56" s="88" t="s">
        <v>223</v>
      </c>
      <c r="AQ56" s="88" t="s">
        <v>224</v>
      </c>
      <c r="AR56" s="100"/>
      <c r="AS56" s="161">
        <f t="shared" si="2"/>
        <v>0</v>
      </c>
      <c r="AT56" s="161">
        <f t="shared" si="3"/>
        <v>0</v>
      </c>
    </row>
    <row r="57" spans="1:46" ht="63">
      <c r="A57" s="113" t="s">
        <v>285</v>
      </c>
      <c r="B57" s="113" t="s">
        <v>314</v>
      </c>
      <c r="C57" s="113" t="s">
        <v>321</v>
      </c>
      <c r="D57" s="105" t="s">
        <v>322</v>
      </c>
      <c r="E57" s="85">
        <f>SUM(L57,M57,N57,R57,S57,T57,X57,Y57,Z57,AD57,AE57,AF57)</f>
        <v>4</v>
      </c>
      <c r="F57" s="107" t="s">
        <v>168</v>
      </c>
      <c r="G57" s="105" t="s">
        <v>323</v>
      </c>
      <c r="H57" s="105" t="s">
        <v>324</v>
      </c>
      <c r="I57" s="47">
        <v>7</v>
      </c>
      <c r="J57" s="827"/>
      <c r="K57" s="47">
        <v>7</v>
      </c>
      <c r="L57" s="106"/>
      <c r="M57" s="106">
        <v>1</v>
      </c>
      <c r="N57" s="106"/>
      <c r="O57" s="106"/>
      <c r="P57" s="106">
        <v>2665</v>
      </c>
      <c r="Q57" s="106"/>
      <c r="R57" s="106">
        <v>1</v>
      </c>
      <c r="S57" s="106"/>
      <c r="T57" s="106"/>
      <c r="U57" s="106">
        <v>2665</v>
      </c>
      <c r="V57" s="106"/>
      <c r="W57" s="106"/>
      <c r="X57" s="106">
        <v>1</v>
      </c>
      <c r="Y57" s="106"/>
      <c r="Z57" s="106"/>
      <c r="AA57" s="106">
        <v>2665</v>
      </c>
      <c r="AB57" s="106"/>
      <c r="AC57" s="106"/>
      <c r="AD57" s="106">
        <v>1</v>
      </c>
      <c r="AE57" s="106"/>
      <c r="AF57" s="106"/>
      <c r="AG57" s="106">
        <v>2670</v>
      </c>
      <c r="AH57" s="106"/>
      <c r="AI57" s="106"/>
      <c r="AJ57" s="87">
        <f t="shared" si="16"/>
        <v>10665</v>
      </c>
      <c r="AK57" s="87">
        <f t="shared" si="17"/>
        <v>10665</v>
      </c>
      <c r="AL57" s="87"/>
      <c r="AM57" s="106"/>
      <c r="AN57" s="106"/>
      <c r="AO57" s="106"/>
      <c r="AP57" s="105" t="s">
        <v>223</v>
      </c>
      <c r="AQ57" s="105" t="s">
        <v>246</v>
      </c>
      <c r="AR57" s="100"/>
      <c r="AS57" s="161">
        <f t="shared" si="2"/>
        <v>0</v>
      </c>
      <c r="AT57" s="161">
        <f t="shared" si="3"/>
        <v>0</v>
      </c>
    </row>
    <row r="58" spans="1:46" ht="78.75">
      <c r="A58" s="113" t="s">
        <v>285</v>
      </c>
      <c r="B58" s="113" t="s">
        <v>314</v>
      </c>
      <c r="C58" s="113" t="s">
        <v>325</v>
      </c>
      <c r="D58" s="105" t="s">
        <v>326</v>
      </c>
      <c r="E58" s="85">
        <f>SUM(L58,M58,N58,R58,S58,T58,X58,Y58,Z58,AD58,AE58,AF58)</f>
        <v>1</v>
      </c>
      <c r="F58" s="107" t="s">
        <v>213</v>
      </c>
      <c r="G58" s="105" t="s">
        <v>327</v>
      </c>
      <c r="H58" s="105" t="s">
        <v>328</v>
      </c>
      <c r="I58" s="47">
        <v>13</v>
      </c>
      <c r="J58" s="827"/>
      <c r="K58" s="47">
        <v>13</v>
      </c>
      <c r="L58" s="106"/>
      <c r="M58" s="106"/>
      <c r="N58" s="106"/>
      <c r="O58" s="106"/>
      <c r="P58" s="106"/>
      <c r="Q58" s="106"/>
      <c r="R58" s="106"/>
      <c r="S58" s="106"/>
      <c r="T58" s="106"/>
      <c r="U58" s="115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>
        <v>1</v>
      </c>
      <c r="AG58" s="106"/>
      <c r="AH58" s="106"/>
      <c r="AI58" s="87">
        <v>18120</v>
      </c>
      <c r="AJ58" s="87">
        <f t="shared" si="16"/>
        <v>18120</v>
      </c>
      <c r="AK58" s="87">
        <f t="shared" si="17"/>
        <v>18120</v>
      </c>
      <c r="AL58" s="87"/>
      <c r="AM58" s="106"/>
      <c r="AN58" s="106"/>
      <c r="AO58" s="106"/>
      <c r="AP58" s="88" t="s">
        <v>223</v>
      </c>
      <c r="AQ58" s="88" t="s">
        <v>224</v>
      </c>
      <c r="AR58" s="100"/>
      <c r="AS58" s="161">
        <f t="shared" si="2"/>
        <v>0</v>
      </c>
      <c r="AT58" s="161">
        <f t="shared" si="3"/>
        <v>0</v>
      </c>
    </row>
    <row r="59" spans="1:46" ht="94.5">
      <c r="A59" s="113" t="s">
        <v>285</v>
      </c>
      <c r="B59" s="113" t="s">
        <v>314</v>
      </c>
      <c r="C59" s="113" t="s">
        <v>329</v>
      </c>
      <c r="D59" s="105" t="s">
        <v>330</v>
      </c>
      <c r="E59" s="85">
        <f>SUM(L59,M59,N59,R59,S59,T59,X59,Y59,Z59,AD59,AE59,AF59)</f>
        <v>4</v>
      </c>
      <c r="F59" s="107" t="s">
        <v>168</v>
      </c>
      <c r="G59" s="105" t="s">
        <v>331</v>
      </c>
      <c r="H59" s="105" t="s">
        <v>332</v>
      </c>
      <c r="I59" s="47">
        <v>7</v>
      </c>
      <c r="J59" s="827"/>
      <c r="K59" s="47">
        <v>7</v>
      </c>
      <c r="L59" s="106"/>
      <c r="M59" s="106">
        <v>1</v>
      </c>
      <c r="N59" s="106"/>
      <c r="O59" s="106"/>
      <c r="P59" s="106">
        <v>2665</v>
      </c>
      <c r="Q59" s="106"/>
      <c r="R59" s="106">
        <v>1</v>
      </c>
      <c r="S59" s="106"/>
      <c r="T59" s="106"/>
      <c r="U59" s="106">
        <v>2665</v>
      </c>
      <c r="V59" s="106"/>
      <c r="W59" s="106"/>
      <c r="X59" s="106">
        <v>1</v>
      </c>
      <c r="Y59" s="106"/>
      <c r="Z59" s="106"/>
      <c r="AA59" s="106">
        <v>2665</v>
      </c>
      <c r="AB59" s="106"/>
      <c r="AC59" s="106"/>
      <c r="AD59" s="106">
        <v>1</v>
      </c>
      <c r="AE59" s="106"/>
      <c r="AF59" s="106"/>
      <c r="AG59" s="106">
        <v>2670</v>
      </c>
      <c r="AH59" s="106"/>
      <c r="AI59" s="106"/>
      <c r="AJ59" s="87">
        <f t="shared" si="16"/>
        <v>10665</v>
      </c>
      <c r="AK59" s="87">
        <f t="shared" si="17"/>
        <v>10665</v>
      </c>
      <c r="AL59" s="87"/>
      <c r="AM59" s="106"/>
      <c r="AN59" s="106"/>
      <c r="AO59" s="106"/>
      <c r="AP59" s="105" t="s">
        <v>223</v>
      </c>
      <c r="AQ59" s="105" t="s">
        <v>246</v>
      </c>
      <c r="AR59" s="100"/>
      <c r="AS59" s="161">
        <f t="shared" si="2"/>
        <v>0</v>
      </c>
      <c r="AT59" s="161">
        <f t="shared" si="3"/>
        <v>0</v>
      </c>
    </row>
    <row r="60" spans="1:46" ht="51" customHeight="1">
      <c r="A60" s="113" t="s">
        <v>285</v>
      </c>
      <c r="B60" s="113" t="s">
        <v>314</v>
      </c>
      <c r="C60" s="113" t="s">
        <v>333</v>
      </c>
      <c r="D60" s="105" t="s">
        <v>334</v>
      </c>
      <c r="E60" s="85">
        <f t="shared" ref="E60:E65" si="18">SUM(L60,M60,N60,R60,S60,T60,X60,Y60,Z60,AD60,AE60,AF60)</f>
        <v>1</v>
      </c>
      <c r="F60" s="107" t="s">
        <v>213</v>
      </c>
      <c r="G60" s="105" t="s">
        <v>335</v>
      </c>
      <c r="H60" s="105" t="s">
        <v>336</v>
      </c>
      <c r="I60" s="47">
        <v>13</v>
      </c>
      <c r="J60" s="827"/>
      <c r="K60" s="47">
        <v>13</v>
      </c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>
        <v>1</v>
      </c>
      <c r="AG60" s="106"/>
      <c r="AH60" s="106"/>
      <c r="AI60" s="87">
        <v>18120</v>
      </c>
      <c r="AJ60" s="87">
        <f t="shared" si="16"/>
        <v>18120</v>
      </c>
      <c r="AK60" s="87">
        <f t="shared" si="17"/>
        <v>18120</v>
      </c>
      <c r="AL60" s="87"/>
      <c r="AM60" s="106"/>
      <c r="AN60" s="106"/>
      <c r="AO60" s="106"/>
      <c r="AP60" s="105" t="s">
        <v>223</v>
      </c>
      <c r="AQ60" s="100" t="s">
        <v>224</v>
      </c>
      <c r="AR60" s="100"/>
      <c r="AS60" s="161">
        <f t="shared" si="2"/>
        <v>0</v>
      </c>
      <c r="AT60" s="161">
        <f t="shared" si="3"/>
        <v>0</v>
      </c>
    </row>
    <row r="61" spans="1:46" ht="63" customHeight="1">
      <c r="A61" s="113" t="s">
        <v>285</v>
      </c>
      <c r="B61" s="113" t="s">
        <v>314</v>
      </c>
      <c r="C61" s="113" t="s">
        <v>337</v>
      </c>
      <c r="D61" s="105" t="s">
        <v>338</v>
      </c>
      <c r="E61" s="85">
        <f t="shared" si="18"/>
        <v>4</v>
      </c>
      <c r="F61" s="107" t="s">
        <v>168</v>
      </c>
      <c r="G61" s="105" t="s">
        <v>339</v>
      </c>
      <c r="H61" s="105" t="s">
        <v>340</v>
      </c>
      <c r="I61" s="47">
        <v>7</v>
      </c>
      <c r="J61" s="827"/>
      <c r="K61" s="47">
        <v>7</v>
      </c>
      <c r="L61" s="106"/>
      <c r="M61" s="106">
        <v>1</v>
      </c>
      <c r="N61" s="106"/>
      <c r="O61" s="106"/>
      <c r="P61" s="106">
        <v>2665</v>
      </c>
      <c r="Q61" s="106"/>
      <c r="R61" s="106">
        <v>1</v>
      </c>
      <c r="S61" s="106"/>
      <c r="T61" s="106"/>
      <c r="U61" s="106">
        <v>2665</v>
      </c>
      <c r="V61" s="106"/>
      <c r="W61" s="106"/>
      <c r="X61" s="106">
        <v>1</v>
      </c>
      <c r="Y61" s="106"/>
      <c r="Z61" s="106"/>
      <c r="AA61" s="106">
        <v>2665</v>
      </c>
      <c r="AB61" s="106"/>
      <c r="AC61" s="106"/>
      <c r="AD61" s="106">
        <v>1</v>
      </c>
      <c r="AE61" s="106"/>
      <c r="AF61" s="106"/>
      <c r="AG61" s="106">
        <v>2670</v>
      </c>
      <c r="AH61" s="106"/>
      <c r="AI61" s="106"/>
      <c r="AJ61" s="87">
        <f t="shared" si="16"/>
        <v>10665</v>
      </c>
      <c r="AK61" s="87">
        <f t="shared" si="17"/>
        <v>10665</v>
      </c>
      <c r="AL61" s="87"/>
      <c r="AM61" s="106"/>
      <c r="AN61" s="106"/>
      <c r="AO61" s="106"/>
      <c r="AP61" s="105" t="s">
        <v>223</v>
      </c>
      <c r="AQ61" s="105" t="s">
        <v>246</v>
      </c>
      <c r="AR61" s="100"/>
      <c r="AS61" s="161">
        <f t="shared" si="2"/>
        <v>0</v>
      </c>
      <c r="AT61" s="161">
        <f t="shared" si="3"/>
        <v>0</v>
      </c>
    </row>
    <row r="62" spans="1:46" ht="78" customHeight="1">
      <c r="A62" s="113" t="s">
        <v>285</v>
      </c>
      <c r="B62" s="113" t="s">
        <v>314</v>
      </c>
      <c r="C62" s="113" t="s">
        <v>341</v>
      </c>
      <c r="D62" s="105" t="s">
        <v>342</v>
      </c>
      <c r="E62" s="85">
        <f t="shared" si="18"/>
        <v>1</v>
      </c>
      <c r="F62" s="107" t="s">
        <v>213</v>
      </c>
      <c r="G62" s="105" t="s">
        <v>343</v>
      </c>
      <c r="H62" s="105" t="s">
        <v>344</v>
      </c>
      <c r="I62" s="47">
        <v>13</v>
      </c>
      <c r="J62" s="827"/>
      <c r="K62" s="47">
        <v>13</v>
      </c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>
        <v>1</v>
      </c>
      <c r="AG62" s="106"/>
      <c r="AH62" s="106"/>
      <c r="AI62" s="87">
        <v>18120</v>
      </c>
      <c r="AJ62" s="87">
        <f t="shared" si="16"/>
        <v>18120</v>
      </c>
      <c r="AK62" s="87">
        <f t="shared" si="17"/>
        <v>18120</v>
      </c>
      <c r="AL62" s="87"/>
      <c r="AM62" s="106"/>
      <c r="AN62" s="106"/>
      <c r="AO62" s="106"/>
      <c r="AP62" s="105" t="s">
        <v>223</v>
      </c>
      <c r="AQ62" s="100" t="s">
        <v>224</v>
      </c>
      <c r="AR62" s="100"/>
      <c r="AS62" s="161">
        <f t="shared" si="2"/>
        <v>0</v>
      </c>
      <c r="AT62" s="161">
        <f t="shared" si="3"/>
        <v>0</v>
      </c>
    </row>
    <row r="63" spans="1:46" ht="102.75" customHeight="1">
      <c r="A63" s="113" t="s">
        <v>285</v>
      </c>
      <c r="B63" s="113" t="s">
        <v>314</v>
      </c>
      <c r="C63" s="113" t="s">
        <v>345</v>
      </c>
      <c r="D63" s="105" t="s">
        <v>346</v>
      </c>
      <c r="E63" s="85">
        <f t="shared" si="18"/>
        <v>3</v>
      </c>
      <c r="F63" s="107" t="s">
        <v>168</v>
      </c>
      <c r="G63" s="105" t="s">
        <v>347</v>
      </c>
      <c r="H63" s="105" t="s">
        <v>348</v>
      </c>
      <c r="I63" s="47">
        <v>7</v>
      </c>
      <c r="J63" s="827"/>
      <c r="K63" s="47">
        <v>7</v>
      </c>
      <c r="L63" s="106"/>
      <c r="M63" s="106"/>
      <c r="N63" s="106"/>
      <c r="O63" s="106"/>
      <c r="P63" s="106"/>
      <c r="Q63" s="106"/>
      <c r="R63" s="106">
        <v>1</v>
      </c>
      <c r="S63" s="106"/>
      <c r="T63" s="106"/>
      <c r="U63" s="106">
        <v>3550</v>
      </c>
      <c r="V63" s="106"/>
      <c r="W63" s="106"/>
      <c r="X63" s="106">
        <v>1</v>
      </c>
      <c r="Y63" s="106"/>
      <c r="Z63" s="106"/>
      <c r="AA63" s="106">
        <v>3550</v>
      </c>
      <c r="AB63" s="106"/>
      <c r="AC63" s="106"/>
      <c r="AD63" s="106">
        <v>1</v>
      </c>
      <c r="AE63" s="106"/>
      <c r="AF63" s="106"/>
      <c r="AG63" s="106">
        <v>3550</v>
      </c>
      <c r="AH63" s="106"/>
      <c r="AI63" s="106"/>
      <c r="AJ63" s="87">
        <f t="shared" si="16"/>
        <v>10650</v>
      </c>
      <c r="AK63" s="87">
        <f t="shared" si="17"/>
        <v>10650</v>
      </c>
      <c r="AL63" s="87"/>
      <c r="AM63" s="106"/>
      <c r="AN63" s="106"/>
      <c r="AO63" s="106"/>
      <c r="AP63" s="105" t="s">
        <v>223</v>
      </c>
      <c r="AQ63" s="105" t="s">
        <v>246</v>
      </c>
      <c r="AR63" s="100"/>
      <c r="AS63" s="161">
        <f t="shared" si="2"/>
        <v>0</v>
      </c>
      <c r="AT63" s="161">
        <f t="shared" si="3"/>
        <v>0</v>
      </c>
    </row>
    <row r="64" spans="1:46" ht="69" customHeight="1">
      <c r="A64" s="113" t="s">
        <v>285</v>
      </c>
      <c r="B64" s="113" t="s">
        <v>314</v>
      </c>
      <c r="C64" s="113" t="s">
        <v>349</v>
      </c>
      <c r="D64" s="105" t="s">
        <v>350</v>
      </c>
      <c r="E64" s="85">
        <f t="shared" si="18"/>
        <v>1</v>
      </c>
      <c r="F64" s="107" t="s">
        <v>213</v>
      </c>
      <c r="G64" s="105" t="s">
        <v>351</v>
      </c>
      <c r="H64" s="105" t="s">
        <v>352</v>
      </c>
      <c r="I64" s="47">
        <v>13</v>
      </c>
      <c r="J64" s="827"/>
      <c r="K64" s="47">
        <v>13</v>
      </c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>
        <v>1</v>
      </c>
      <c r="AG64" s="106"/>
      <c r="AH64" s="106"/>
      <c r="AI64" s="87">
        <v>18120</v>
      </c>
      <c r="AJ64" s="87">
        <f t="shared" si="16"/>
        <v>18120</v>
      </c>
      <c r="AK64" s="87">
        <f t="shared" si="17"/>
        <v>18120</v>
      </c>
      <c r="AL64" s="87"/>
      <c r="AM64" s="106"/>
      <c r="AN64" s="106"/>
      <c r="AO64" s="106"/>
      <c r="AP64" s="105" t="s">
        <v>223</v>
      </c>
      <c r="AQ64" s="100" t="s">
        <v>224</v>
      </c>
      <c r="AR64" s="100"/>
      <c r="AS64" s="161">
        <f t="shared" si="2"/>
        <v>0</v>
      </c>
      <c r="AT64" s="161">
        <f t="shared" si="3"/>
        <v>0</v>
      </c>
    </row>
    <row r="65" spans="1:46" ht="78" customHeight="1">
      <c r="A65" s="113" t="s">
        <v>285</v>
      </c>
      <c r="B65" s="113" t="s">
        <v>314</v>
      </c>
      <c r="C65" s="113" t="s">
        <v>353</v>
      </c>
      <c r="D65" s="105" t="s">
        <v>354</v>
      </c>
      <c r="E65" s="85">
        <f t="shared" si="18"/>
        <v>3</v>
      </c>
      <c r="F65" s="107" t="s">
        <v>168</v>
      </c>
      <c r="G65" s="105" t="s">
        <v>355</v>
      </c>
      <c r="H65" s="105" t="s">
        <v>356</v>
      </c>
      <c r="I65" s="47">
        <v>7</v>
      </c>
      <c r="J65" s="827"/>
      <c r="K65" s="47">
        <v>7</v>
      </c>
      <c r="L65" s="106"/>
      <c r="M65" s="106"/>
      <c r="N65" s="106"/>
      <c r="O65" s="106"/>
      <c r="P65" s="106"/>
      <c r="Q65" s="106"/>
      <c r="R65" s="106">
        <v>1</v>
      </c>
      <c r="S65" s="106"/>
      <c r="T65" s="106"/>
      <c r="U65" s="106">
        <v>3550</v>
      </c>
      <c r="V65" s="106"/>
      <c r="W65" s="106"/>
      <c r="X65" s="106">
        <v>1</v>
      </c>
      <c r="Y65" s="106"/>
      <c r="Z65" s="106"/>
      <c r="AA65" s="106">
        <v>3550</v>
      </c>
      <c r="AB65" s="106"/>
      <c r="AC65" s="106"/>
      <c r="AD65" s="106">
        <v>1</v>
      </c>
      <c r="AE65" s="106"/>
      <c r="AF65" s="106"/>
      <c r="AG65" s="106">
        <v>3550</v>
      </c>
      <c r="AH65" s="106"/>
      <c r="AI65" s="106"/>
      <c r="AJ65" s="87">
        <f t="shared" si="16"/>
        <v>10650</v>
      </c>
      <c r="AK65" s="87">
        <f t="shared" si="17"/>
        <v>10650</v>
      </c>
      <c r="AL65" s="87"/>
      <c r="AM65" s="106"/>
      <c r="AN65" s="106"/>
      <c r="AO65" s="106"/>
      <c r="AP65" s="105" t="s">
        <v>223</v>
      </c>
      <c r="AQ65" s="105" t="s">
        <v>246</v>
      </c>
      <c r="AR65" s="100"/>
      <c r="AS65" s="161">
        <f t="shared" si="2"/>
        <v>0</v>
      </c>
      <c r="AT65" s="161">
        <f t="shared" si="3"/>
        <v>0</v>
      </c>
    </row>
    <row r="66" spans="1:46" ht="47.25">
      <c r="A66" s="110" t="s">
        <v>285</v>
      </c>
      <c r="B66" s="110" t="s">
        <v>357</v>
      </c>
      <c r="C66" s="110" t="s">
        <v>358</v>
      </c>
      <c r="D66" s="111" t="s">
        <v>359</v>
      </c>
      <c r="E66" s="81"/>
      <c r="F66" s="81"/>
      <c r="G66" s="116"/>
      <c r="H66" s="116"/>
      <c r="I66" s="81">
        <v>20</v>
      </c>
      <c r="J66" s="82">
        <v>20</v>
      </c>
      <c r="K66" s="81"/>
      <c r="L66" s="84"/>
      <c r="M66" s="84"/>
      <c r="N66" s="84"/>
      <c r="O66" s="84">
        <f t="shared" ref="O66:P66" si="19">SUM(O67:O72)</f>
        <v>1515</v>
      </c>
      <c r="P66" s="84">
        <f t="shared" si="19"/>
        <v>1515</v>
      </c>
      <c r="Q66" s="84">
        <f>SUM(Q67:Q72)</f>
        <v>6060</v>
      </c>
      <c r="R66" s="84"/>
      <c r="S66" s="84"/>
      <c r="T66" s="84"/>
      <c r="U66" s="84">
        <f t="shared" ref="U66:W66" si="20">SUM(U67:U72)</f>
        <v>3325</v>
      </c>
      <c r="V66" s="84">
        <f t="shared" si="20"/>
        <v>10605</v>
      </c>
      <c r="W66" s="84">
        <f t="shared" si="20"/>
        <v>12120</v>
      </c>
      <c r="X66" s="84"/>
      <c r="Y66" s="84"/>
      <c r="Z66" s="84"/>
      <c r="AA66" s="84">
        <f t="shared" ref="AA66:AC66" si="21">SUM(AA67:AA72)</f>
        <v>1515</v>
      </c>
      <c r="AB66" s="84">
        <f t="shared" si="21"/>
        <v>1515</v>
      </c>
      <c r="AC66" s="84">
        <f t="shared" si="21"/>
        <v>30300</v>
      </c>
      <c r="AD66" s="84"/>
      <c r="AE66" s="84"/>
      <c r="AF66" s="84"/>
      <c r="AG66" s="84">
        <f t="shared" ref="AG66:AK66" si="22">SUM(AG67:AG72)</f>
        <v>1515</v>
      </c>
      <c r="AH66" s="84">
        <f t="shared" si="22"/>
        <v>1515</v>
      </c>
      <c r="AI66" s="84">
        <f t="shared" si="22"/>
        <v>21210</v>
      </c>
      <c r="AJ66" s="84">
        <f t="shared" si="22"/>
        <v>92710</v>
      </c>
      <c r="AK66" s="84">
        <f t="shared" si="22"/>
        <v>92710</v>
      </c>
      <c r="AL66" s="84"/>
      <c r="AM66" s="84"/>
      <c r="AN66" s="84"/>
      <c r="AO66" s="84"/>
      <c r="AP66" s="84"/>
      <c r="AQ66" s="111"/>
      <c r="AR66" s="111"/>
      <c r="AS66" s="161">
        <f t="shared" si="2"/>
        <v>0</v>
      </c>
      <c r="AT66" s="161">
        <f t="shared" si="3"/>
        <v>0</v>
      </c>
    </row>
    <row r="67" spans="1:46" ht="94.5" customHeight="1">
      <c r="A67" s="113" t="s">
        <v>285</v>
      </c>
      <c r="B67" s="113" t="s">
        <v>357</v>
      </c>
      <c r="C67" s="113" t="s">
        <v>360</v>
      </c>
      <c r="D67" s="105" t="s">
        <v>361</v>
      </c>
      <c r="E67" s="85">
        <f>SUM(L67,M67,N67,R67,S67,T67,X67,Y67,Z67,AD67,AE67,AF67)</f>
        <v>12</v>
      </c>
      <c r="F67" s="107" t="s">
        <v>168</v>
      </c>
      <c r="G67" s="105" t="s">
        <v>362</v>
      </c>
      <c r="H67" s="105" t="s">
        <v>363</v>
      </c>
      <c r="I67" s="47">
        <v>17</v>
      </c>
      <c r="J67" s="826"/>
      <c r="K67" s="47">
        <v>17</v>
      </c>
      <c r="L67" s="106">
        <v>1</v>
      </c>
      <c r="M67" s="106">
        <v>1</v>
      </c>
      <c r="N67" s="106">
        <v>1</v>
      </c>
      <c r="O67" s="106">
        <v>1515</v>
      </c>
      <c r="P67" s="106">
        <v>1515</v>
      </c>
      <c r="Q67" s="106">
        <v>1515</v>
      </c>
      <c r="R67" s="106">
        <v>1</v>
      </c>
      <c r="S67" s="106">
        <v>1</v>
      </c>
      <c r="T67" s="106">
        <v>1</v>
      </c>
      <c r="U67" s="106">
        <v>1515</v>
      </c>
      <c r="V67" s="106">
        <v>1515</v>
      </c>
      <c r="W67" s="106">
        <v>1515</v>
      </c>
      <c r="X67" s="106">
        <v>1</v>
      </c>
      <c r="Y67" s="106">
        <v>1</v>
      </c>
      <c r="Z67" s="106">
        <v>1</v>
      </c>
      <c r="AA67" s="106">
        <v>1515</v>
      </c>
      <c r="AB67" s="106">
        <v>1515</v>
      </c>
      <c r="AC67" s="106">
        <v>1515</v>
      </c>
      <c r="AD67" s="106">
        <v>1</v>
      </c>
      <c r="AE67" s="106">
        <v>1</v>
      </c>
      <c r="AF67" s="106">
        <v>1</v>
      </c>
      <c r="AG67" s="106">
        <v>1515</v>
      </c>
      <c r="AH67" s="106">
        <v>1515</v>
      </c>
      <c r="AI67" s="106">
        <v>1515</v>
      </c>
      <c r="AJ67" s="87">
        <f t="shared" ref="AJ67:AJ75" si="23">+O67+P67+Q67+U67+V67+W67+AA67+AB67+AC67+AG67+AH67+AI67</f>
        <v>18180</v>
      </c>
      <c r="AK67" s="87">
        <f t="shared" ref="AK67:AK75" si="24">+AJ67</f>
        <v>18180</v>
      </c>
      <c r="AL67" s="87"/>
      <c r="AM67" s="87"/>
      <c r="AN67" s="106"/>
      <c r="AO67" s="106"/>
      <c r="AP67" s="88" t="s">
        <v>101</v>
      </c>
      <c r="AQ67" s="88" t="s">
        <v>170</v>
      </c>
      <c r="AR67" s="100"/>
      <c r="AS67" s="161">
        <f t="shared" si="2"/>
        <v>0</v>
      </c>
      <c r="AT67" s="161">
        <f t="shared" si="3"/>
        <v>0</v>
      </c>
    </row>
    <row r="68" spans="1:46" ht="47.25">
      <c r="A68" s="113" t="s">
        <v>285</v>
      </c>
      <c r="B68" s="113" t="s">
        <v>357</v>
      </c>
      <c r="C68" s="113" t="s">
        <v>364</v>
      </c>
      <c r="D68" s="105" t="s">
        <v>365</v>
      </c>
      <c r="E68" s="85">
        <f>SUM(L68,M68,N68,R68,S68,T68,X68,Y68,Z68,AD68,AE68,AF68)</f>
        <v>4</v>
      </c>
      <c r="F68" s="107" t="s">
        <v>366</v>
      </c>
      <c r="G68" s="105" t="s">
        <v>367</v>
      </c>
      <c r="H68" s="105" t="s">
        <v>368</v>
      </c>
      <c r="I68" s="47">
        <v>17</v>
      </c>
      <c r="J68" s="827"/>
      <c r="K68" s="47">
        <v>17</v>
      </c>
      <c r="L68" s="106"/>
      <c r="M68" s="106"/>
      <c r="N68" s="106">
        <v>1</v>
      </c>
      <c r="O68" s="106"/>
      <c r="P68" s="106"/>
      <c r="Q68" s="106">
        <v>4545</v>
      </c>
      <c r="R68" s="106"/>
      <c r="S68" s="106"/>
      <c r="T68" s="106">
        <v>1</v>
      </c>
      <c r="U68" s="106"/>
      <c r="V68" s="106"/>
      <c r="W68" s="106">
        <v>4545</v>
      </c>
      <c r="X68" s="106"/>
      <c r="Y68" s="106"/>
      <c r="Z68" s="106">
        <v>1</v>
      </c>
      <c r="AA68" s="106"/>
      <c r="AB68" s="106"/>
      <c r="AC68" s="106">
        <v>4545</v>
      </c>
      <c r="AD68" s="106"/>
      <c r="AE68" s="106"/>
      <c r="AF68" s="106">
        <v>1</v>
      </c>
      <c r="AG68" s="106"/>
      <c r="AH68" s="106"/>
      <c r="AI68" s="106">
        <v>4545</v>
      </c>
      <c r="AJ68" s="87">
        <f t="shared" si="23"/>
        <v>18180</v>
      </c>
      <c r="AK68" s="87">
        <f t="shared" si="24"/>
        <v>18180</v>
      </c>
      <c r="AL68" s="87"/>
      <c r="AM68" s="87"/>
      <c r="AN68" s="106"/>
      <c r="AO68" s="106"/>
      <c r="AP68" s="88" t="s">
        <v>101</v>
      </c>
      <c r="AQ68" s="88" t="s">
        <v>170</v>
      </c>
      <c r="AR68" s="100"/>
      <c r="AS68" s="161">
        <f t="shared" si="2"/>
        <v>0</v>
      </c>
      <c r="AT68" s="161">
        <f t="shared" si="3"/>
        <v>0</v>
      </c>
    </row>
    <row r="69" spans="1:46" ht="141.75">
      <c r="A69" s="113" t="s">
        <v>285</v>
      </c>
      <c r="B69" s="113" t="s">
        <v>357</v>
      </c>
      <c r="C69" s="113" t="s">
        <v>369</v>
      </c>
      <c r="D69" s="105" t="s">
        <v>370</v>
      </c>
      <c r="E69" s="85">
        <f>SUM(L69,M69,N69,R69,S69,T69,X69,Y69,Z69,AD69,AE69,AF69)</f>
        <v>3</v>
      </c>
      <c r="F69" s="107" t="s">
        <v>168</v>
      </c>
      <c r="G69" s="105" t="s">
        <v>371</v>
      </c>
      <c r="H69" s="105" t="s">
        <v>372</v>
      </c>
      <c r="I69" s="47">
        <v>17</v>
      </c>
      <c r="J69" s="827"/>
      <c r="K69" s="47">
        <v>17</v>
      </c>
      <c r="L69" s="106"/>
      <c r="M69" s="106"/>
      <c r="N69" s="106"/>
      <c r="O69" s="106"/>
      <c r="P69" s="106"/>
      <c r="Q69" s="106"/>
      <c r="R69" s="106"/>
      <c r="S69" s="106"/>
      <c r="T69" s="106">
        <v>1</v>
      </c>
      <c r="U69" s="106"/>
      <c r="V69" s="87"/>
      <c r="W69" s="87">
        <v>6060</v>
      </c>
      <c r="X69" s="106"/>
      <c r="Y69" s="106"/>
      <c r="Z69" s="106">
        <v>1</v>
      </c>
      <c r="AA69" s="106"/>
      <c r="AB69" s="106"/>
      <c r="AC69" s="87">
        <v>6060</v>
      </c>
      <c r="AD69" s="106"/>
      <c r="AE69" s="106"/>
      <c r="AF69" s="106">
        <v>1</v>
      </c>
      <c r="AG69" s="106"/>
      <c r="AH69" s="106"/>
      <c r="AI69" s="87">
        <v>6060</v>
      </c>
      <c r="AJ69" s="87">
        <f t="shared" si="23"/>
        <v>18180</v>
      </c>
      <c r="AK69" s="87">
        <f t="shared" si="24"/>
        <v>18180</v>
      </c>
      <c r="AL69" s="87"/>
      <c r="AM69" s="87"/>
      <c r="AN69" s="106"/>
      <c r="AO69" s="106"/>
      <c r="AP69" s="88" t="s">
        <v>101</v>
      </c>
      <c r="AQ69" s="88" t="s">
        <v>170</v>
      </c>
      <c r="AR69" s="100"/>
      <c r="AS69" s="161">
        <f t="shared" si="2"/>
        <v>0</v>
      </c>
      <c r="AT69" s="161">
        <f t="shared" si="3"/>
        <v>0</v>
      </c>
    </row>
    <row r="70" spans="1:46" ht="44.25" customHeight="1">
      <c r="A70" s="113" t="s">
        <v>285</v>
      </c>
      <c r="B70" s="113" t="s">
        <v>357</v>
      </c>
      <c r="C70" s="113" t="s">
        <v>373</v>
      </c>
      <c r="D70" s="105" t="s">
        <v>374</v>
      </c>
      <c r="E70" s="85">
        <f>SUM(L70,M70,N70,R70,S70,T70,X70,Y70,Z70,AD70,AE70,AF70)</f>
        <v>2</v>
      </c>
      <c r="F70" s="107" t="s">
        <v>375</v>
      </c>
      <c r="G70" s="105" t="s">
        <v>376</v>
      </c>
      <c r="H70" s="105" t="s">
        <v>377</v>
      </c>
      <c r="I70" s="47">
        <v>17</v>
      </c>
      <c r="J70" s="828"/>
      <c r="K70" s="47">
        <v>17</v>
      </c>
      <c r="L70" s="106"/>
      <c r="M70" s="106"/>
      <c r="N70" s="106"/>
      <c r="O70" s="106"/>
      <c r="P70" s="106"/>
      <c r="Q70" s="106"/>
      <c r="R70" s="106"/>
      <c r="S70" s="106">
        <v>1</v>
      </c>
      <c r="T70" s="106"/>
      <c r="U70" s="106"/>
      <c r="V70" s="87">
        <v>9090</v>
      </c>
      <c r="W70" s="106"/>
      <c r="X70" s="106"/>
      <c r="Y70" s="106"/>
      <c r="Z70" s="106">
        <v>1</v>
      </c>
      <c r="AA70" s="106"/>
      <c r="AB70" s="106"/>
      <c r="AC70" s="87">
        <v>9090</v>
      </c>
      <c r="AD70" s="106"/>
      <c r="AE70" s="106"/>
      <c r="AF70" s="106"/>
      <c r="AG70" s="106"/>
      <c r="AH70" s="106"/>
      <c r="AI70" s="106"/>
      <c r="AJ70" s="87">
        <f t="shared" si="23"/>
        <v>18180</v>
      </c>
      <c r="AK70" s="87">
        <f t="shared" si="24"/>
        <v>18180</v>
      </c>
      <c r="AL70" s="87"/>
      <c r="AM70" s="87"/>
      <c r="AN70" s="106"/>
      <c r="AO70" s="106"/>
      <c r="AP70" s="88" t="s">
        <v>101</v>
      </c>
      <c r="AQ70" s="88" t="s">
        <v>170</v>
      </c>
      <c r="AR70" s="100"/>
      <c r="AS70" s="161">
        <f t="shared" si="2"/>
        <v>0</v>
      </c>
      <c r="AT70" s="161">
        <f t="shared" si="3"/>
        <v>0</v>
      </c>
    </row>
    <row r="71" spans="1:46" ht="94.5">
      <c r="A71" s="113" t="s">
        <v>285</v>
      </c>
      <c r="B71" s="113" t="s">
        <v>357</v>
      </c>
      <c r="C71" s="113" t="s">
        <v>378</v>
      </c>
      <c r="D71" s="105" t="s">
        <v>379</v>
      </c>
      <c r="E71" s="85">
        <f t="shared" ref="E71:E75" si="25">SUM(L71,M71,N71,R71,S71,T71,X71,Y71,Z71,AD71,AE71,AF71)</f>
        <v>2</v>
      </c>
      <c r="F71" s="107" t="s">
        <v>380</v>
      </c>
      <c r="G71" s="105" t="s">
        <v>381</v>
      </c>
      <c r="H71" s="105" t="s">
        <v>382</v>
      </c>
      <c r="I71" s="47">
        <v>16</v>
      </c>
      <c r="J71" s="114"/>
      <c r="K71" s="47">
        <v>16</v>
      </c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87"/>
      <c r="W71" s="106"/>
      <c r="X71" s="106"/>
      <c r="Y71" s="106"/>
      <c r="Z71" s="106">
        <v>1</v>
      </c>
      <c r="AA71" s="106"/>
      <c r="AB71" s="106"/>
      <c r="AC71" s="87">
        <v>9090</v>
      </c>
      <c r="AD71" s="106"/>
      <c r="AE71" s="106"/>
      <c r="AF71" s="106">
        <v>1</v>
      </c>
      <c r="AG71" s="106"/>
      <c r="AH71" s="106"/>
      <c r="AI71" s="87">
        <v>9090</v>
      </c>
      <c r="AJ71" s="87">
        <f t="shared" si="23"/>
        <v>18180</v>
      </c>
      <c r="AK71" s="87">
        <f t="shared" si="24"/>
        <v>18180</v>
      </c>
      <c r="AL71" s="87"/>
      <c r="AM71" s="87"/>
      <c r="AN71" s="106"/>
      <c r="AO71" s="106"/>
      <c r="AP71" s="88" t="s">
        <v>101</v>
      </c>
      <c r="AQ71" s="88" t="s">
        <v>170</v>
      </c>
      <c r="AR71" s="100"/>
      <c r="AS71" s="161">
        <f t="shared" si="2"/>
        <v>0</v>
      </c>
      <c r="AT71" s="161">
        <f t="shared" si="3"/>
        <v>0</v>
      </c>
    </row>
    <row r="72" spans="1:46" ht="47.25">
      <c r="A72" s="113" t="s">
        <v>285</v>
      </c>
      <c r="B72" s="113" t="s">
        <v>357</v>
      </c>
      <c r="C72" s="113" t="s">
        <v>383</v>
      </c>
      <c r="D72" s="105" t="s">
        <v>384</v>
      </c>
      <c r="E72" s="85">
        <f t="shared" si="25"/>
        <v>1</v>
      </c>
      <c r="F72" s="107" t="s">
        <v>171</v>
      </c>
      <c r="G72" s="105" t="s">
        <v>385</v>
      </c>
      <c r="H72" s="105" t="s">
        <v>386</v>
      </c>
      <c r="I72" s="47">
        <v>2</v>
      </c>
      <c r="J72" s="114"/>
      <c r="K72" s="47">
        <v>2</v>
      </c>
      <c r="L72" s="106"/>
      <c r="M72" s="106"/>
      <c r="N72" s="106"/>
      <c r="O72" s="106"/>
      <c r="P72" s="106"/>
      <c r="Q72" s="106"/>
      <c r="R72" s="106">
        <v>1</v>
      </c>
      <c r="S72" s="106"/>
      <c r="T72" s="106"/>
      <c r="U72" s="106">
        <v>1810</v>
      </c>
      <c r="V72" s="87"/>
      <c r="W72" s="106"/>
      <c r="X72" s="106"/>
      <c r="Y72" s="106"/>
      <c r="Z72" s="106"/>
      <c r="AA72" s="106"/>
      <c r="AB72" s="106"/>
      <c r="AC72" s="87"/>
      <c r="AD72" s="106"/>
      <c r="AE72" s="106"/>
      <c r="AF72" s="106"/>
      <c r="AG72" s="106"/>
      <c r="AH72" s="106"/>
      <c r="AI72" s="106"/>
      <c r="AJ72" s="87">
        <f t="shared" si="23"/>
        <v>1810</v>
      </c>
      <c r="AK72" s="87">
        <f t="shared" si="24"/>
        <v>1810</v>
      </c>
      <c r="AL72" s="87"/>
      <c r="AM72" s="87"/>
      <c r="AN72" s="106"/>
      <c r="AO72" s="106"/>
      <c r="AP72" s="88" t="s">
        <v>101</v>
      </c>
      <c r="AQ72" s="88" t="s">
        <v>170</v>
      </c>
      <c r="AR72" s="100"/>
      <c r="AS72" s="161">
        <f t="shared" si="2"/>
        <v>0</v>
      </c>
      <c r="AT72" s="161">
        <f t="shared" si="3"/>
        <v>0</v>
      </c>
    </row>
    <row r="73" spans="1:46" ht="94.5">
      <c r="A73" s="113" t="s">
        <v>285</v>
      </c>
      <c r="B73" s="113" t="s">
        <v>357</v>
      </c>
      <c r="C73" s="113" t="s">
        <v>387</v>
      </c>
      <c r="D73" s="105" t="s">
        <v>388</v>
      </c>
      <c r="E73" s="85">
        <f t="shared" si="25"/>
        <v>1</v>
      </c>
      <c r="F73" s="107" t="s">
        <v>181</v>
      </c>
      <c r="G73" s="105" t="s">
        <v>389</v>
      </c>
      <c r="H73" s="105" t="s">
        <v>390</v>
      </c>
      <c r="I73" s="47">
        <v>2</v>
      </c>
      <c r="J73" s="114"/>
      <c r="K73" s="47">
        <v>2</v>
      </c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87"/>
      <c r="W73" s="106"/>
      <c r="X73" s="106"/>
      <c r="Y73" s="106"/>
      <c r="Z73" s="106"/>
      <c r="AA73" s="106"/>
      <c r="AB73" s="106"/>
      <c r="AC73" s="87"/>
      <c r="AD73" s="106"/>
      <c r="AE73" s="106">
        <v>1</v>
      </c>
      <c r="AF73" s="106"/>
      <c r="AG73" s="106"/>
      <c r="AH73" s="106">
        <v>1820</v>
      </c>
      <c r="AI73" s="106"/>
      <c r="AJ73" s="87">
        <f t="shared" si="23"/>
        <v>1820</v>
      </c>
      <c r="AK73" s="87">
        <f t="shared" si="24"/>
        <v>1820</v>
      </c>
      <c r="AL73" s="87"/>
      <c r="AM73" s="87"/>
      <c r="AN73" s="106"/>
      <c r="AO73" s="106"/>
      <c r="AP73" s="88" t="s">
        <v>101</v>
      </c>
      <c r="AQ73" s="88" t="s">
        <v>170</v>
      </c>
      <c r="AR73" s="100"/>
      <c r="AS73" s="161">
        <f t="shared" si="2"/>
        <v>0</v>
      </c>
      <c r="AT73" s="161">
        <f t="shared" si="3"/>
        <v>0</v>
      </c>
    </row>
    <row r="74" spans="1:46" ht="63">
      <c r="A74" s="113" t="s">
        <v>285</v>
      </c>
      <c r="B74" s="113" t="s">
        <v>357</v>
      </c>
      <c r="C74" s="113" t="s">
        <v>391</v>
      </c>
      <c r="D74" s="105" t="s">
        <v>392</v>
      </c>
      <c r="E74" s="85">
        <f t="shared" si="25"/>
        <v>4</v>
      </c>
      <c r="F74" s="107" t="s">
        <v>168</v>
      </c>
      <c r="G74" s="105" t="s">
        <v>393</v>
      </c>
      <c r="H74" s="105" t="s">
        <v>394</v>
      </c>
      <c r="I74" s="47">
        <v>6</v>
      </c>
      <c r="J74" s="114"/>
      <c r="K74" s="47">
        <v>6</v>
      </c>
      <c r="L74" s="106"/>
      <c r="M74" s="106"/>
      <c r="N74" s="106">
        <v>1</v>
      </c>
      <c r="O74" s="106"/>
      <c r="P74" s="106"/>
      <c r="Q74" s="106">
        <v>1820</v>
      </c>
      <c r="R74" s="106"/>
      <c r="S74" s="106"/>
      <c r="T74" s="106">
        <v>1</v>
      </c>
      <c r="U74" s="106"/>
      <c r="V74" s="87"/>
      <c r="W74" s="106">
        <v>1820</v>
      </c>
      <c r="X74" s="106"/>
      <c r="Y74" s="106"/>
      <c r="Z74" s="106">
        <v>1</v>
      </c>
      <c r="AA74" s="106"/>
      <c r="AB74" s="106"/>
      <c r="AC74" s="106">
        <v>1820</v>
      </c>
      <c r="AD74" s="106"/>
      <c r="AE74" s="106"/>
      <c r="AF74" s="106">
        <v>1</v>
      </c>
      <c r="AG74" s="106"/>
      <c r="AH74" s="106"/>
      <c r="AI74" s="106">
        <v>1820</v>
      </c>
      <c r="AJ74" s="87">
        <f t="shared" si="23"/>
        <v>7280</v>
      </c>
      <c r="AK74" s="87">
        <f t="shared" si="24"/>
        <v>7280</v>
      </c>
      <c r="AL74" s="87"/>
      <c r="AM74" s="87"/>
      <c r="AN74" s="106"/>
      <c r="AO74" s="106"/>
      <c r="AP74" s="88" t="s">
        <v>101</v>
      </c>
      <c r="AQ74" s="88" t="s">
        <v>170</v>
      </c>
      <c r="AR74" s="100"/>
      <c r="AS74" s="161">
        <f t="shared" si="2"/>
        <v>0</v>
      </c>
      <c r="AT74" s="161">
        <f t="shared" si="3"/>
        <v>0</v>
      </c>
    </row>
    <row r="75" spans="1:46" ht="110.25">
      <c r="A75" s="113" t="s">
        <v>285</v>
      </c>
      <c r="B75" s="113" t="s">
        <v>357</v>
      </c>
      <c r="C75" s="113" t="s">
        <v>395</v>
      </c>
      <c r="D75" s="105" t="s">
        <v>396</v>
      </c>
      <c r="E75" s="85">
        <f t="shared" si="25"/>
        <v>4</v>
      </c>
      <c r="F75" s="107" t="s">
        <v>168</v>
      </c>
      <c r="G75" s="105" t="s">
        <v>397</v>
      </c>
      <c r="H75" s="105" t="s">
        <v>394</v>
      </c>
      <c r="I75" s="47">
        <v>6</v>
      </c>
      <c r="J75" s="114"/>
      <c r="K75" s="47">
        <v>6</v>
      </c>
      <c r="L75" s="106"/>
      <c r="M75" s="106"/>
      <c r="N75" s="106">
        <v>1</v>
      </c>
      <c r="O75" s="106"/>
      <c r="P75" s="106"/>
      <c r="Q75" s="106">
        <v>1820</v>
      </c>
      <c r="R75" s="106"/>
      <c r="S75" s="106"/>
      <c r="T75" s="106">
        <v>1</v>
      </c>
      <c r="U75" s="106"/>
      <c r="V75" s="87"/>
      <c r="W75" s="106">
        <v>1820</v>
      </c>
      <c r="X75" s="106"/>
      <c r="Y75" s="106"/>
      <c r="Z75" s="106">
        <v>1</v>
      </c>
      <c r="AA75" s="106"/>
      <c r="AB75" s="106"/>
      <c r="AC75" s="106">
        <v>1820</v>
      </c>
      <c r="AD75" s="106"/>
      <c r="AE75" s="106"/>
      <c r="AF75" s="106">
        <v>1</v>
      </c>
      <c r="AG75" s="106"/>
      <c r="AH75" s="106"/>
      <c r="AI75" s="106">
        <v>1820</v>
      </c>
      <c r="AJ75" s="87">
        <f t="shared" si="23"/>
        <v>7280</v>
      </c>
      <c r="AK75" s="87">
        <f t="shared" si="24"/>
        <v>7280</v>
      </c>
      <c r="AL75" s="87"/>
      <c r="AM75" s="87"/>
      <c r="AN75" s="106"/>
      <c r="AO75" s="106"/>
      <c r="AP75" s="88" t="s">
        <v>101</v>
      </c>
      <c r="AQ75" s="88" t="s">
        <v>170</v>
      </c>
      <c r="AR75" s="100"/>
      <c r="AS75" s="161">
        <f t="shared" ref="AS75:AS76" si="26">AJ75-(O75+P75+Q75+U75+V75+W75+AA75+AB75+AC75+AG75+AH75+AI75)</f>
        <v>0</v>
      </c>
      <c r="AT75" s="161">
        <f t="shared" ref="AT75:AT76" si="27">AJ75-(AK75+AL75+AM75+AN75+AO75)</f>
        <v>0</v>
      </c>
    </row>
    <row r="76" spans="1:46" ht="15.75">
      <c r="A76" s="117"/>
      <c r="B76" s="117"/>
      <c r="C76" s="117"/>
      <c r="D76" s="117"/>
      <c r="E76" s="117"/>
      <c r="F76" s="117"/>
      <c r="G76" s="117"/>
      <c r="H76" s="117"/>
      <c r="I76" s="118">
        <f>I10+I13+I16+I22+I28+I44+I47+I55+I66</f>
        <v>100</v>
      </c>
      <c r="J76" s="118">
        <f>J10+J13+J16+J22+J28+J44+J47+J55+J66</f>
        <v>100</v>
      </c>
      <c r="K76" s="119"/>
      <c r="L76" s="120"/>
      <c r="M76" s="120"/>
      <c r="N76" s="120"/>
      <c r="O76" s="121">
        <f>O10+O13+O16+O22+O28+O44+O47+O55+O66</f>
        <v>9785</v>
      </c>
      <c r="P76" s="121">
        <f>P10+P13+P16+P22+P28+P44+P47+P55+P66</f>
        <v>19305</v>
      </c>
      <c r="Q76" s="121">
        <f>Q10+Q13+Q16+Q22+Q28+Q44+Q47+Q55+Q66</f>
        <v>17535</v>
      </c>
      <c r="R76" s="122"/>
      <c r="S76" s="122"/>
      <c r="T76" s="122"/>
      <c r="U76" s="121">
        <f>U10+U13+U16+U22+U28+U44+U47+U55+U66</f>
        <v>43500</v>
      </c>
      <c r="V76" s="121">
        <f>V10+V13+V16+V22+V28+V44+V47+V55+V66</f>
        <v>17815</v>
      </c>
      <c r="W76" s="121">
        <f>W10+W13+W16+W22+W28+W44+W47+W55+W66</f>
        <v>101740</v>
      </c>
      <c r="X76" s="120"/>
      <c r="Y76" s="120"/>
      <c r="Z76" s="120"/>
      <c r="AA76" s="121">
        <f>AA10+AA13+AA16+AA22+AA28+AA44+AA47+AA55+AA66</f>
        <v>31440</v>
      </c>
      <c r="AB76" s="121">
        <f>AB10+AB13+AB16+AB22+AB28+AB44+AB47+AB55+AB66</f>
        <v>11265</v>
      </c>
      <c r="AC76" s="121">
        <f>AC10+AC13+AC16+AC22+AC28+AC44+AC47+AC55+AC66</f>
        <v>70170</v>
      </c>
      <c r="AD76" s="120"/>
      <c r="AE76" s="120"/>
      <c r="AF76" s="120"/>
      <c r="AG76" s="121">
        <f>AG10+AG13+AG16+AG22+AG28+AG44+AG47+AG55+AG66</f>
        <v>24105</v>
      </c>
      <c r="AH76" s="121">
        <f>AH10+AH13+AH16+AH22+AH28+AH44+AH47+AH55+AH66</f>
        <v>10020</v>
      </c>
      <c r="AI76" s="121">
        <f>AI10+AI13+AI16+AI22+AI28+AI44+AI47+AI55+AI66</f>
        <v>172385</v>
      </c>
      <c r="AJ76" s="121">
        <f>AJ10+AJ13+AJ16+AJ22+AJ28+AJ44+AJ47+AJ55+AJ66</f>
        <v>529065</v>
      </c>
      <c r="AK76" s="121">
        <f>AK10+AK13+AK16+AK22+AK28+AK44+AK47+AK55+AK66</f>
        <v>529065</v>
      </c>
      <c r="AL76" s="120"/>
      <c r="AM76" s="120"/>
      <c r="AN76" s="120"/>
      <c r="AO76" s="120"/>
      <c r="AP76" s="117"/>
      <c r="AQ76" s="117"/>
      <c r="AR76" s="117"/>
      <c r="AS76" s="161">
        <f t="shared" si="26"/>
        <v>0</v>
      </c>
      <c r="AT76" s="161">
        <f t="shared" si="27"/>
        <v>0</v>
      </c>
    </row>
    <row r="77" spans="1:46" ht="15.75">
      <c r="AJ77" s="87"/>
      <c r="AK77" s="123">
        <v>545445</v>
      </c>
    </row>
    <row r="78" spans="1:46">
      <c r="AK78" s="123">
        <f>+AK76-AK77</f>
        <v>-16380</v>
      </c>
    </row>
  </sheetData>
  <autoFilter ref="A6:AR77">
    <filterColumn colId="0" showButton="0"/>
    <filterColumn colId="1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6" showButton="0"/>
    <filterColumn colId="37" showButton="0"/>
    <filterColumn colId="38" showButton="0"/>
    <filterColumn colId="39" showButton="0"/>
  </autoFilter>
  <mergeCells count="108">
    <mergeCell ref="AP6:AP9"/>
    <mergeCell ref="AQ6:AQ9"/>
    <mergeCell ref="AR6:AR9"/>
    <mergeCell ref="AJ7:AJ9"/>
    <mergeCell ref="AK7:AK9"/>
    <mergeCell ref="AL7:AL9"/>
    <mergeCell ref="AM7:AM9"/>
    <mergeCell ref="A1:AR1"/>
    <mergeCell ref="A2:AR2"/>
    <mergeCell ref="A6:C6"/>
    <mergeCell ref="D6:D9"/>
    <mergeCell ref="E6:E9"/>
    <mergeCell ref="F6:F9"/>
    <mergeCell ref="G6:G9"/>
    <mergeCell ref="H6:H9"/>
    <mergeCell ref="I6:I9"/>
    <mergeCell ref="J6:J9"/>
    <mergeCell ref="A7:A9"/>
    <mergeCell ref="B7:B9"/>
    <mergeCell ref="C7:C9"/>
    <mergeCell ref="L7:Q7"/>
    <mergeCell ref="R7:W7"/>
    <mergeCell ref="X7:AC7"/>
    <mergeCell ref="AD7:AI7"/>
    <mergeCell ref="K6:K9"/>
    <mergeCell ref="L6:AJ6"/>
    <mergeCell ref="AN7:AN9"/>
    <mergeCell ref="AO7:AO9"/>
    <mergeCell ref="L8:N8"/>
    <mergeCell ref="O8:Q8"/>
    <mergeCell ref="R8:T8"/>
    <mergeCell ref="U8:W8"/>
    <mergeCell ref="X8:Z8"/>
    <mergeCell ref="AA8:AC8"/>
    <mergeCell ref="AD8:AF8"/>
    <mergeCell ref="AG8:AI8"/>
    <mergeCell ref="AK6:AO6"/>
    <mergeCell ref="K11:K12"/>
    <mergeCell ref="A14:A15"/>
    <mergeCell ref="B14:B15"/>
    <mergeCell ref="C14:C15"/>
    <mergeCell ref="D14:D15"/>
    <mergeCell ref="I14:I15"/>
    <mergeCell ref="J14:J15"/>
    <mergeCell ref="K14:K15"/>
    <mergeCell ref="A11:A12"/>
    <mergeCell ref="B11:B12"/>
    <mergeCell ref="C11:C12"/>
    <mergeCell ref="D11:D12"/>
    <mergeCell ref="I11:I12"/>
    <mergeCell ref="J11:J12"/>
    <mergeCell ref="K17:K21"/>
    <mergeCell ref="G19:G21"/>
    <mergeCell ref="H19:H21"/>
    <mergeCell ref="A23:A27"/>
    <mergeCell ref="B23:B27"/>
    <mergeCell ref="C23:C27"/>
    <mergeCell ref="D23:D27"/>
    <mergeCell ref="I23:I27"/>
    <mergeCell ref="J23:J27"/>
    <mergeCell ref="K23:K27"/>
    <mergeCell ref="A17:A21"/>
    <mergeCell ref="B17:B21"/>
    <mergeCell ref="C17:C21"/>
    <mergeCell ref="D17:D21"/>
    <mergeCell ref="I17:I21"/>
    <mergeCell ref="J17:J21"/>
    <mergeCell ref="K29:K31"/>
    <mergeCell ref="A32:A33"/>
    <mergeCell ref="B32:B33"/>
    <mergeCell ref="C32:C33"/>
    <mergeCell ref="D32:D33"/>
    <mergeCell ref="I32:I33"/>
    <mergeCell ref="K32:K33"/>
    <mergeCell ref="A29:A31"/>
    <mergeCell ref="B29:B31"/>
    <mergeCell ref="C29:C31"/>
    <mergeCell ref="D29:D31"/>
    <mergeCell ref="I29:I31"/>
    <mergeCell ref="J29:J43"/>
    <mergeCell ref="A36:A38"/>
    <mergeCell ref="B36:B38"/>
    <mergeCell ref="C36:C38"/>
    <mergeCell ref="D36:D38"/>
    <mergeCell ref="J45:J46"/>
    <mergeCell ref="A48:A49"/>
    <mergeCell ref="B48:B49"/>
    <mergeCell ref="C48:C49"/>
    <mergeCell ref="D48:D49"/>
    <mergeCell ref="I48:I49"/>
    <mergeCell ref="J48:J53"/>
    <mergeCell ref="I36:I38"/>
    <mergeCell ref="K36:K38"/>
    <mergeCell ref="A41:A42"/>
    <mergeCell ref="B41:B42"/>
    <mergeCell ref="C41:C42"/>
    <mergeCell ref="D41:D42"/>
    <mergeCell ref="I41:I42"/>
    <mergeCell ref="K41:K42"/>
    <mergeCell ref="J56:J65"/>
    <mergeCell ref="J67:J70"/>
    <mergeCell ref="K48:K49"/>
    <mergeCell ref="A50:A52"/>
    <mergeCell ref="B50:B52"/>
    <mergeCell ref="C50:C52"/>
    <mergeCell ref="D50:D52"/>
    <mergeCell ref="I50:I52"/>
    <mergeCell ref="K50:K52"/>
  </mergeCells>
  <printOptions horizontalCentered="1"/>
  <pageMargins left="0.98425196850393704" right="0.78740157480314965" top="0.98425196850393704" bottom="0.78740157480314965" header="0.31496062992125984" footer="0.31496062992125984"/>
  <pageSetup paperSize="5" scale="40" fitToHeight="2" orientation="landscape" r:id="rId1"/>
  <headerFooter alignWithMargins="0">
    <oddFooter>Página &amp;P</oddFooter>
  </headerFooter>
  <rowBreaks count="2" manualBreakCount="2">
    <brk id="28" max="43" man="1"/>
    <brk id="49" max="4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FF00"/>
  </sheetPr>
  <dimension ref="A1:BD44"/>
  <sheetViews>
    <sheetView view="pageBreakPreview" topLeftCell="X25" zoomScale="85" zoomScaleNormal="110" zoomScaleSheetLayoutView="85" workbookViewId="0">
      <selection activeCell="AQ30" sqref="AQ30"/>
    </sheetView>
  </sheetViews>
  <sheetFormatPr baseColWidth="10" defaultRowHeight="15.75"/>
  <cols>
    <col min="1" max="1" width="6" style="1" bestFit="1" customWidth="1"/>
    <col min="2" max="2" width="11.85546875" style="1" bestFit="1" customWidth="1"/>
    <col min="3" max="3" width="19.5703125" style="1" customWidth="1"/>
    <col min="4" max="4" width="28.42578125" style="1" customWidth="1"/>
    <col min="5" max="5" width="11.28515625" style="1" bestFit="1" customWidth="1"/>
    <col min="6" max="6" width="13.5703125" style="63" customWidth="1"/>
    <col min="7" max="7" width="20.85546875" style="64" customWidth="1"/>
    <col min="8" max="8" width="16" style="64" customWidth="1"/>
    <col min="9" max="9" width="12" style="1" customWidth="1"/>
    <col min="10" max="10" width="12.85546875" style="1" customWidth="1"/>
    <col min="11" max="11" width="12.42578125" style="1" customWidth="1"/>
    <col min="12" max="12" width="4.7109375" style="1" customWidth="1"/>
    <col min="13" max="13" width="10.140625" style="1" customWidth="1"/>
    <col min="14" max="14" width="10" style="1" bestFit="1" customWidth="1"/>
    <col min="15" max="17" width="8.7109375" style="1" customWidth="1"/>
    <col min="18" max="18" width="10" style="1" bestFit="1" customWidth="1"/>
    <col min="19" max="20" width="4.7109375" style="1" customWidth="1"/>
    <col min="21" max="23" width="8.7109375" style="1" customWidth="1"/>
    <col min="24" max="26" width="4.7109375" style="1" customWidth="1"/>
    <col min="27" max="29" width="8.7109375" style="1" customWidth="1"/>
    <col min="30" max="32" width="4.7109375" style="1" customWidth="1"/>
    <col min="33" max="35" width="8.7109375" style="1" customWidth="1"/>
    <col min="36" max="36" width="10" style="1" bestFit="1" customWidth="1"/>
    <col min="37" max="37" width="9.28515625" style="1" customWidth="1"/>
    <col min="38" max="38" width="7.28515625" style="1" customWidth="1"/>
    <col min="39" max="39" width="10" style="1" bestFit="1" customWidth="1"/>
    <col min="40" max="40" width="12.5703125" style="1" customWidth="1"/>
    <col min="41" max="41" width="7.7109375" style="1" bestFit="1" customWidth="1"/>
    <col min="42" max="42" width="12" style="1" customWidth="1"/>
    <col min="43" max="43" width="14.7109375" style="1" customWidth="1"/>
    <col min="44" max="44" width="17.42578125" style="1" customWidth="1"/>
    <col min="45" max="45" width="11.42578125" style="1"/>
    <col min="46" max="50" width="11.5703125" style="1" bestFit="1" customWidth="1"/>
    <col min="51" max="51" width="11.42578125" style="1"/>
    <col min="52" max="56" width="11.5703125" style="1" bestFit="1" customWidth="1"/>
    <col min="57" max="16384" width="11.42578125" style="1"/>
  </cols>
  <sheetData>
    <row r="1" spans="1:46">
      <c r="A1" s="1020" t="s">
        <v>0</v>
      </c>
      <c r="B1" s="1020"/>
      <c r="C1" s="1020"/>
      <c r="D1" s="1020"/>
      <c r="E1" s="1020"/>
      <c r="F1" s="1020"/>
      <c r="G1" s="1020"/>
      <c r="H1" s="1020"/>
      <c r="I1" s="1020"/>
      <c r="J1" s="1020"/>
      <c r="K1" s="1020"/>
      <c r="L1" s="1020"/>
      <c r="M1" s="1020"/>
      <c r="N1" s="1020"/>
      <c r="O1" s="1020"/>
      <c r="P1" s="1020"/>
      <c r="Q1" s="1020"/>
      <c r="R1" s="1020"/>
      <c r="S1" s="1020"/>
      <c r="T1" s="1020"/>
      <c r="U1" s="1020"/>
      <c r="V1" s="1020"/>
      <c r="W1" s="1020"/>
      <c r="X1" s="1020"/>
      <c r="Y1" s="1020"/>
      <c r="Z1" s="1020"/>
      <c r="AA1" s="1020"/>
      <c r="AB1" s="1020"/>
      <c r="AC1" s="1020"/>
      <c r="AD1" s="1020"/>
      <c r="AE1" s="1020"/>
      <c r="AF1" s="1020"/>
      <c r="AG1" s="1020"/>
      <c r="AH1" s="1020"/>
      <c r="AI1" s="1020"/>
      <c r="AJ1" s="1020"/>
      <c r="AK1" s="1020"/>
      <c r="AL1" s="1020"/>
      <c r="AM1" s="1020"/>
      <c r="AN1" s="1020"/>
      <c r="AO1" s="1020"/>
      <c r="AP1" s="1020"/>
      <c r="AQ1" s="1020"/>
      <c r="AR1" s="1020"/>
    </row>
    <row r="2" spans="1:46">
      <c r="A2" s="1020" t="s">
        <v>1</v>
      </c>
      <c r="B2" s="1020"/>
      <c r="C2" s="1020"/>
      <c r="D2" s="1020"/>
      <c r="E2" s="1020"/>
      <c r="F2" s="1020"/>
      <c r="G2" s="1020"/>
      <c r="H2" s="1020"/>
      <c r="I2" s="1020"/>
      <c r="J2" s="1020"/>
      <c r="K2" s="1020"/>
      <c r="L2" s="1020"/>
      <c r="M2" s="1020"/>
      <c r="N2" s="1020"/>
      <c r="O2" s="1020"/>
      <c r="P2" s="1020"/>
      <c r="Q2" s="1020"/>
      <c r="R2" s="1020"/>
      <c r="S2" s="1020"/>
      <c r="T2" s="1020"/>
      <c r="U2" s="1020"/>
      <c r="V2" s="1020"/>
      <c r="W2" s="1020"/>
      <c r="X2" s="1020"/>
      <c r="Y2" s="1020"/>
      <c r="Z2" s="1020"/>
      <c r="AA2" s="1020"/>
      <c r="AB2" s="1020"/>
      <c r="AC2" s="1020"/>
      <c r="AD2" s="1020"/>
      <c r="AE2" s="1020"/>
      <c r="AF2" s="1020"/>
      <c r="AG2" s="1020"/>
      <c r="AH2" s="1020"/>
      <c r="AI2" s="1020"/>
      <c r="AJ2" s="1020"/>
      <c r="AK2" s="1020"/>
      <c r="AL2" s="1020"/>
      <c r="AM2" s="1020"/>
      <c r="AN2" s="1020"/>
      <c r="AO2" s="1020"/>
      <c r="AP2" s="1020"/>
      <c r="AQ2" s="1020"/>
      <c r="AR2" s="1020"/>
    </row>
    <row r="3" spans="1:46">
      <c r="A3" s="2"/>
      <c r="B3" s="2"/>
      <c r="C3" s="2"/>
      <c r="D3" s="3" t="s">
        <v>2</v>
      </c>
      <c r="E3" s="3"/>
      <c r="F3" s="4"/>
      <c r="G3" s="5"/>
      <c r="H3" s="5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6"/>
      <c r="AR3" s="3"/>
    </row>
    <row r="4" spans="1:46">
      <c r="A4" s="2"/>
      <c r="B4" s="2"/>
      <c r="C4" s="2"/>
      <c r="D4" s="3" t="s">
        <v>3</v>
      </c>
      <c r="E4" s="3"/>
      <c r="F4" s="4"/>
      <c r="G4" s="5"/>
      <c r="H4" s="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6"/>
      <c r="AR4" s="3"/>
    </row>
    <row r="5" spans="1:46">
      <c r="A5" s="2"/>
      <c r="B5" s="2"/>
      <c r="C5" s="2"/>
      <c r="D5" s="3" t="s">
        <v>4</v>
      </c>
      <c r="E5" s="3"/>
      <c r="F5" s="4"/>
      <c r="G5" s="5"/>
      <c r="H5" s="7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6"/>
      <c r="AL5" s="8"/>
      <c r="AM5" s="8"/>
      <c r="AN5" s="8"/>
      <c r="AO5" s="8"/>
      <c r="AP5" s="8"/>
      <c r="AQ5" s="6"/>
      <c r="AR5" s="8"/>
    </row>
    <row r="6" spans="1:46" ht="19.5" customHeight="1">
      <c r="A6" s="1014" t="s">
        <v>5</v>
      </c>
      <c r="B6" s="1014"/>
      <c r="C6" s="1014"/>
      <c r="D6" s="1021" t="s">
        <v>6</v>
      </c>
      <c r="E6" s="1016" t="s">
        <v>7</v>
      </c>
      <c r="F6" s="1014" t="s">
        <v>8</v>
      </c>
      <c r="G6" s="1014" t="s">
        <v>9</v>
      </c>
      <c r="H6" s="1014" t="s">
        <v>10</v>
      </c>
      <c r="I6" s="1014" t="s">
        <v>11</v>
      </c>
      <c r="J6" s="1014" t="s">
        <v>12</v>
      </c>
      <c r="K6" s="1014" t="s">
        <v>13</v>
      </c>
      <c r="L6" s="1017" t="s">
        <v>14</v>
      </c>
      <c r="M6" s="1018"/>
      <c r="N6" s="1018"/>
      <c r="O6" s="1018"/>
      <c r="P6" s="1018"/>
      <c r="Q6" s="1018"/>
      <c r="R6" s="1018"/>
      <c r="S6" s="1018"/>
      <c r="T6" s="1018"/>
      <c r="U6" s="1018"/>
      <c r="V6" s="1018"/>
      <c r="W6" s="1018"/>
      <c r="X6" s="1018"/>
      <c r="Y6" s="1018"/>
      <c r="Z6" s="1018"/>
      <c r="AA6" s="1018"/>
      <c r="AB6" s="1018"/>
      <c r="AC6" s="1018"/>
      <c r="AD6" s="1018"/>
      <c r="AE6" s="1018"/>
      <c r="AF6" s="1018"/>
      <c r="AG6" s="1018"/>
      <c r="AH6" s="1018"/>
      <c r="AI6" s="1018"/>
      <c r="AJ6" s="1019"/>
      <c r="AK6" s="1014" t="s">
        <v>15</v>
      </c>
      <c r="AL6" s="1014"/>
      <c r="AM6" s="1014"/>
      <c r="AN6" s="1014"/>
      <c r="AO6" s="1014"/>
      <c r="AP6" s="1014" t="s">
        <v>16</v>
      </c>
      <c r="AQ6" s="1014" t="s">
        <v>17</v>
      </c>
      <c r="AR6" s="1014" t="s">
        <v>18</v>
      </c>
    </row>
    <row r="7" spans="1:46" ht="20.25" customHeight="1">
      <c r="A7" s="1014" t="s">
        <v>20</v>
      </c>
      <c r="B7" s="1014" t="s">
        <v>21</v>
      </c>
      <c r="C7" s="1014" t="s">
        <v>22</v>
      </c>
      <c r="D7" s="1021"/>
      <c r="E7" s="1016"/>
      <c r="F7" s="1014"/>
      <c r="G7" s="1014"/>
      <c r="H7" s="1014"/>
      <c r="I7" s="1014"/>
      <c r="J7" s="1014"/>
      <c r="K7" s="1014"/>
      <c r="L7" s="1015" t="s">
        <v>23</v>
      </c>
      <c r="M7" s="1015"/>
      <c r="N7" s="1015"/>
      <c r="O7" s="1015"/>
      <c r="P7" s="1015"/>
      <c r="Q7" s="1015"/>
      <c r="R7" s="1015" t="s">
        <v>24</v>
      </c>
      <c r="S7" s="1015"/>
      <c r="T7" s="1015"/>
      <c r="U7" s="1015"/>
      <c r="V7" s="1015"/>
      <c r="W7" s="1015"/>
      <c r="X7" s="1015" t="s">
        <v>25</v>
      </c>
      <c r="Y7" s="1015"/>
      <c r="Z7" s="1015"/>
      <c r="AA7" s="1015"/>
      <c r="AB7" s="1015"/>
      <c r="AC7" s="1015"/>
      <c r="AD7" s="1015" t="s">
        <v>26</v>
      </c>
      <c r="AE7" s="1015"/>
      <c r="AF7" s="1015"/>
      <c r="AG7" s="1015"/>
      <c r="AH7" s="1015"/>
      <c r="AI7" s="1015"/>
      <c r="AJ7" s="1016" t="s">
        <v>27</v>
      </c>
      <c r="AK7" s="1014" t="s">
        <v>28</v>
      </c>
      <c r="AL7" s="1014" t="s">
        <v>29</v>
      </c>
      <c r="AM7" s="1014" t="s">
        <v>30</v>
      </c>
      <c r="AN7" s="1014" t="s">
        <v>31</v>
      </c>
      <c r="AO7" s="1014" t="s">
        <v>32</v>
      </c>
      <c r="AP7" s="1014"/>
      <c r="AQ7" s="1014"/>
      <c r="AR7" s="1014"/>
    </row>
    <row r="8" spans="1:46" ht="12.75" customHeight="1">
      <c r="A8" s="1014"/>
      <c r="B8" s="1014"/>
      <c r="C8" s="1014"/>
      <c r="D8" s="1021"/>
      <c r="E8" s="1016"/>
      <c r="F8" s="1014"/>
      <c r="G8" s="1014"/>
      <c r="H8" s="1014"/>
      <c r="I8" s="1014"/>
      <c r="J8" s="1014"/>
      <c r="K8" s="1014"/>
      <c r="L8" s="1015" t="s">
        <v>33</v>
      </c>
      <c r="M8" s="1015"/>
      <c r="N8" s="1015"/>
      <c r="O8" s="1015" t="s">
        <v>34</v>
      </c>
      <c r="P8" s="1015"/>
      <c r="Q8" s="1015"/>
      <c r="R8" s="1015" t="s">
        <v>33</v>
      </c>
      <c r="S8" s="1015"/>
      <c r="T8" s="1015"/>
      <c r="U8" s="1015" t="s">
        <v>34</v>
      </c>
      <c r="V8" s="1015"/>
      <c r="W8" s="1015"/>
      <c r="X8" s="1015" t="s">
        <v>33</v>
      </c>
      <c r="Y8" s="1015"/>
      <c r="Z8" s="1015"/>
      <c r="AA8" s="1015" t="s">
        <v>34</v>
      </c>
      <c r="AB8" s="1015"/>
      <c r="AC8" s="1015"/>
      <c r="AD8" s="1015" t="s">
        <v>33</v>
      </c>
      <c r="AE8" s="1015"/>
      <c r="AF8" s="1015"/>
      <c r="AG8" s="1015" t="s">
        <v>34</v>
      </c>
      <c r="AH8" s="1015"/>
      <c r="AI8" s="1015"/>
      <c r="AJ8" s="1016"/>
      <c r="AK8" s="1014"/>
      <c r="AL8" s="1014"/>
      <c r="AM8" s="1014"/>
      <c r="AN8" s="1014"/>
      <c r="AO8" s="1014"/>
      <c r="AP8" s="1014"/>
      <c r="AQ8" s="1014"/>
      <c r="AR8" s="1014"/>
    </row>
    <row r="9" spans="1:46" ht="12.75" customHeight="1">
      <c r="A9" s="1014"/>
      <c r="B9" s="1014"/>
      <c r="C9" s="1014"/>
      <c r="D9" s="1021"/>
      <c r="E9" s="1016"/>
      <c r="F9" s="1014"/>
      <c r="G9" s="1014"/>
      <c r="H9" s="1014"/>
      <c r="I9" s="1014"/>
      <c r="J9" s="1014"/>
      <c r="K9" s="1014"/>
      <c r="L9" s="9" t="s">
        <v>35</v>
      </c>
      <c r="M9" s="9" t="s">
        <v>36</v>
      </c>
      <c r="N9" s="9" t="s">
        <v>37</v>
      </c>
      <c r="O9" s="9" t="s">
        <v>35</v>
      </c>
      <c r="P9" s="9" t="s">
        <v>36</v>
      </c>
      <c r="Q9" s="9" t="s">
        <v>37</v>
      </c>
      <c r="R9" s="9" t="s">
        <v>38</v>
      </c>
      <c r="S9" s="9" t="s">
        <v>37</v>
      </c>
      <c r="T9" s="9" t="s">
        <v>39</v>
      </c>
      <c r="U9" s="9" t="s">
        <v>38</v>
      </c>
      <c r="V9" s="9" t="s">
        <v>37</v>
      </c>
      <c r="W9" s="9" t="s">
        <v>39</v>
      </c>
      <c r="X9" s="9" t="s">
        <v>39</v>
      </c>
      <c r="Y9" s="9" t="s">
        <v>38</v>
      </c>
      <c r="Z9" s="9" t="s">
        <v>40</v>
      </c>
      <c r="AA9" s="9" t="s">
        <v>39</v>
      </c>
      <c r="AB9" s="9" t="s">
        <v>38</v>
      </c>
      <c r="AC9" s="9" t="s">
        <v>40</v>
      </c>
      <c r="AD9" s="9" t="s">
        <v>41</v>
      </c>
      <c r="AE9" s="9" t="s">
        <v>42</v>
      </c>
      <c r="AF9" s="9" t="s">
        <v>43</v>
      </c>
      <c r="AG9" s="9" t="s">
        <v>41</v>
      </c>
      <c r="AH9" s="9" t="s">
        <v>42</v>
      </c>
      <c r="AI9" s="9" t="s">
        <v>43</v>
      </c>
      <c r="AJ9" s="1016"/>
      <c r="AK9" s="1014"/>
      <c r="AL9" s="1014"/>
      <c r="AM9" s="1014"/>
      <c r="AN9" s="1014"/>
      <c r="AO9" s="1014"/>
      <c r="AP9" s="1014"/>
      <c r="AQ9" s="1014"/>
      <c r="AR9" s="1014"/>
    </row>
    <row r="10" spans="1:46" ht="63">
      <c r="A10" s="10" t="s">
        <v>44</v>
      </c>
      <c r="B10" s="10" t="s">
        <v>45</v>
      </c>
      <c r="C10" s="10" t="s">
        <v>46</v>
      </c>
      <c r="D10" s="11" t="s">
        <v>47</v>
      </c>
      <c r="E10" s="12"/>
      <c r="F10" s="13"/>
      <c r="G10" s="14"/>
      <c r="H10" s="15"/>
      <c r="I10" s="16">
        <v>13</v>
      </c>
      <c r="J10" s="17">
        <v>10</v>
      </c>
      <c r="K10" s="16"/>
      <c r="L10" s="18"/>
      <c r="M10" s="18"/>
      <c r="N10" s="18"/>
      <c r="O10" s="19">
        <f>O11+O12+O13</f>
        <v>19602</v>
      </c>
      <c r="P10" s="19">
        <f>P11+P12+P13</f>
        <v>34991</v>
      </c>
      <c r="Q10" s="19">
        <f>Q11+Q12+Q13</f>
        <v>46342</v>
      </c>
      <c r="R10" s="18"/>
      <c r="S10" s="18"/>
      <c r="T10" s="18"/>
      <c r="U10" s="19">
        <f>U11+U12+U13</f>
        <v>22074</v>
      </c>
      <c r="V10" s="19">
        <f>V11+V12+V13</f>
        <v>28058</v>
      </c>
      <c r="W10" s="19">
        <f>W11+W12+W13</f>
        <v>18583</v>
      </c>
      <c r="X10" s="18"/>
      <c r="Y10" s="18"/>
      <c r="Z10" s="18"/>
      <c r="AA10" s="19">
        <f>AA11+AA12+AA13</f>
        <v>17134</v>
      </c>
      <c r="AB10" s="19">
        <f>AB11+AB12+AB13</f>
        <v>17134</v>
      </c>
      <c r="AC10" s="19">
        <f>AC11+AC12+AC13</f>
        <v>14142</v>
      </c>
      <c r="AD10" s="18"/>
      <c r="AE10" s="18"/>
      <c r="AF10" s="18"/>
      <c r="AG10" s="19">
        <f>AG11+AG12+AG13</f>
        <v>12146</v>
      </c>
      <c r="AH10" s="19">
        <f>AH11+AH12+AH13</f>
        <v>16136</v>
      </c>
      <c r="AI10" s="19">
        <f>AI11+AI12+AI13</f>
        <v>15612</v>
      </c>
      <c r="AJ10" s="19">
        <f t="shared" ref="AJ10:AJ39" si="0">O10+P10+Q10+U10+V10+W10+AA10+AB10+AC10+AG10+AH10+AI10</f>
        <v>261954</v>
      </c>
      <c r="AK10" s="19">
        <v>97159</v>
      </c>
      <c r="AL10" s="19"/>
      <c r="AM10" s="19">
        <v>164795</v>
      </c>
      <c r="AN10" s="19"/>
      <c r="AO10" s="19"/>
      <c r="AP10" s="11"/>
      <c r="AQ10" s="11"/>
      <c r="AR10" s="11"/>
      <c r="AS10" s="161">
        <f t="shared" ref="AS10:AS40" si="1">AJ10-(O10+P10+Q10+U10+V10+W10+AA10+AB10+AC10+AG10+AH10+AI10)</f>
        <v>0</v>
      </c>
      <c r="AT10" s="161">
        <f t="shared" ref="AT10:AT40" si="2">AJ10-(AK10+AL10+AM10+AN10+AO10)</f>
        <v>0</v>
      </c>
    </row>
    <row r="11" spans="1:46" ht="58.5" customHeight="1">
      <c r="A11" s="1000" t="s">
        <v>44</v>
      </c>
      <c r="B11" s="1000" t="s">
        <v>45</v>
      </c>
      <c r="C11" s="1000" t="s">
        <v>49</v>
      </c>
      <c r="D11" s="1002" t="s">
        <v>50</v>
      </c>
      <c r="E11" s="20">
        <f>L11+M11+N11+R11+S11+T11+X11+Y11+Z11+AD11+AE11+AF11</f>
        <v>650</v>
      </c>
      <c r="F11" s="21" t="s">
        <v>51</v>
      </c>
      <c r="G11" s="996" t="s">
        <v>52</v>
      </c>
      <c r="H11" s="535" t="s">
        <v>2303</v>
      </c>
      <c r="I11" s="1011">
        <v>99</v>
      </c>
      <c r="J11" s="1006"/>
      <c r="K11" s="1008">
        <v>99</v>
      </c>
      <c r="L11" s="23">
        <v>70</v>
      </c>
      <c r="M11" s="23">
        <v>70</v>
      </c>
      <c r="N11" s="23">
        <v>65</v>
      </c>
      <c r="O11" s="24">
        <v>13964</v>
      </c>
      <c r="P11" s="24">
        <v>13964</v>
      </c>
      <c r="Q11" s="24">
        <v>12967</v>
      </c>
      <c r="R11" s="23">
        <v>40</v>
      </c>
      <c r="S11" s="23">
        <v>70</v>
      </c>
      <c r="T11" s="23">
        <v>55</v>
      </c>
      <c r="U11" s="24">
        <v>7980</v>
      </c>
      <c r="V11" s="24">
        <v>13964</v>
      </c>
      <c r="W11" s="24">
        <v>10972</v>
      </c>
      <c r="X11" s="23">
        <v>55</v>
      </c>
      <c r="Y11" s="23">
        <v>55</v>
      </c>
      <c r="Z11" s="23">
        <v>40</v>
      </c>
      <c r="AA11" s="24">
        <v>10972</v>
      </c>
      <c r="AB11" s="24">
        <v>10972</v>
      </c>
      <c r="AC11" s="24">
        <v>7980</v>
      </c>
      <c r="AD11" s="23">
        <v>30</v>
      </c>
      <c r="AE11" s="23">
        <v>50</v>
      </c>
      <c r="AF11" s="23">
        <v>50</v>
      </c>
      <c r="AG11" s="25">
        <v>5984</v>
      </c>
      <c r="AH11" s="25">
        <v>9974</v>
      </c>
      <c r="AI11" s="25">
        <v>9974</v>
      </c>
      <c r="AJ11" s="24">
        <f t="shared" si="0"/>
        <v>129667</v>
      </c>
      <c r="AK11" s="24">
        <v>48093</v>
      </c>
      <c r="AL11" s="25"/>
      <c r="AM11" s="25">
        <v>81574</v>
      </c>
      <c r="AN11" s="25"/>
      <c r="AO11" s="25"/>
      <c r="AP11" s="690" t="s">
        <v>53</v>
      </c>
      <c r="AQ11" s="690" t="s">
        <v>48</v>
      </c>
      <c r="AR11" s="690"/>
      <c r="AS11" s="161">
        <f t="shared" si="1"/>
        <v>0</v>
      </c>
      <c r="AT11" s="161">
        <f t="shared" si="2"/>
        <v>0</v>
      </c>
    </row>
    <row r="12" spans="1:46" ht="64.5" customHeight="1">
      <c r="A12" s="1001" t="s">
        <v>54</v>
      </c>
      <c r="B12" s="1001" t="s">
        <v>55</v>
      </c>
      <c r="C12" s="1001"/>
      <c r="D12" s="1003"/>
      <c r="E12" s="20">
        <f>L12+M12+N12+R12+S12+T12+X12+Y12+Z12+AD12+AE12+AF12</f>
        <v>2300</v>
      </c>
      <c r="F12" s="21" t="s">
        <v>56</v>
      </c>
      <c r="G12" s="997"/>
      <c r="H12" s="22" t="s">
        <v>57</v>
      </c>
      <c r="I12" s="1011"/>
      <c r="J12" s="1007"/>
      <c r="K12" s="1009"/>
      <c r="L12" s="24">
        <v>100</v>
      </c>
      <c r="M12" s="24">
        <v>373</v>
      </c>
      <c r="N12" s="24">
        <v>592</v>
      </c>
      <c r="O12" s="24">
        <v>5638</v>
      </c>
      <c r="P12" s="24">
        <v>21027</v>
      </c>
      <c r="Q12" s="24">
        <v>33375</v>
      </c>
      <c r="R12" s="24">
        <v>250</v>
      </c>
      <c r="S12" s="24">
        <v>250</v>
      </c>
      <c r="T12" s="24">
        <v>135</v>
      </c>
      <c r="U12" s="24">
        <v>14094</v>
      </c>
      <c r="V12" s="24">
        <v>14094</v>
      </c>
      <c r="W12" s="24">
        <v>7611</v>
      </c>
      <c r="X12" s="24">
        <v>100</v>
      </c>
      <c r="Y12" s="24">
        <v>100</v>
      </c>
      <c r="Z12" s="24">
        <v>100</v>
      </c>
      <c r="AA12" s="24">
        <v>5638</v>
      </c>
      <c r="AB12" s="24">
        <v>5638</v>
      </c>
      <c r="AC12" s="24">
        <v>5638</v>
      </c>
      <c r="AD12" s="24">
        <v>100</v>
      </c>
      <c r="AE12" s="24">
        <v>100</v>
      </c>
      <c r="AF12" s="24">
        <v>100</v>
      </c>
      <c r="AG12" s="24">
        <v>5638</v>
      </c>
      <c r="AH12" s="24">
        <v>5638</v>
      </c>
      <c r="AI12" s="24">
        <v>5638</v>
      </c>
      <c r="AJ12" s="24">
        <f t="shared" si="0"/>
        <v>129667</v>
      </c>
      <c r="AK12" s="24">
        <v>48093</v>
      </c>
      <c r="AL12" s="25"/>
      <c r="AM12" s="25">
        <v>81574</v>
      </c>
      <c r="AN12" s="25"/>
      <c r="AO12" s="25"/>
      <c r="AP12" s="690"/>
      <c r="AQ12" s="690" t="s">
        <v>48</v>
      </c>
      <c r="AR12" s="690"/>
      <c r="AS12" s="161">
        <f t="shared" si="1"/>
        <v>0</v>
      </c>
      <c r="AT12" s="161">
        <f t="shared" si="2"/>
        <v>0</v>
      </c>
    </row>
    <row r="13" spans="1:46" ht="141.75">
      <c r="A13" s="26" t="s">
        <v>44</v>
      </c>
      <c r="B13" s="26" t="s">
        <v>45</v>
      </c>
      <c r="C13" s="26" t="s">
        <v>58</v>
      </c>
      <c r="D13" s="22" t="s">
        <v>59</v>
      </c>
      <c r="E13" s="20" t="s">
        <v>60</v>
      </c>
      <c r="F13" s="21" t="s">
        <v>61</v>
      </c>
      <c r="G13" s="27" t="s">
        <v>62</v>
      </c>
      <c r="H13" s="28" t="s">
        <v>63</v>
      </c>
      <c r="I13" s="29">
        <v>1</v>
      </c>
      <c r="J13" s="30"/>
      <c r="K13" s="29">
        <v>1</v>
      </c>
      <c r="L13" s="31"/>
      <c r="M13" s="31"/>
      <c r="N13" s="31"/>
      <c r="O13" s="24"/>
      <c r="P13" s="24"/>
      <c r="Q13" s="24"/>
      <c r="R13" s="31"/>
      <c r="S13" s="31"/>
      <c r="T13" s="31"/>
      <c r="U13" s="24"/>
      <c r="V13" s="24"/>
      <c r="W13" s="24"/>
      <c r="X13" s="31">
        <v>0.02</v>
      </c>
      <c r="Y13" s="31">
        <v>0.02</v>
      </c>
      <c r="Z13" s="31">
        <v>0.02</v>
      </c>
      <c r="AA13" s="24">
        <v>524</v>
      </c>
      <c r="AB13" s="24">
        <v>524</v>
      </c>
      <c r="AC13" s="24">
        <v>524</v>
      </c>
      <c r="AD13" s="31">
        <v>0.02</v>
      </c>
      <c r="AE13" s="31">
        <v>0.02</v>
      </c>
      <c r="AF13" s="31"/>
      <c r="AG13" s="24">
        <v>524</v>
      </c>
      <c r="AH13" s="24">
        <v>524</v>
      </c>
      <c r="AI13" s="24"/>
      <c r="AJ13" s="24">
        <f t="shared" si="0"/>
        <v>2620</v>
      </c>
      <c r="AK13" s="24">
        <v>973</v>
      </c>
      <c r="AL13" s="24"/>
      <c r="AM13" s="24">
        <v>1647</v>
      </c>
      <c r="AN13" s="24"/>
      <c r="AO13" s="24"/>
      <c r="AP13" s="32" t="s">
        <v>53</v>
      </c>
      <c r="AQ13" s="32" t="s">
        <v>48</v>
      </c>
      <c r="AR13" s="32" t="s">
        <v>64</v>
      </c>
      <c r="AS13" s="161">
        <f t="shared" si="1"/>
        <v>0</v>
      </c>
      <c r="AT13" s="161">
        <f t="shared" si="2"/>
        <v>0</v>
      </c>
    </row>
    <row r="14" spans="1:46" ht="96" customHeight="1">
      <c r="A14" s="10" t="s">
        <v>44</v>
      </c>
      <c r="B14" s="10" t="s">
        <v>45</v>
      </c>
      <c r="C14" s="10" t="s">
        <v>65</v>
      </c>
      <c r="D14" s="11" t="s">
        <v>66</v>
      </c>
      <c r="E14" s="12"/>
      <c r="F14" s="13"/>
      <c r="G14" s="14"/>
      <c r="H14" s="15"/>
      <c r="I14" s="16">
        <v>8</v>
      </c>
      <c r="J14" s="17">
        <v>6</v>
      </c>
      <c r="K14" s="16"/>
      <c r="L14" s="18"/>
      <c r="M14" s="18"/>
      <c r="N14" s="18"/>
      <c r="O14" s="19">
        <f>O15+O16</f>
        <v>5239</v>
      </c>
      <c r="P14" s="19">
        <f>P15+P16</f>
        <v>11131</v>
      </c>
      <c r="Q14" s="19">
        <f>Q15+Q16</f>
        <v>9169</v>
      </c>
      <c r="R14" s="18"/>
      <c r="S14" s="18"/>
      <c r="T14" s="18"/>
      <c r="U14" s="19">
        <f>U15+U16</f>
        <v>15718</v>
      </c>
      <c r="V14" s="19">
        <f>V15+V16</f>
        <v>15718</v>
      </c>
      <c r="W14" s="19">
        <f>W15+W16</f>
        <v>15718</v>
      </c>
      <c r="X14" s="18"/>
      <c r="Y14" s="18"/>
      <c r="Z14" s="18"/>
      <c r="AA14" s="19">
        <f>AA15+AA16</f>
        <v>15718</v>
      </c>
      <c r="AB14" s="19">
        <f>AB15+AB16</f>
        <v>15718</v>
      </c>
      <c r="AC14" s="19">
        <f>AC15+AC16</f>
        <v>15718</v>
      </c>
      <c r="AD14" s="18"/>
      <c r="AE14" s="18"/>
      <c r="AF14" s="18"/>
      <c r="AG14" s="19">
        <f>AG15+AG16</f>
        <v>13228</v>
      </c>
      <c r="AH14" s="19">
        <f>AH15+AH16</f>
        <v>13228</v>
      </c>
      <c r="AI14" s="19">
        <f>AI15+AI16</f>
        <v>10869</v>
      </c>
      <c r="AJ14" s="19">
        <f t="shared" si="0"/>
        <v>157172</v>
      </c>
      <c r="AK14" s="19">
        <v>58295</v>
      </c>
      <c r="AL14" s="19"/>
      <c r="AM14" s="19">
        <v>98877</v>
      </c>
      <c r="AN14" s="19"/>
      <c r="AO14" s="19"/>
      <c r="AP14" s="11"/>
      <c r="AQ14" s="11"/>
      <c r="AR14" s="11"/>
      <c r="AS14" s="161">
        <f t="shared" si="1"/>
        <v>0</v>
      </c>
      <c r="AT14" s="161">
        <f t="shared" si="2"/>
        <v>0</v>
      </c>
    </row>
    <row r="15" spans="1:46" ht="94.5">
      <c r="A15" s="1000" t="s">
        <v>44</v>
      </c>
      <c r="B15" s="1000" t="s">
        <v>45</v>
      </c>
      <c r="C15" s="1000" t="s">
        <v>2302</v>
      </c>
      <c r="D15" s="1002" t="s">
        <v>68</v>
      </c>
      <c r="E15" s="29">
        <f>L15+M15+N15+R15+S15+T15+X15+Y15+Z15+AD15+AE15+AF15</f>
        <v>100</v>
      </c>
      <c r="F15" s="33" t="s">
        <v>69</v>
      </c>
      <c r="G15" s="996" t="s">
        <v>70</v>
      </c>
      <c r="H15" s="22" t="s">
        <v>71</v>
      </c>
      <c r="I15" s="1011">
        <v>100</v>
      </c>
      <c r="J15" s="1006"/>
      <c r="K15" s="29">
        <v>50</v>
      </c>
      <c r="L15" s="24">
        <v>5</v>
      </c>
      <c r="M15" s="24">
        <v>10</v>
      </c>
      <c r="N15" s="24">
        <v>10</v>
      </c>
      <c r="O15" s="24">
        <v>3929</v>
      </c>
      <c r="P15" s="24">
        <v>7859</v>
      </c>
      <c r="Q15" s="24">
        <v>7859</v>
      </c>
      <c r="R15" s="24">
        <v>10</v>
      </c>
      <c r="S15" s="24">
        <v>10</v>
      </c>
      <c r="T15" s="24">
        <v>10</v>
      </c>
      <c r="U15" s="24">
        <v>7859</v>
      </c>
      <c r="V15" s="24">
        <v>7859</v>
      </c>
      <c r="W15" s="24">
        <v>7859</v>
      </c>
      <c r="X15" s="24">
        <v>10</v>
      </c>
      <c r="Y15" s="24">
        <v>10</v>
      </c>
      <c r="Z15" s="24">
        <v>10</v>
      </c>
      <c r="AA15" s="24">
        <v>7859</v>
      </c>
      <c r="AB15" s="24">
        <v>7859</v>
      </c>
      <c r="AC15" s="24">
        <v>7859</v>
      </c>
      <c r="AD15" s="24">
        <v>6</v>
      </c>
      <c r="AE15" s="24">
        <v>6</v>
      </c>
      <c r="AF15" s="24">
        <v>3</v>
      </c>
      <c r="AG15" s="25">
        <v>4715</v>
      </c>
      <c r="AH15" s="25">
        <v>4715</v>
      </c>
      <c r="AI15" s="25">
        <v>2356</v>
      </c>
      <c r="AJ15" s="24">
        <f t="shared" si="0"/>
        <v>78587</v>
      </c>
      <c r="AK15" s="24">
        <v>29148</v>
      </c>
      <c r="AL15" s="25"/>
      <c r="AM15" s="25">
        <v>49439</v>
      </c>
      <c r="AN15" s="25"/>
      <c r="AO15" s="25"/>
      <c r="AP15" s="690" t="s">
        <v>53</v>
      </c>
      <c r="AQ15" s="690" t="s">
        <v>67</v>
      </c>
      <c r="AR15" s="690"/>
      <c r="AS15" s="161">
        <f t="shared" si="1"/>
        <v>0</v>
      </c>
      <c r="AT15" s="161">
        <f t="shared" si="2"/>
        <v>0</v>
      </c>
    </row>
    <row r="16" spans="1:46" ht="63">
      <c r="A16" s="1001"/>
      <c r="B16" s="1001"/>
      <c r="C16" s="1001"/>
      <c r="D16" s="1003"/>
      <c r="E16" s="29">
        <f>L16+M16+N16+R16+S16+T16+X16+Y16+Z16+AD16+AE16+AF16</f>
        <v>120</v>
      </c>
      <c r="F16" s="21" t="s">
        <v>72</v>
      </c>
      <c r="G16" s="997"/>
      <c r="H16" s="22" t="s">
        <v>73</v>
      </c>
      <c r="I16" s="1011"/>
      <c r="J16" s="1007"/>
      <c r="K16" s="29">
        <v>50</v>
      </c>
      <c r="L16" s="24">
        <v>2</v>
      </c>
      <c r="M16" s="24">
        <v>5</v>
      </c>
      <c r="N16" s="24">
        <v>2</v>
      </c>
      <c r="O16" s="24">
        <v>1310</v>
      </c>
      <c r="P16" s="24">
        <v>3272</v>
      </c>
      <c r="Q16" s="24">
        <v>1310</v>
      </c>
      <c r="R16" s="24">
        <v>12</v>
      </c>
      <c r="S16" s="24">
        <v>12</v>
      </c>
      <c r="T16" s="24">
        <v>12</v>
      </c>
      <c r="U16" s="24">
        <v>7859</v>
      </c>
      <c r="V16" s="24">
        <v>7859</v>
      </c>
      <c r="W16" s="24">
        <v>7859</v>
      </c>
      <c r="X16" s="24">
        <v>12</v>
      </c>
      <c r="Y16" s="24">
        <v>12</v>
      </c>
      <c r="Z16" s="24">
        <v>12</v>
      </c>
      <c r="AA16" s="24">
        <v>7859</v>
      </c>
      <c r="AB16" s="24">
        <v>7859</v>
      </c>
      <c r="AC16" s="24">
        <v>7859</v>
      </c>
      <c r="AD16" s="24">
        <v>13</v>
      </c>
      <c r="AE16" s="24">
        <v>13</v>
      </c>
      <c r="AF16" s="24">
        <v>13</v>
      </c>
      <c r="AG16" s="25">
        <v>8513</v>
      </c>
      <c r="AH16" s="25">
        <v>8513</v>
      </c>
      <c r="AI16" s="25">
        <v>8513</v>
      </c>
      <c r="AJ16" s="24">
        <f t="shared" si="0"/>
        <v>78585</v>
      </c>
      <c r="AK16" s="24">
        <v>29147</v>
      </c>
      <c r="AL16" s="25"/>
      <c r="AM16" s="25">
        <v>49438</v>
      </c>
      <c r="AN16" s="25"/>
      <c r="AO16" s="25"/>
      <c r="AP16" s="690" t="s">
        <v>53</v>
      </c>
      <c r="AQ16" s="690" t="s">
        <v>67</v>
      </c>
      <c r="AR16" s="690"/>
      <c r="AS16" s="161">
        <f t="shared" si="1"/>
        <v>0</v>
      </c>
      <c r="AT16" s="161">
        <f t="shared" si="2"/>
        <v>0</v>
      </c>
    </row>
    <row r="17" spans="1:56" ht="78.75">
      <c r="A17" s="10" t="s">
        <v>44</v>
      </c>
      <c r="B17" s="10" t="s">
        <v>45</v>
      </c>
      <c r="C17" s="10" t="s">
        <v>74</v>
      </c>
      <c r="D17" s="11" t="s">
        <v>75</v>
      </c>
      <c r="E17" s="12"/>
      <c r="F17" s="13"/>
      <c r="G17" s="14"/>
      <c r="H17" s="15"/>
      <c r="I17" s="16">
        <v>62</v>
      </c>
      <c r="J17" s="17">
        <v>47</v>
      </c>
      <c r="K17" s="16"/>
      <c r="L17" s="18"/>
      <c r="M17" s="18"/>
      <c r="N17" s="18"/>
      <c r="O17" s="19">
        <f>SUM(O18:O24)</f>
        <v>84911.48</v>
      </c>
      <c r="P17" s="19">
        <f t="shared" ref="P17:Q17" si="3">SUM(P18:P24)</f>
        <v>97949.119999999995</v>
      </c>
      <c r="Q17" s="19">
        <f t="shared" si="3"/>
        <v>113820.12</v>
      </c>
      <c r="R17" s="18"/>
      <c r="S17" s="18"/>
      <c r="T17" s="18"/>
      <c r="U17" s="19">
        <f t="shared" ref="U17:W17" si="4">SUM(U18:U24)</f>
        <v>113820.12</v>
      </c>
      <c r="V17" s="19">
        <f t="shared" si="4"/>
        <v>85254.12</v>
      </c>
      <c r="W17" s="19">
        <f t="shared" si="4"/>
        <v>85254.12</v>
      </c>
      <c r="X17" s="18"/>
      <c r="Y17" s="18"/>
      <c r="Z17" s="18"/>
      <c r="AA17" s="19">
        <f t="shared" ref="AA17:AC17" si="5">SUM(AA18:AA24)</f>
        <v>107133.12</v>
      </c>
      <c r="AB17" s="19">
        <f t="shared" si="5"/>
        <v>123004.12</v>
      </c>
      <c r="AC17" s="19">
        <f t="shared" si="5"/>
        <v>107134.12</v>
      </c>
      <c r="AD17" s="18"/>
      <c r="AE17" s="18"/>
      <c r="AF17" s="18"/>
      <c r="AG17" s="19">
        <f t="shared" ref="AG17:AI17" si="6">SUM(AG18:AG24)</f>
        <v>102463.12</v>
      </c>
      <c r="AH17" s="19">
        <f t="shared" si="6"/>
        <v>118336.12</v>
      </c>
      <c r="AI17" s="19">
        <f t="shared" si="6"/>
        <v>100001.12</v>
      </c>
      <c r="AJ17" s="19">
        <f>O17+P17+Q17+U17+V17+W17+AA17+AB17+AC17+AG17+AH17+AI17</f>
        <v>1239080.7999999998</v>
      </c>
      <c r="AK17" s="19">
        <f>SUM(AK18:AK24)</f>
        <v>456644</v>
      </c>
      <c r="AL17" s="19"/>
      <c r="AM17" s="19">
        <f t="shared" ref="AM17" si="7">SUM(AM18:AM24)</f>
        <v>774537</v>
      </c>
      <c r="AN17" s="19"/>
      <c r="AO17" s="19">
        <f t="shared" ref="AO17" si="8">SUM(AO18:AO24)</f>
        <v>7899.6</v>
      </c>
      <c r="AP17" s="11"/>
      <c r="AQ17" s="11"/>
      <c r="AR17" s="11"/>
      <c r="AS17" s="161">
        <f t="shared" si="1"/>
        <v>0</v>
      </c>
      <c r="AT17" s="161">
        <f t="shared" si="2"/>
        <v>0.19999999972060323</v>
      </c>
    </row>
    <row r="18" spans="1:56" ht="84" customHeight="1">
      <c r="A18" s="1000" t="s">
        <v>44</v>
      </c>
      <c r="B18" s="1000" t="s">
        <v>45</v>
      </c>
      <c r="C18" s="1000" t="s">
        <v>77</v>
      </c>
      <c r="D18" s="1002" t="s">
        <v>78</v>
      </c>
      <c r="E18" s="34">
        <v>0.1</v>
      </c>
      <c r="F18" s="21" t="s">
        <v>79</v>
      </c>
      <c r="G18" s="32" t="s">
        <v>80</v>
      </c>
      <c r="H18" s="28" t="s">
        <v>63</v>
      </c>
      <c r="I18" s="29">
        <v>1</v>
      </c>
      <c r="J18" s="1008"/>
      <c r="K18" s="29">
        <v>1</v>
      </c>
      <c r="L18" s="31"/>
      <c r="M18" s="31"/>
      <c r="N18" s="31"/>
      <c r="O18" s="24"/>
      <c r="P18" s="24"/>
      <c r="Q18" s="24"/>
      <c r="R18" s="31"/>
      <c r="S18" s="31"/>
      <c r="T18" s="31"/>
      <c r="U18" s="24"/>
      <c r="V18" s="24"/>
      <c r="W18" s="24"/>
      <c r="X18" s="31">
        <v>0.02</v>
      </c>
      <c r="Y18" s="31">
        <v>0.02</v>
      </c>
      <c r="Z18" s="31">
        <v>0.02</v>
      </c>
      <c r="AA18" s="24">
        <v>2462</v>
      </c>
      <c r="AB18" s="24">
        <v>2462</v>
      </c>
      <c r="AC18" s="24">
        <v>2462</v>
      </c>
      <c r="AD18" s="31">
        <v>0.02</v>
      </c>
      <c r="AE18" s="31">
        <v>0.02</v>
      </c>
      <c r="AF18" s="24"/>
      <c r="AG18" s="24">
        <v>2462</v>
      </c>
      <c r="AH18" s="24">
        <v>2464</v>
      </c>
      <c r="AI18" s="24"/>
      <c r="AJ18" s="24">
        <f t="shared" si="0"/>
        <v>12312</v>
      </c>
      <c r="AK18" s="24">
        <v>4567</v>
      </c>
      <c r="AL18" s="25"/>
      <c r="AM18" s="25">
        <v>7745</v>
      </c>
      <c r="AN18" s="25"/>
      <c r="AO18" s="25"/>
      <c r="AP18" s="690" t="s">
        <v>53</v>
      </c>
      <c r="AQ18" s="690" t="s">
        <v>81</v>
      </c>
      <c r="AR18" s="32" t="s">
        <v>64</v>
      </c>
      <c r="AS18" s="161">
        <f t="shared" si="1"/>
        <v>0</v>
      </c>
      <c r="AT18" s="161">
        <f t="shared" si="2"/>
        <v>0</v>
      </c>
    </row>
    <row r="19" spans="1:56" ht="51.75" customHeight="1">
      <c r="A19" s="1012"/>
      <c r="B19" s="1012"/>
      <c r="C19" s="1012"/>
      <c r="D19" s="1013"/>
      <c r="E19" s="29">
        <f>L19+M19+N19+R19+S19+T19+X19+Y19+Z19+AD19+AE19+AF19</f>
        <v>780</v>
      </c>
      <c r="F19" s="21" t="s">
        <v>51</v>
      </c>
      <c r="G19" s="35" t="s">
        <v>82</v>
      </c>
      <c r="H19" s="22" t="s">
        <v>83</v>
      </c>
      <c r="I19" s="29">
        <v>32</v>
      </c>
      <c r="J19" s="1010"/>
      <c r="K19" s="29">
        <v>32</v>
      </c>
      <c r="L19" s="24">
        <v>65</v>
      </c>
      <c r="M19" s="24">
        <v>65</v>
      </c>
      <c r="N19" s="24">
        <v>65</v>
      </c>
      <c r="O19" s="24">
        <f>32832-208.52</f>
        <v>32623.48</v>
      </c>
      <c r="P19" s="24">
        <f>32832-417.88</f>
        <v>32414.12</v>
      </c>
      <c r="Q19" s="24">
        <f>32832-417.88</f>
        <v>32414.12</v>
      </c>
      <c r="R19" s="24">
        <v>65</v>
      </c>
      <c r="S19" s="24">
        <v>65</v>
      </c>
      <c r="T19" s="24">
        <v>65</v>
      </c>
      <c r="U19" s="24">
        <f>32832-417.88</f>
        <v>32414.12</v>
      </c>
      <c r="V19" s="24">
        <f>32832-417.88</f>
        <v>32414.12</v>
      </c>
      <c r="W19" s="24">
        <f>32832-417.88</f>
        <v>32414.12</v>
      </c>
      <c r="X19" s="24">
        <v>65</v>
      </c>
      <c r="Y19" s="24">
        <v>65</v>
      </c>
      <c r="Z19" s="24">
        <v>65</v>
      </c>
      <c r="AA19" s="24">
        <f>32832-417.88</f>
        <v>32414.12</v>
      </c>
      <c r="AB19" s="24">
        <f>32832-417.88</f>
        <v>32414.12</v>
      </c>
      <c r="AC19" s="24">
        <f>32832-417.88</f>
        <v>32414.12</v>
      </c>
      <c r="AD19" s="24">
        <v>65</v>
      </c>
      <c r="AE19" s="24">
        <v>65</v>
      </c>
      <c r="AF19" s="24">
        <v>65</v>
      </c>
      <c r="AG19" s="24">
        <f>32832-417.88</f>
        <v>32414.12</v>
      </c>
      <c r="AH19" s="24">
        <f>32832-417.88</f>
        <v>32414.12</v>
      </c>
      <c r="AI19" s="24">
        <f>32832-417.88</f>
        <v>32414.12</v>
      </c>
      <c r="AJ19" s="24">
        <f t="shared" si="0"/>
        <v>389178.8</v>
      </c>
      <c r="AK19" s="24">
        <f>146127-3</f>
        <v>146124</v>
      </c>
      <c r="AL19" s="24"/>
      <c r="AM19" s="24">
        <f>247851-4796.4</f>
        <v>243054.6</v>
      </c>
      <c r="AN19" s="24"/>
      <c r="AO19" s="25"/>
      <c r="AP19" s="690" t="s">
        <v>53</v>
      </c>
      <c r="AQ19" s="690" t="s">
        <v>84</v>
      </c>
      <c r="AR19" s="690"/>
      <c r="AS19" s="161">
        <f t="shared" si="1"/>
        <v>0</v>
      </c>
      <c r="AT19" s="161">
        <f t="shared" si="2"/>
        <v>0.20000000001164153</v>
      </c>
    </row>
    <row r="20" spans="1:56" ht="69" customHeight="1">
      <c r="A20" s="1012"/>
      <c r="B20" s="1012"/>
      <c r="C20" s="1012"/>
      <c r="D20" s="1013"/>
      <c r="E20" s="36">
        <v>529</v>
      </c>
      <c r="F20" s="37" t="s">
        <v>51</v>
      </c>
      <c r="G20" s="38" t="s">
        <v>85</v>
      </c>
      <c r="H20" s="39" t="s">
        <v>83</v>
      </c>
      <c r="I20" s="36"/>
      <c r="J20" s="1010"/>
      <c r="K20" s="36"/>
      <c r="L20" s="40">
        <v>23</v>
      </c>
      <c r="M20" s="40">
        <v>46</v>
      </c>
      <c r="N20" s="40">
        <v>46</v>
      </c>
      <c r="O20" s="40">
        <f>L20*24</f>
        <v>552</v>
      </c>
      <c r="P20" s="40">
        <f t="shared" ref="P20:Q20" si="9">M20*24</f>
        <v>1104</v>
      </c>
      <c r="Q20" s="40">
        <f t="shared" si="9"/>
        <v>1104</v>
      </c>
      <c r="R20" s="40">
        <v>46</v>
      </c>
      <c r="S20" s="40">
        <v>46</v>
      </c>
      <c r="T20" s="40">
        <v>46</v>
      </c>
      <c r="U20" s="40">
        <f t="shared" ref="U20:W20" si="10">R20*24</f>
        <v>1104</v>
      </c>
      <c r="V20" s="40">
        <f t="shared" si="10"/>
        <v>1104</v>
      </c>
      <c r="W20" s="40">
        <f t="shared" si="10"/>
        <v>1104</v>
      </c>
      <c r="X20" s="40">
        <v>46</v>
      </c>
      <c r="Y20" s="40">
        <v>46</v>
      </c>
      <c r="Z20" s="40">
        <v>46</v>
      </c>
      <c r="AA20" s="40">
        <f t="shared" ref="AA20:AC20" si="11">X20*24</f>
        <v>1104</v>
      </c>
      <c r="AB20" s="40">
        <f t="shared" si="11"/>
        <v>1104</v>
      </c>
      <c r="AC20" s="40">
        <f t="shared" si="11"/>
        <v>1104</v>
      </c>
      <c r="AD20" s="40">
        <v>46</v>
      </c>
      <c r="AE20" s="40">
        <v>46</v>
      </c>
      <c r="AF20" s="40">
        <v>46</v>
      </c>
      <c r="AG20" s="40">
        <f t="shared" ref="AG20:AI20" si="12">AD20*24</f>
        <v>1104</v>
      </c>
      <c r="AH20" s="40">
        <f t="shared" si="12"/>
        <v>1104</v>
      </c>
      <c r="AI20" s="40">
        <f t="shared" si="12"/>
        <v>1104</v>
      </c>
      <c r="AJ20" s="40">
        <f>O20+P20+Q20+U20+V20+W20+AA20+AB20+AC20+AG20+AH20+AI20</f>
        <v>12696</v>
      </c>
      <c r="AK20" s="40"/>
      <c r="AL20" s="40"/>
      <c r="AM20" s="40">
        <v>4796.3999999999996</v>
      </c>
      <c r="AN20" s="40"/>
      <c r="AO20" s="40">
        <f>AJ20-AM20</f>
        <v>7899.6</v>
      </c>
      <c r="AP20" s="39" t="s">
        <v>53</v>
      </c>
      <c r="AQ20" s="39" t="s">
        <v>81</v>
      </c>
      <c r="AR20" s="39" t="s">
        <v>86</v>
      </c>
      <c r="AS20" s="161">
        <f t="shared" si="1"/>
        <v>0</v>
      </c>
      <c r="AT20" s="161">
        <f t="shared" si="2"/>
        <v>0</v>
      </c>
    </row>
    <row r="21" spans="1:56" s="42" customFormat="1" ht="78.75" customHeight="1">
      <c r="A21" s="1012"/>
      <c r="B21" s="1012"/>
      <c r="C21" s="1012"/>
      <c r="D21" s="1013"/>
      <c r="E21" s="29">
        <f>L21+M21+N21+R21+S21+T21+X21+Y21+Z21+AD21+AE21+AF21</f>
        <v>640</v>
      </c>
      <c r="F21" s="21" t="s">
        <v>87</v>
      </c>
      <c r="G21" s="35" t="s">
        <v>88</v>
      </c>
      <c r="H21" s="22" t="s">
        <v>89</v>
      </c>
      <c r="I21" s="29">
        <v>33</v>
      </c>
      <c r="J21" s="1010"/>
      <c r="K21" s="29">
        <v>33</v>
      </c>
      <c r="L21" s="24">
        <v>30</v>
      </c>
      <c r="M21" s="24">
        <v>50</v>
      </c>
      <c r="N21" s="24">
        <v>75</v>
      </c>
      <c r="O21" s="24">
        <f>19046</f>
        <v>19046</v>
      </c>
      <c r="P21" s="24">
        <f>31741-9000</f>
        <v>22741</v>
      </c>
      <c r="Q21" s="24">
        <f>47612-9000</f>
        <v>38612</v>
      </c>
      <c r="R21" s="24">
        <v>75</v>
      </c>
      <c r="S21" s="24">
        <v>30</v>
      </c>
      <c r="T21" s="24">
        <v>30</v>
      </c>
      <c r="U21" s="24">
        <f>47612-9000</f>
        <v>38612</v>
      </c>
      <c r="V21" s="24">
        <v>19046</v>
      </c>
      <c r="W21" s="24">
        <v>19046</v>
      </c>
      <c r="X21" s="41">
        <v>50</v>
      </c>
      <c r="Y21" s="41">
        <v>75</v>
      </c>
      <c r="Z21" s="41">
        <v>50</v>
      </c>
      <c r="AA21" s="24">
        <v>31741</v>
      </c>
      <c r="AB21" s="24">
        <v>47612</v>
      </c>
      <c r="AC21" s="24">
        <v>31741</v>
      </c>
      <c r="AD21" s="24">
        <v>50</v>
      </c>
      <c r="AE21" s="24">
        <v>75</v>
      </c>
      <c r="AF21" s="24">
        <v>50</v>
      </c>
      <c r="AG21" s="24">
        <v>31741</v>
      </c>
      <c r="AH21" s="24">
        <v>47612</v>
      </c>
      <c r="AI21" s="24">
        <v>31741</v>
      </c>
      <c r="AJ21" s="24">
        <f t="shared" si="0"/>
        <v>379291</v>
      </c>
      <c r="AK21" s="24">
        <f>150693-10000</f>
        <v>140693</v>
      </c>
      <c r="AL21" s="25"/>
      <c r="AM21" s="25">
        <f>+AJ21-AK21</f>
        <v>238598</v>
      </c>
      <c r="AN21" s="25"/>
      <c r="AO21" s="25"/>
      <c r="AP21" s="690" t="s">
        <v>53</v>
      </c>
      <c r="AQ21" s="690" t="s">
        <v>90</v>
      </c>
      <c r="AR21" s="690" t="s">
        <v>91</v>
      </c>
      <c r="AS21" s="161">
        <f t="shared" si="1"/>
        <v>0</v>
      </c>
      <c r="AT21" s="161">
        <f t="shared" si="2"/>
        <v>0</v>
      </c>
      <c r="AU21" s="42">
        <f>10308.2-2398.2</f>
        <v>7910.0000000000009</v>
      </c>
      <c r="AV21" s="42">
        <f>2398.2*2</f>
        <v>4796.3999999999996</v>
      </c>
      <c r="AW21" s="42" t="e">
        <f>(AU21+AV21)/AT21</f>
        <v>#DIV/0!</v>
      </c>
      <c r="AX21" s="42" t="e">
        <f>AV21/AT21</f>
        <v>#DIV/0!</v>
      </c>
      <c r="AZ21" s="42" t="e">
        <f>AX21*23</f>
        <v>#DIV/0!</v>
      </c>
      <c r="BA21" s="42" t="e">
        <f>AX21*46</f>
        <v>#DIV/0!</v>
      </c>
      <c r="BB21" s="42">
        <v>208.52</v>
      </c>
      <c r="BC21" s="42">
        <v>417.08</v>
      </c>
      <c r="BD21" s="42">
        <f>BC21*11</f>
        <v>4587.88</v>
      </c>
    </row>
    <row r="22" spans="1:56" ht="63">
      <c r="A22" s="1012"/>
      <c r="B22" s="1012"/>
      <c r="C22" s="1012"/>
      <c r="D22" s="1013"/>
      <c r="E22" s="36">
        <v>12250000</v>
      </c>
      <c r="F22" s="37" t="s">
        <v>92</v>
      </c>
      <c r="G22" s="38" t="s">
        <v>93</v>
      </c>
      <c r="H22" s="39" t="s">
        <v>94</v>
      </c>
      <c r="I22" s="36"/>
      <c r="J22" s="1010"/>
      <c r="K22" s="36"/>
      <c r="L22" s="40"/>
      <c r="M22" s="40">
        <v>4083333.3333333335</v>
      </c>
      <c r="N22" s="40">
        <v>4083333.3333333335</v>
      </c>
      <c r="O22" s="40"/>
      <c r="P22" s="40">
        <v>9000</v>
      </c>
      <c r="Q22" s="40">
        <v>9000</v>
      </c>
      <c r="R22" s="40">
        <v>4083333.3333333335</v>
      </c>
      <c r="S22" s="40"/>
      <c r="T22" s="40"/>
      <c r="U22" s="40">
        <v>9000</v>
      </c>
      <c r="V22" s="40"/>
      <c r="W22" s="40"/>
      <c r="X22" s="43"/>
      <c r="Y22" s="43"/>
      <c r="Z22" s="43"/>
      <c r="AA22" s="40"/>
      <c r="AB22" s="40"/>
      <c r="AC22" s="40"/>
      <c r="AD22" s="40"/>
      <c r="AE22" s="40"/>
      <c r="AF22" s="40"/>
      <c r="AG22" s="40"/>
      <c r="AH22" s="40"/>
      <c r="AI22" s="40"/>
      <c r="AJ22" s="24">
        <f t="shared" si="0"/>
        <v>27000</v>
      </c>
      <c r="AK22" s="40">
        <v>10000</v>
      </c>
      <c r="AL22" s="40"/>
      <c r="AM22" s="25">
        <f>+AJ22-AK22</f>
        <v>17000</v>
      </c>
      <c r="AN22" s="40"/>
      <c r="AO22" s="40"/>
      <c r="AP22" s="39" t="s">
        <v>53</v>
      </c>
      <c r="AQ22" s="39" t="s">
        <v>90</v>
      </c>
      <c r="AR22" s="39"/>
      <c r="AS22" s="161">
        <f t="shared" si="1"/>
        <v>0</v>
      </c>
      <c r="AT22" s="161">
        <f t="shared" si="2"/>
        <v>0</v>
      </c>
      <c r="BB22" s="1">
        <f>AV21-(BB21+BD21)</f>
        <v>0</v>
      </c>
    </row>
    <row r="23" spans="1:56" s="42" customFormat="1" ht="63">
      <c r="A23" s="1012"/>
      <c r="B23" s="1012"/>
      <c r="C23" s="1012"/>
      <c r="D23" s="1013"/>
      <c r="E23" s="44">
        <f>L23+M23+N23+R23+S23+T23+X23+Y23+Z23+AD23+AE23+AF23</f>
        <v>43.5</v>
      </c>
      <c r="F23" s="21" t="s">
        <v>95</v>
      </c>
      <c r="G23" s="35" t="s">
        <v>96</v>
      </c>
      <c r="H23" s="22" t="s">
        <v>97</v>
      </c>
      <c r="I23" s="29">
        <v>33</v>
      </c>
      <c r="J23" s="1010"/>
      <c r="K23" s="29">
        <v>33</v>
      </c>
      <c r="L23" s="45">
        <v>3.5</v>
      </c>
      <c r="M23" s="45">
        <v>3.5</v>
      </c>
      <c r="N23" s="45">
        <v>3.5</v>
      </c>
      <c r="O23" s="24">
        <v>32690</v>
      </c>
      <c r="P23" s="24">
        <v>32690</v>
      </c>
      <c r="Q23" s="24">
        <v>32690</v>
      </c>
      <c r="R23" s="45">
        <v>3.5</v>
      </c>
      <c r="S23" s="45">
        <v>3.5</v>
      </c>
      <c r="T23" s="45">
        <v>3.5</v>
      </c>
      <c r="U23" s="24">
        <v>32690</v>
      </c>
      <c r="V23" s="24">
        <v>32690</v>
      </c>
      <c r="W23" s="24">
        <v>32690</v>
      </c>
      <c r="X23" s="45">
        <v>4</v>
      </c>
      <c r="Y23" s="45">
        <v>4</v>
      </c>
      <c r="Z23" s="45">
        <v>4</v>
      </c>
      <c r="AA23" s="24">
        <v>37360</v>
      </c>
      <c r="AB23" s="24">
        <v>37360</v>
      </c>
      <c r="AC23" s="24">
        <v>37361</v>
      </c>
      <c r="AD23" s="45">
        <v>3.5</v>
      </c>
      <c r="AE23" s="45">
        <v>3.5</v>
      </c>
      <c r="AF23" s="45">
        <v>3.5</v>
      </c>
      <c r="AG23" s="24">
        <v>32690</v>
      </c>
      <c r="AH23" s="24">
        <v>32690</v>
      </c>
      <c r="AI23" s="24">
        <v>32690</v>
      </c>
      <c r="AJ23" s="24">
        <f t="shared" si="0"/>
        <v>406291</v>
      </c>
      <c r="AK23" s="24">
        <v>150693</v>
      </c>
      <c r="AL23" s="25"/>
      <c r="AM23" s="25">
        <v>255598</v>
      </c>
      <c r="AN23" s="25"/>
      <c r="AO23" s="25"/>
      <c r="AP23" s="690" t="s">
        <v>53</v>
      </c>
      <c r="AQ23" s="690" t="s">
        <v>90</v>
      </c>
      <c r="AR23" s="690" t="s">
        <v>91</v>
      </c>
      <c r="AS23" s="161">
        <f t="shared" si="1"/>
        <v>0</v>
      </c>
      <c r="AT23" s="161">
        <f t="shared" si="2"/>
        <v>0</v>
      </c>
    </row>
    <row r="24" spans="1:56" ht="77.25" customHeight="1">
      <c r="A24" s="1001"/>
      <c r="B24" s="1001"/>
      <c r="C24" s="1001"/>
      <c r="D24" s="1003"/>
      <c r="E24" s="20">
        <v>1</v>
      </c>
      <c r="F24" s="21" t="s">
        <v>98</v>
      </c>
      <c r="G24" s="35" t="s">
        <v>99</v>
      </c>
      <c r="H24" s="46" t="s">
        <v>100</v>
      </c>
      <c r="I24" s="20">
        <v>1</v>
      </c>
      <c r="J24" s="1009"/>
      <c r="K24" s="29">
        <v>1</v>
      </c>
      <c r="L24" s="45"/>
      <c r="M24" s="45"/>
      <c r="N24" s="45"/>
      <c r="O24" s="24"/>
      <c r="P24" s="24"/>
      <c r="Q24" s="24"/>
      <c r="R24" s="45"/>
      <c r="S24" s="45"/>
      <c r="T24" s="45"/>
      <c r="U24" s="24"/>
      <c r="V24" s="24"/>
      <c r="W24" s="24"/>
      <c r="X24" s="47">
        <v>1</v>
      </c>
      <c r="Y24" s="47">
        <v>1</v>
      </c>
      <c r="Z24" s="47">
        <v>1</v>
      </c>
      <c r="AA24" s="24">
        <v>2052</v>
      </c>
      <c r="AB24" s="24">
        <v>2052</v>
      </c>
      <c r="AC24" s="24">
        <v>2052</v>
      </c>
      <c r="AD24" s="47">
        <v>1</v>
      </c>
      <c r="AE24" s="47">
        <v>1</v>
      </c>
      <c r="AF24" s="47">
        <v>1</v>
      </c>
      <c r="AG24" s="24">
        <v>2052</v>
      </c>
      <c r="AH24" s="24">
        <v>2052</v>
      </c>
      <c r="AI24" s="24">
        <v>2052</v>
      </c>
      <c r="AJ24" s="24">
        <f t="shared" si="0"/>
        <v>12312</v>
      </c>
      <c r="AK24" s="24">
        <v>4567</v>
      </c>
      <c r="AL24" s="25"/>
      <c r="AM24" s="25">
        <v>7745</v>
      </c>
      <c r="AN24" s="25"/>
      <c r="AO24" s="25"/>
      <c r="AP24" s="690" t="s">
        <v>101</v>
      </c>
      <c r="AQ24" s="690" t="s">
        <v>102</v>
      </c>
      <c r="AR24" s="690" t="s">
        <v>76</v>
      </c>
      <c r="AS24" s="161">
        <f t="shared" si="1"/>
        <v>0</v>
      </c>
      <c r="AT24" s="161">
        <f t="shared" si="2"/>
        <v>0</v>
      </c>
    </row>
    <row r="25" spans="1:56" ht="82.5" customHeight="1">
      <c r="A25" s="10" t="s">
        <v>44</v>
      </c>
      <c r="B25" s="10" t="s">
        <v>103</v>
      </c>
      <c r="C25" s="10" t="s">
        <v>104</v>
      </c>
      <c r="D25" s="11" t="s">
        <v>105</v>
      </c>
      <c r="E25" s="12"/>
      <c r="F25" s="13"/>
      <c r="G25" s="14"/>
      <c r="H25" s="15"/>
      <c r="I25" s="16">
        <v>5</v>
      </c>
      <c r="J25" s="17">
        <v>4</v>
      </c>
      <c r="K25" s="16"/>
      <c r="L25" s="18"/>
      <c r="M25" s="18"/>
      <c r="N25" s="18"/>
      <c r="O25" s="19">
        <f>O26+O27+O28</f>
        <v>5991</v>
      </c>
      <c r="P25" s="19">
        <f>P26+P27+P28</f>
        <v>8506</v>
      </c>
      <c r="Q25" s="19">
        <f>Q26+Q27+Q28</f>
        <v>9344</v>
      </c>
      <c r="R25" s="18"/>
      <c r="S25" s="18"/>
      <c r="T25" s="18"/>
      <c r="U25" s="19">
        <f>U26+U27+U28</f>
        <v>9762</v>
      </c>
      <c r="V25" s="19">
        <f>V26+V27+V28</f>
        <v>9762</v>
      </c>
      <c r="W25" s="19">
        <f>W26+W27+W28</f>
        <v>9762</v>
      </c>
      <c r="X25" s="48"/>
      <c r="Y25" s="48"/>
      <c r="Z25" s="48"/>
      <c r="AA25" s="19">
        <f>AA26+AA27+AA28</f>
        <v>9972</v>
      </c>
      <c r="AB25" s="19">
        <f>AB26+AB27+AB28</f>
        <v>9972</v>
      </c>
      <c r="AC25" s="19">
        <f>AC26+AC27+AC28</f>
        <v>9972</v>
      </c>
      <c r="AD25" s="48"/>
      <c r="AE25" s="48"/>
      <c r="AF25" s="48"/>
      <c r="AG25" s="19">
        <f>AG26+AG27+AG28</f>
        <v>7875</v>
      </c>
      <c r="AH25" s="19">
        <f>AH26+AH27+AH28</f>
        <v>7456</v>
      </c>
      <c r="AI25" s="19">
        <f>AI26+AI27+AI28</f>
        <v>6408</v>
      </c>
      <c r="AJ25" s="19">
        <f>O25+P25+Q25+U25+V25+W25+AA25+AB25+AC25+AG25+AH25+AI25</f>
        <v>104782</v>
      </c>
      <c r="AK25" s="19">
        <v>38864</v>
      </c>
      <c r="AL25" s="19"/>
      <c r="AM25" s="19">
        <v>65918</v>
      </c>
      <c r="AN25" s="19"/>
      <c r="AO25" s="19"/>
      <c r="AP25" s="11"/>
      <c r="AQ25" s="11"/>
      <c r="AR25" s="11"/>
      <c r="AS25" s="161">
        <f t="shared" si="1"/>
        <v>0</v>
      </c>
      <c r="AT25" s="161">
        <f t="shared" si="2"/>
        <v>0</v>
      </c>
    </row>
    <row r="26" spans="1:56" ht="110.25">
      <c r="A26" s="1000" t="s">
        <v>44</v>
      </c>
      <c r="B26" s="1000" t="s">
        <v>103</v>
      </c>
      <c r="C26" s="49" t="s">
        <v>106</v>
      </c>
      <c r="D26" s="22" t="s">
        <v>107</v>
      </c>
      <c r="E26" s="34">
        <v>0.1</v>
      </c>
      <c r="F26" s="21" t="s">
        <v>61</v>
      </c>
      <c r="G26" s="32" t="s">
        <v>108</v>
      </c>
      <c r="H26" s="28" t="s">
        <v>63</v>
      </c>
      <c r="I26" s="29">
        <v>1</v>
      </c>
      <c r="J26" s="30"/>
      <c r="K26" s="29">
        <v>1</v>
      </c>
      <c r="L26" s="31"/>
      <c r="M26" s="31"/>
      <c r="N26" s="31"/>
      <c r="O26" s="24"/>
      <c r="P26" s="24"/>
      <c r="Q26" s="24"/>
      <c r="R26" s="31"/>
      <c r="S26" s="31"/>
      <c r="T26" s="31"/>
      <c r="U26" s="24"/>
      <c r="V26" s="24"/>
      <c r="W26" s="24"/>
      <c r="X26" s="31">
        <v>0.02</v>
      </c>
      <c r="Y26" s="31">
        <v>0.02</v>
      </c>
      <c r="Z26" s="31">
        <v>0.02</v>
      </c>
      <c r="AA26" s="24">
        <v>210</v>
      </c>
      <c r="AB26" s="24">
        <v>210</v>
      </c>
      <c r="AC26" s="24">
        <v>210</v>
      </c>
      <c r="AD26" s="31">
        <v>0.02</v>
      </c>
      <c r="AE26" s="31">
        <v>0.02</v>
      </c>
      <c r="AF26" s="24"/>
      <c r="AG26" s="24">
        <v>209</v>
      </c>
      <c r="AH26" s="24">
        <v>209</v>
      </c>
      <c r="AI26" s="24"/>
      <c r="AJ26" s="24">
        <f t="shared" si="0"/>
        <v>1048</v>
      </c>
      <c r="AK26" s="24">
        <v>389</v>
      </c>
      <c r="AL26" s="25"/>
      <c r="AM26" s="25">
        <v>659</v>
      </c>
      <c r="AN26" s="25"/>
      <c r="AO26" s="25"/>
      <c r="AP26" s="690" t="s">
        <v>109</v>
      </c>
      <c r="AQ26" s="690" t="s">
        <v>81</v>
      </c>
      <c r="AR26" s="32" t="s">
        <v>64</v>
      </c>
      <c r="AS26" s="161">
        <f t="shared" si="1"/>
        <v>0</v>
      </c>
      <c r="AT26" s="161">
        <f t="shared" si="2"/>
        <v>0</v>
      </c>
    </row>
    <row r="27" spans="1:56" ht="78.75">
      <c r="A27" s="1012"/>
      <c r="B27" s="1012"/>
      <c r="C27" s="49" t="s">
        <v>110</v>
      </c>
      <c r="D27" s="22" t="s">
        <v>111</v>
      </c>
      <c r="E27" s="20">
        <f>L27+M27+N27+R27+S27+T27+X27+Y27+Z27+AD27+AE27+AF27</f>
        <v>900</v>
      </c>
      <c r="F27" s="21" t="s">
        <v>51</v>
      </c>
      <c r="G27" s="35" t="s">
        <v>112</v>
      </c>
      <c r="H27" s="28" t="s">
        <v>113</v>
      </c>
      <c r="I27" s="29">
        <v>59</v>
      </c>
      <c r="J27" s="30"/>
      <c r="K27" s="29">
        <v>59</v>
      </c>
      <c r="L27" s="24">
        <v>75</v>
      </c>
      <c r="M27" s="24">
        <v>75</v>
      </c>
      <c r="N27" s="24">
        <v>75</v>
      </c>
      <c r="O27" s="24">
        <v>5152</v>
      </c>
      <c r="P27" s="24">
        <v>5152</v>
      </c>
      <c r="Q27" s="24">
        <v>5152</v>
      </c>
      <c r="R27" s="24">
        <v>75</v>
      </c>
      <c r="S27" s="24">
        <v>75</v>
      </c>
      <c r="T27" s="24">
        <v>75</v>
      </c>
      <c r="U27" s="24">
        <v>5152</v>
      </c>
      <c r="V27" s="24">
        <v>5152</v>
      </c>
      <c r="W27" s="24">
        <v>5152</v>
      </c>
      <c r="X27" s="24">
        <v>75</v>
      </c>
      <c r="Y27" s="24">
        <v>75</v>
      </c>
      <c r="Z27" s="24">
        <v>75</v>
      </c>
      <c r="AA27" s="24">
        <v>5152</v>
      </c>
      <c r="AB27" s="24">
        <v>5152</v>
      </c>
      <c r="AC27" s="24">
        <v>5152</v>
      </c>
      <c r="AD27" s="24">
        <v>75</v>
      </c>
      <c r="AE27" s="24">
        <v>75</v>
      </c>
      <c r="AF27" s="24">
        <v>75</v>
      </c>
      <c r="AG27" s="24">
        <v>5151</v>
      </c>
      <c r="AH27" s="24">
        <v>5151</v>
      </c>
      <c r="AI27" s="24">
        <v>5151</v>
      </c>
      <c r="AJ27" s="24">
        <f t="shared" si="0"/>
        <v>61821</v>
      </c>
      <c r="AK27" s="24">
        <v>22930</v>
      </c>
      <c r="AL27" s="25"/>
      <c r="AM27" s="25">
        <v>38891</v>
      </c>
      <c r="AN27" s="25"/>
      <c r="AO27" s="25"/>
      <c r="AP27" s="690" t="s">
        <v>53</v>
      </c>
      <c r="AQ27" s="690" t="s">
        <v>114</v>
      </c>
      <c r="AR27" s="690"/>
      <c r="AS27" s="161">
        <f t="shared" si="1"/>
        <v>0</v>
      </c>
      <c r="AT27" s="161">
        <f t="shared" si="2"/>
        <v>0</v>
      </c>
    </row>
    <row r="28" spans="1:56" ht="62.25" customHeight="1">
      <c r="A28" s="1001"/>
      <c r="B28" s="1001"/>
      <c r="C28" s="49" t="s">
        <v>115</v>
      </c>
      <c r="D28" s="22" t="s">
        <v>116</v>
      </c>
      <c r="E28" s="20">
        <f>L28+M28+N28+R28+S28+T28+X28+Y28+Z28+AD28+AE28+AF28</f>
        <v>500</v>
      </c>
      <c r="F28" s="21" t="s">
        <v>56</v>
      </c>
      <c r="G28" s="35" t="s">
        <v>117</v>
      </c>
      <c r="H28" s="28" t="s">
        <v>118</v>
      </c>
      <c r="I28" s="29">
        <v>40</v>
      </c>
      <c r="J28" s="30"/>
      <c r="K28" s="29">
        <v>40</v>
      </c>
      <c r="L28" s="24">
        <v>10</v>
      </c>
      <c r="M28" s="24">
        <v>40</v>
      </c>
      <c r="N28" s="24">
        <v>50</v>
      </c>
      <c r="O28" s="24">
        <v>839</v>
      </c>
      <c r="P28" s="24">
        <v>3354</v>
      </c>
      <c r="Q28" s="24">
        <v>4192</v>
      </c>
      <c r="R28" s="24">
        <v>55</v>
      </c>
      <c r="S28" s="24">
        <v>55</v>
      </c>
      <c r="T28" s="24">
        <v>55</v>
      </c>
      <c r="U28" s="24">
        <v>4610</v>
      </c>
      <c r="V28" s="24">
        <v>4610</v>
      </c>
      <c r="W28" s="24">
        <v>4610</v>
      </c>
      <c r="X28" s="24">
        <v>55</v>
      </c>
      <c r="Y28" s="24">
        <v>55</v>
      </c>
      <c r="Z28" s="24">
        <v>55</v>
      </c>
      <c r="AA28" s="24">
        <v>4610</v>
      </c>
      <c r="AB28" s="24">
        <v>4610</v>
      </c>
      <c r="AC28" s="24">
        <v>4610</v>
      </c>
      <c r="AD28" s="24">
        <v>30</v>
      </c>
      <c r="AE28" s="24">
        <v>25</v>
      </c>
      <c r="AF28" s="24">
        <v>15</v>
      </c>
      <c r="AG28" s="24">
        <v>2515</v>
      </c>
      <c r="AH28" s="24">
        <v>2096</v>
      </c>
      <c r="AI28" s="24">
        <v>1257</v>
      </c>
      <c r="AJ28" s="24">
        <f t="shared" si="0"/>
        <v>41913</v>
      </c>
      <c r="AK28" s="24">
        <v>15545</v>
      </c>
      <c r="AL28" s="25"/>
      <c r="AM28" s="25">
        <v>26368</v>
      </c>
      <c r="AN28" s="25"/>
      <c r="AO28" s="25"/>
      <c r="AP28" s="690" t="s">
        <v>53</v>
      </c>
      <c r="AQ28" s="690" t="s">
        <v>114</v>
      </c>
      <c r="AR28" s="690"/>
      <c r="AS28" s="161">
        <f t="shared" si="1"/>
        <v>0</v>
      </c>
      <c r="AT28" s="161">
        <f t="shared" si="2"/>
        <v>0</v>
      </c>
    </row>
    <row r="29" spans="1:56" ht="56.25" customHeight="1">
      <c r="A29" s="10" t="s">
        <v>44</v>
      </c>
      <c r="B29" s="10" t="s">
        <v>103</v>
      </c>
      <c r="C29" s="10" t="s">
        <v>119</v>
      </c>
      <c r="D29" s="11" t="s">
        <v>120</v>
      </c>
      <c r="E29" s="50"/>
      <c r="F29" s="13"/>
      <c r="G29" s="14"/>
      <c r="H29" s="15"/>
      <c r="I29" s="16">
        <v>5</v>
      </c>
      <c r="J29" s="17">
        <v>4</v>
      </c>
      <c r="K29" s="16"/>
      <c r="L29" s="50"/>
      <c r="M29" s="50"/>
      <c r="N29" s="50"/>
      <c r="O29" s="19"/>
      <c r="P29" s="19"/>
      <c r="Q29" s="19"/>
      <c r="R29" s="50"/>
      <c r="S29" s="50"/>
      <c r="T29" s="50"/>
      <c r="U29" s="19"/>
      <c r="V29" s="19"/>
      <c r="W29" s="19"/>
      <c r="X29" s="50"/>
      <c r="Y29" s="50"/>
      <c r="Z29" s="50"/>
      <c r="AA29" s="19">
        <f t="shared" ref="AA29:AC29" si="13">AA30</f>
        <v>20956</v>
      </c>
      <c r="AB29" s="19">
        <f t="shared" si="13"/>
        <v>20956</v>
      </c>
      <c r="AC29" s="19">
        <f t="shared" si="13"/>
        <v>20956</v>
      </c>
      <c r="AD29" s="50"/>
      <c r="AE29" s="50"/>
      <c r="AF29" s="50"/>
      <c r="AG29" s="19">
        <f t="shared" ref="AG29:AI29" si="14">AG30</f>
        <v>20957</v>
      </c>
      <c r="AH29" s="19">
        <f t="shared" si="14"/>
        <v>20957</v>
      </c>
      <c r="AI29" s="19">
        <f t="shared" si="14"/>
        <v>0</v>
      </c>
      <c r="AJ29" s="19">
        <f>O29+P29+Q29+U29+V29+W29+AA29+AB29+AC29+AG29+AH29+AI29</f>
        <v>104782</v>
      </c>
      <c r="AK29" s="19">
        <v>38864</v>
      </c>
      <c r="AL29" s="19"/>
      <c r="AM29" s="19">
        <v>65918</v>
      </c>
      <c r="AN29" s="19"/>
      <c r="AO29" s="19"/>
      <c r="AP29" s="11"/>
      <c r="AQ29" s="11"/>
      <c r="AR29" s="11"/>
      <c r="AS29" s="161">
        <f t="shared" si="1"/>
        <v>0</v>
      </c>
      <c r="AT29" s="161">
        <f t="shared" si="2"/>
        <v>0</v>
      </c>
    </row>
    <row r="30" spans="1:56" ht="110.25">
      <c r="A30" s="26" t="s">
        <v>44</v>
      </c>
      <c r="B30" s="26" t="s">
        <v>103</v>
      </c>
      <c r="C30" s="26" t="s">
        <v>122</v>
      </c>
      <c r="D30" s="22" t="s">
        <v>123</v>
      </c>
      <c r="E30" s="34">
        <v>0.1</v>
      </c>
      <c r="F30" s="21" t="s">
        <v>79</v>
      </c>
      <c r="G30" s="32" t="s">
        <v>124</v>
      </c>
      <c r="H30" s="28" t="s">
        <v>63</v>
      </c>
      <c r="I30" s="29">
        <v>100</v>
      </c>
      <c r="J30" s="30"/>
      <c r="K30" s="29">
        <v>100</v>
      </c>
      <c r="L30" s="51"/>
      <c r="M30" s="51"/>
      <c r="N30" s="51"/>
      <c r="O30" s="25"/>
      <c r="P30" s="25"/>
      <c r="Q30" s="25"/>
      <c r="R30" s="51"/>
      <c r="S30" s="51"/>
      <c r="T30" s="51"/>
      <c r="U30" s="25"/>
      <c r="V30" s="25"/>
      <c r="W30" s="25"/>
      <c r="X30" s="51">
        <v>0.02</v>
      </c>
      <c r="Y30" s="51">
        <v>0.02</v>
      </c>
      <c r="Z30" s="51">
        <v>0.02</v>
      </c>
      <c r="AA30" s="25">
        <v>20956</v>
      </c>
      <c r="AB30" s="25">
        <v>20956</v>
      </c>
      <c r="AC30" s="25">
        <v>20956</v>
      </c>
      <c r="AD30" s="51">
        <v>0.02</v>
      </c>
      <c r="AE30" s="51">
        <v>0.02</v>
      </c>
      <c r="AF30" s="51"/>
      <c r="AG30" s="25">
        <v>20957</v>
      </c>
      <c r="AH30" s="25">
        <v>20957</v>
      </c>
      <c r="AI30" s="25"/>
      <c r="AJ30" s="24">
        <f t="shared" si="0"/>
        <v>104782</v>
      </c>
      <c r="AK30" s="24">
        <v>38864</v>
      </c>
      <c r="AL30" s="25"/>
      <c r="AM30" s="24">
        <v>65918</v>
      </c>
      <c r="AN30" s="24"/>
      <c r="AO30" s="24"/>
      <c r="AP30" s="690" t="s">
        <v>125</v>
      </c>
      <c r="AQ30" s="690" t="s">
        <v>121</v>
      </c>
      <c r="AR30" s="32" t="s">
        <v>64</v>
      </c>
      <c r="AS30" s="161">
        <f t="shared" si="1"/>
        <v>0</v>
      </c>
      <c r="AT30" s="161">
        <f t="shared" si="2"/>
        <v>0</v>
      </c>
    </row>
    <row r="31" spans="1:56" ht="63">
      <c r="A31" s="10" t="s">
        <v>44</v>
      </c>
      <c r="B31" s="10" t="s">
        <v>126</v>
      </c>
      <c r="C31" s="10" t="s">
        <v>127</v>
      </c>
      <c r="D31" s="11" t="s">
        <v>128</v>
      </c>
      <c r="E31" s="12"/>
      <c r="F31" s="13"/>
      <c r="G31" s="14"/>
      <c r="H31" s="15"/>
      <c r="I31" s="16">
        <v>7</v>
      </c>
      <c r="J31" s="17">
        <v>5</v>
      </c>
      <c r="K31" s="16"/>
      <c r="L31" s="18"/>
      <c r="M31" s="18"/>
      <c r="N31" s="18"/>
      <c r="O31" s="19">
        <f t="shared" ref="O31:AI31" si="15">O32+O33+O34+O35</f>
        <v>1874</v>
      </c>
      <c r="P31" s="19">
        <f t="shared" si="15"/>
        <v>6356</v>
      </c>
      <c r="Q31" s="19">
        <f t="shared" si="15"/>
        <v>22073</v>
      </c>
      <c r="R31" s="18"/>
      <c r="S31" s="18"/>
      <c r="T31" s="18"/>
      <c r="U31" s="19">
        <f t="shared" si="15"/>
        <v>14214</v>
      </c>
      <c r="V31" s="19">
        <f t="shared" si="15"/>
        <v>4481</v>
      </c>
      <c r="W31" s="19">
        <f t="shared" si="15"/>
        <v>24126</v>
      </c>
      <c r="X31" s="18"/>
      <c r="Y31" s="18"/>
      <c r="Z31" s="18"/>
      <c r="AA31" s="19">
        <f t="shared" si="15"/>
        <v>11607</v>
      </c>
      <c r="AB31" s="19">
        <f t="shared" si="15"/>
        <v>11607</v>
      </c>
      <c r="AC31" s="19">
        <f t="shared" si="15"/>
        <v>15536</v>
      </c>
      <c r="AD31" s="48"/>
      <c r="AE31" s="48"/>
      <c r="AF31" s="48"/>
      <c r="AG31" s="19">
        <f t="shared" si="15"/>
        <v>11607</v>
      </c>
      <c r="AH31" s="19">
        <f t="shared" si="15"/>
        <v>3748</v>
      </c>
      <c r="AI31" s="19">
        <f t="shared" si="15"/>
        <v>3748</v>
      </c>
      <c r="AJ31" s="19">
        <f>O31+P31+Q31+U31+V31+W31+AA31+AB31+AC31+AG31+AH31+AI31</f>
        <v>130977</v>
      </c>
      <c r="AK31" s="19">
        <v>48580</v>
      </c>
      <c r="AL31" s="19"/>
      <c r="AM31" s="19">
        <v>82397</v>
      </c>
      <c r="AN31" s="19"/>
      <c r="AO31" s="19"/>
      <c r="AP31" s="11"/>
      <c r="AQ31" s="11"/>
      <c r="AR31" s="11"/>
      <c r="AS31" s="161">
        <f t="shared" si="1"/>
        <v>0</v>
      </c>
      <c r="AT31" s="161">
        <f t="shared" si="2"/>
        <v>0</v>
      </c>
    </row>
    <row r="32" spans="1:56" ht="32.25" customHeight="1">
      <c r="A32" s="1000" t="s">
        <v>44</v>
      </c>
      <c r="B32" s="1000" t="s">
        <v>126</v>
      </c>
      <c r="C32" s="1000" t="s">
        <v>129</v>
      </c>
      <c r="D32" s="1002" t="s">
        <v>130</v>
      </c>
      <c r="E32" s="29">
        <f>L32+M32+N32+R32+S32+T32+X32+Y32+Z32+AD32+AE32+AF32</f>
        <v>38</v>
      </c>
      <c r="F32" s="26" t="s">
        <v>131</v>
      </c>
      <c r="G32" s="996" t="s">
        <v>132</v>
      </c>
      <c r="H32" s="998" t="s">
        <v>133</v>
      </c>
      <c r="I32" s="1011">
        <v>60</v>
      </c>
      <c r="J32" s="1006"/>
      <c r="K32" s="1008">
        <v>60</v>
      </c>
      <c r="L32" s="24"/>
      <c r="M32" s="24"/>
      <c r="N32" s="24">
        <v>8</v>
      </c>
      <c r="O32" s="24"/>
      <c r="P32" s="24"/>
      <c r="Q32" s="24">
        <v>15717</v>
      </c>
      <c r="R32" s="24">
        <v>4</v>
      </c>
      <c r="S32" s="24"/>
      <c r="T32" s="24">
        <v>10</v>
      </c>
      <c r="U32" s="24">
        <v>7859</v>
      </c>
      <c r="V32" s="24"/>
      <c r="W32" s="24">
        <v>19645</v>
      </c>
      <c r="X32" s="24">
        <v>4</v>
      </c>
      <c r="Y32" s="24">
        <v>4</v>
      </c>
      <c r="Z32" s="24">
        <v>4</v>
      </c>
      <c r="AA32" s="24">
        <v>7859</v>
      </c>
      <c r="AB32" s="24">
        <v>7859</v>
      </c>
      <c r="AC32" s="24">
        <v>7859</v>
      </c>
      <c r="AD32" s="24">
        <v>4</v>
      </c>
      <c r="AE32" s="24"/>
      <c r="AF32" s="24"/>
      <c r="AG32" s="24">
        <v>7859</v>
      </c>
      <c r="AH32" s="25"/>
      <c r="AI32" s="25"/>
      <c r="AJ32" s="24">
        <f t="shared" si="0"/>
        <v>74657</v>
      </c>
      <c r="AK32" s="24">
        <v>27690</v>
      </c>
      <c r="AL32" s="25"/>
      <c r="AM32" s="25">
        <v>46967</v>
      </c>
      <c r="AN32" s="25"/>
      <c r="AO32" s="25"/>
      <c r="AP32" s="688" t="s">
        <v>53</v>
      </c>
      <c r="AQ32" s="690" t="s">
        <v>67</v>
      </c>
      <c r="AR32" s="690"/>
      <c r="AS32" s="161">
        <f t="shared" si="1"/>
        <v>0</v>
      </c>
      <c r="AT32" s="161">
        <f t="shared" si="2"/>
        <v>0</v>
      </c>
    </row>
    <row r="33" spans="1:46" ht="32.25" customHeight="1">
      <c r="A33" s="1001"/>
      <c r="B33" s="1001"/>
      <c r="C33" s="1001"/>
      <c r="D33" s="1003"/>
      <c r="E33" s="29">
        <f>L33+M33+N33+R33+S33+T33+X33+Y33+Z33+AD33+AE33+AF33</f>
        <v>2</v>
      </c>
      <c r="F33" s="26" t="s">
        <v>134</v>
      </c>
      <c r="G33" s="997"/>
      <c r="H33" s="999"/>
      <c r="I33" s="1011"/>
      <c r="J33" s="1007"/>
      <c r="K33" s="1009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>
        <v>2</v>
      </c>
      <c r="AA33" s="24"/>
      <c r="AB33" s="24"/>
      <c r="AC33" s="24">
        <v>3929</v>
      </c>
      <c r="AD33" s="24"/>
      <c r="AE33" s="24"/>
      <c r="AF33" s="24"/>
      <c r="AG33" s="25"/>
      <c r="AH33" s="25"/>
      <c r="AI33" s="25"/>
      <c r="AJ33" s="24">
        <f t="shared" si="0"/>
        <v>3929</v>
      </c>
      <c r="AK33" s="24">
        <v>1458</v>
      </c>
      <c r="AL33" s="25"/>
      <c r="AM33" s="25">
        <v>2471</v>
      </c>
      <c r="AN33" s="25"/>
      <c r="AO33" s="25"/>
      <c r="AP33" s="689"/>
      <c r="AQ33" s="690" t="s">
        <v>67</v>
      </c>
      <c r="AR33" s="690"/>
      <c r="AS33" s="161">
        <f t="shared" si="1"/>
        <v>0</v>
      </c>
      <c r="AT33" s="161">
        <f t="shared" si="2"/>
        <v>0</v>
      </c>
    </row>
    <row r="34" spans="1:46" ht="48.75" customHeight="1">
      <c r="A34" s="1000" t="s">
        <v>44</v>
      </c>
      <c r="B34" s="1000" t="s">
        <v>126</v>
      </c>
      <c r="C34" s="1000" t="s">
        <v>135</v>
      </c>
      <c r="D34" s="1002" t="s">
        <v>136</v>
      </c>
      <c r="E34" s="29">
        <v>130</v>
      </c>
      <c r="F34" s="26" t="s">
        <v>131</v>
      </c>
      <c r="G34" s="996" t="s">
        <v>137</v>
      </c>
      <c r="H34" s="998" t="s">
        <v>133</v>
      </c>
      <c r="I34" s="1011">
        <v>40</v>
      </c>
      <c r="J34" s="1006"/>
      <c r="K34" s="1008">
        <v>40</v>
      </c>
      <c r="L34" s="24">
        <v>5</v>
      </c>
      <c r="M34" s="24">
        <v>15</v>
      </c>
      <c r="N34" s="24">
        <v>15</v>
      </c>
      <c r="O34" s="24">
        <v>1874</v>
      </c>
      <c r="P34" s="24">
        <v>5622</v>
      </c>
      <c r="Q34" s="24">
        <v>5622</v>
      </c>
      <c r="R34" s="24">
        <v>15</v>
      </c>
      <c r="S34" s="24">
        <v>10</v>
      </c>
      <c r="T34" s="24">
        <v>10</v>
      </c>
      <c r="U34" s="24">
        <v>5622</v>
      </c>
      <c r="V34" s="24">
        <v>3748</v>
      </c>
      <c r="W34" s="24">
        <v>3748</v>
      </c>
      <c r="X34" s="24">
        <v>10</v>
      </c>
      <c r="Y34" s="24">
        <v>10</v>
      </c>
      <c r="Z34" s="24">
        <v>10</v>
      </c>
      <c r="AA34" s="24">
        <v>3748</v>
      </c>
      <c r="AB34" s="24">
        <v>3748</v>
      </c>
      <c r="AC34" s="24">
        <v>3748</v>
      </c>
      <c r="AD34" s="24">
        <v>10</v>
      </c>
      <c r="AE34" s="24">
        <v>10</v>
      </c>
      <c r="AF34" s="24">
        <v>10</v>
      </c>
      <c r="AG34" s="24">
        <v>3748</v>
      </c>
      <c r="AH34" s="24">
        <v>3748</v>
      </c>
      <c r="AI34" s="24">
        <v>3748</v>
      </c>
      <c r="AJ34" s="24">
        <f>O34+P34+Q34+U34+V34+W34+AA34+AB34+AC34+AG34+AH34+AI34</f>
        <v>48724</v>
      </c>
      <c r="AK34" s="24">
        <v>18072</v>
      </c>
      <c r="AL34" s="25"/>
      <c r="AM34" s="25">
        <v>30652</v>
      </c>
      <c r="AN34" s="25"/>
      <c r="AO34" s="25"/>
      <c r="AP34" s="688" t="s">
        <v>53</v>
      </c>
      <c r="AQ34" s="690" t="s">
        <v>67</v>
      </c>
      <c r="AR34" s="690"/>
      <c r="AS34" s="161">
        <f t="shared" si="1"/>
        <v>0</v>
      </c>
      <c r="AT34" s="161">
        <f t="shared" si="2"/>
        <v>0</v>
      </c>
    </row>
    <row r="35" spans="1:46" ht="48.75" customHeight="1">
      <c r="A35" s="1001"/>
      <c r="B35" s="1001"/>
      <c r="C35" s="1001"/>
      <c r="D35" s="1003"/>
      <c r="E35" s="29">
        <f>L35+M35+N35+R35+S35+T35+X35+Y35+Z35+AD35+AE35+AF35</f>
        <v>10</v>
      </c>
      <c r="F35" s="26" t="s">
        <v>134</v>
      </c>
      <c r="G35" s="997"/>
      <c r="H35" s="999"/>
      <c r="I35" s="1011"/>
      <c r="J35" s="1007"/>
      <c r="K35" s="1009"/>
      <c r="L35" s="24"/>
      <c r="M35" s="24">
        <v>2</v>
      </c>
      <c r="N35" s="24">
        <v>2</v>
      </c>
      <c r="P35" s="24">
        <v>734</v>
      </c>
      <c r="Q35" s="24">
        <v>734</v>
      </c>
      <c r="R35" s="24">
        <v>2</v>
      </c>
      <c r="S35" s="24">
        <v>2</v>
      </c>
      <c r="T35" s="24">
        <v>2</v>
      </c>
      <c r="U35" s="24">
        <v>733</v>
      </c>
      <c r="V35" s="24">
        <v>733</v>
      </c>
      <c r="W35" s="24">
        <v>733</v>
      </c>
      <c r="X35" s="24"/>
      <c r="Y35" s="24"/>
      <c r="Z35" s="24"/>
      <c r="AA35" s="24"/>
      <c r="AB35" s="24"/>
      <c r="AC35" s="24"/>
      <c r="AD35" s="24"/>
      <c r="AE35" s="24"/>
      <c r="AF35" s="24"/>
      <c r="AG35" s="25"/>
      <c r="AH35" s="25"/>
      <c r="AI35" s="25"/>
      <c r="AJ35" s="24">
        <f>O35+P35+Q35+U35+V35+W35+AA35+AB35+AC35+AG35+AH35+AI35</f>
        <v>3667</v>
      </c>
      <c r="AK35" s="24">
        <v>1360</v>
      </c>
      <c r="AL35" s="25"/>
      <c r="AM35" s="25">
        <v>2307</v>
      </c>
      <c r="AN35" s="25"/>
      <c r="AO35" s="25"/>
      <c r="AP35" s="689"/>
      <c r="AQ35" s="690" t="s">
        <v>67</v>
      </c>
      <c r="AR35" s="690"/>
      <c r="AS35" s="161">
        <f t="shared" si="1"/>
        <v>0</v>
      </c>
      <c r="AT35" s="161">
        <f t="shared" si="2"/>
        <v>0</v>
      </c>
    </row>
    <row r="36" spans="1:46" ht="31.5">
      <c r="A36" s="10" t="s">
        <v>138</v>
      </c>
      <c r="B36" s="10" t="s">
        <v>139</v>
      </c>
      <c r="C36" s="10" t="s">
        <v>140</v>
      </c>
      <c r="D36" s="11" t="s">
        <v>141</v>
      </c>
      <c r="E36" s="12"/>
      <c r="F36" s="13"/>
      <c r="G36" s="14"/>
      <c r="H36" s="15"/>
      <c r="I36" s="16">
        <v>100</v>
      </c>
      <c r="J36" s="17">
        <v>1</v>
      </c>
      <c r="K36" s="16"/>
      <c r="L36" s="18"/>
      <c r="M36" s="18"/>
      <c r="N36" s="18"/>
      <c r="O36" s="19"/>
      <c r="P36" s="19"/>
      <c r="Q36" s="19">
        <f t="shared" ref="Q36:AG36" si="16">Q37</f>
        <v>5239</v>
      </c>
      <c r="R36" s="18"/>
      <c r="S36" s="18"/>
      <c r="T36" s="18"/>
      <c r="U36" s="19"/>
      <c r="V36" s="19">
        <f t="shared" si="16"/>
        <v>5239</v>
      </c>
      <c r="W36" s="19"/>
      <c r="X36" s="18"/>
      <c r="Y36" s="18"/>
      <c r="Z36" s="18"/>
      <c r="AA36" s="19">
        <f t="shared" si="16"/>
        <v>5239</v>
      </c>
      <c r="AB36" s="19"/>
      <c r="AC36" s="19">
        <f t="shared" si="16"/>
        <v>5239</v>
      </c>
      <c r="AD36" s="18"/>
      <c r="AE36" s="18"/>
      <c r="AF36" s="18"/>
      <c r="AG36" s="19">
        <f t="shared" si="16"/>
        <v>5239</v>
      </c>
      <c r="AH36" s="19"/>
      <c r="AI36" s="19"/>
      <c r="AJ36" s="19">
        <f>O36+P36+Q36+U36+V36+W36+AA36+AB36+AC36+AG36+AH36+AI36</f>
        <v>26195</v>
      </c>
      <c r="AK36" s="19">
        <v>9716</v>
      </c>
      <c r="AL36" s="19"/>
      <c r="AM36" s="19">
        <v>16479</v>
      </c>
      <c r="AN36" s="19"/>
      <c r="AO36" s="19"/>
      <c r="AP36" s="11"/>
      <c r="AQ36" s="11"/>
      <c r="AR36" s="11"/>
      <c r="AS36" s="161">
        <f t="shared" si="1"/>
        <v>0</v>
      </c>
      <c r="AT36" s="161">
        <f t="shared" si="2"/>
        <v>0</v>
      </c>
    </row>
    <row r="37" spans="1:46" ht="51" customHeight="1">
      <c r="A37" s="37" t="s">
        <v>138</v>
      </c>
      <c r="B37" s="37" t="s">
        <v>139</v>
      </c>
      <c r="C37" s="37" t="s">
        <v>142</v>
      </c>
      <c r="D37" s="39" t="s">
        <v>143</v>
      </c>
      <c r="E37" s="29">
        <f>L37+M37+N37+R37+S37+T37+X37+Y37+Z37+AD37+AE37+AF37</f>
        <v>10</v>
      </c>
      <c r="F37" s="21" t="s">
        <v>144</v>
      </c>
      <c r="G37" s="32" t="s">
        <v>145</v>
      </c>
      <c r="H37" s="28" t="s">
        <v>146</v>
      </c>
      <c r="I37" s="29">
        <v>100</v>
      </c>
      <c r="J37" s="30"/>
      <c r="K37" s="29">
        <v>100</v>
      </c>
      <c r="L37" s="24"/>
      <c r="M37" s="24"/>
      <c r="N37" s="24">
        <v>2</v>
      </c>
      <c r="O37" s="24"/>
      <c r="P37" s="24"/>
      <c r="Q37" s="24">
        <v>5239</v>
      </c>
      <c r="R37" s="24"/>
      <c r="S37" s="24">
        <v>2</v>
      </c>
      <c r="T37" s="24"/>
      <c r="U37" s="24"/>
      <c r="V37" s="24">
        <v>5239</v>
      </c>
      <c r="W37" s="24"/>
      <c r="X37" s="24">
        <v>2</v>
      </c>
      <c r="Y37" s="24"/>
      <c r="Z37" s="24">
        <v>2</v>
      </c>
      <c r="AA37" s="24">
        <v>5239</v>
      </c>
      <c r="AB37" s="40"/>
      <c r="AC37" s="24">
        <v>5239</v>
      </c>
      <c r="AD37" s="40">
        <v>2</v>
      </c>
      <c r="AE37" s="40"/>
      <c r="AF37" s="52"/>
      <c r="AG37" s="24">
        <v>5239</v>
      </c>
      <c r="AH37" s="40"/>
      <c r="AI37" s="40"/>
      <c r="AJ37" s="24">
        <f t="shared" si="0"/>
        <v>26195</v>
      </c>
      <c r="AK37" s="24">
        <v>9716</v>
      </c>
      <c r="AL37" s="40"/>
      <c r="AM37" s="40">
        <v>16479</v>
      </c>
      <c r="AN37" s="40"/>
      <c r="AO37" s="40"/>
      <c r="AP37" s="39" t="s">
        <v>53</v>
      </c>
      <c r="AQ37" s="690" t="s">
        <v>67</v>
      </c>
      <c r="AR37" s="39"/>
      <c r="AS37" s="161">
        <f t="shared" si="1"/>
        <v>0</v>
      </c>
      <c r="AT37" s="161">
        <f t="shared" si="2"/>
        <v>0</v>
      </c>
    </row>
    <row r="38" spans="1:46" ht="47.25">
      <c r="A38" s="10" t="s">
        <v>147</v>
      </c>
      <c r="B38" s="10" t="s">
        <v>148</v>
      </c>
      <c r="C38" s="10" t="s">
        <v>149</v>
      </c>
      <c r="D38" s="11" t="s">
        <v>150</v>
      </c>
      <c r="E38" s="50"/>
      <c r="F38" s="13"/>
      <c r="G38" s="14"/>
      <c r="H38" s="15"/>
      <c r="I38" s="16">
        <v>23</v>
      </c>
      <c r="J38" s="17">
        <v>23</v>
      </c>
      <c r="K38" s="16"/>
      <c r="L38" s="50"/>
      <c r="M38" s="50"/>
      <c r="N38" s="50"/>
      <c r="O38" s="19">
        <f t="shared" ref="O38:Q38" si="17">O39</f>
        <v>120499</v>
      </c>
      <c r="P38" s="19">
        <f t="shared" si="17"/>
        <v>120499</v>
      </c>
      <c r="Q38" s="19">
        <f t="shared" si="17"/>
        <v>120499</v>
      </c>
      <c r="R38" s="50"/>
      <c r="S38" s="50"/>
      <c r="T38" s="50"/>
      <c r="U38" s="19">
        <f>U39</f>
        <v>120499</v>
      </c>
      <c r="V38" s="19">
        <f>V39</f>
        <v>120498</v>
      </c>
      <c r="W38" s="19"/>
      <c r="X38" s="50"/>
      <c r="Y38" s="50"/>
      <c r="Z38" s="50"/>
      <c r="AA38" s="19"/>
      <c r="AB38" s="19"/>
      <c r="AC38" s="19"/>
      <c r="AD38" s="50"/>
      <c r="AE38" s="50"/>
      <c r="AF38" s="50"/>
      <c r="AG38" s="19"/>
      <c r="AH38" s="19"/>
      <c r="AI38" s="19"/>
      <c r="AJ38" s="19">
        <f>O38+P38+Q38+U38+V38+W38+AA38+AB38+AC38+AG38+AH38+AI38</f>
        <v>602494</v>
      </c>
      <c r="AK38" s="19">
        <f>AK39</f>
        <v>223465</v>
      </c>
      <c r="AL38" s="19"/>
      <c r="AM38" s="19">
        <f>AM39</f>
        <v>379029</v>
      </c>
      <c r="AN38" s="19"/>
      <c r="AO38" s="19"/>
      <c r="AP38" s="11"/>
      <c r="AQ38" s="11"/>
      <c r="AR38" s="11"/>
      <c r="AS38" s="161">
        <f t="shared" si="1"/>
        <v>0</v>
      </c>
      <c r="AT38" s="161">
        <f t="shared" si="2"/>
        <v>0</v>
      </c>
    </row>
    <row r="39" spans="1:46" ht="126">
      <c r="A39" s="26" t="s">
        <v>147</v>
      </c>
      <c r="B39" s="26" t="s">
        <v>148</v>
      </c>
      <c r="C39" s="26" t="s">
        <v>151</v>
      </c>
      <c r="D39" s="32" t="s">
        <v>152</v>
      </c>
      <c r="E39" s="34">
        <v>0.1</v>
      </c>
      <c r="F39" s="21" t="s">
        <v>79</v>
      </c>
      <c r="G39" s="32" t="s">
        <v>153</v>
      </c>
      <c r="H39" s="28" t="s">
        <v>63</v>
      </c>
      <c r="I39" s="29">
        <v>100</v>
      </c>
      <c r="J39" s="30"/>
      <c r="K39" s="29">
        <v>100</v>
      </c>
      <c r="L39" s="53">
        <v>0.02</v>
      </c>
      <c r="M39" s="53">
        <v>0.02</v>
      </c>
      <c r="N39" s="53">
        <v>0.02</v>
      </c>
      <c r="O39" s="24">
        <v>120499</v>
      </c>
      <c r="P39" s="24">
        <v>120499</v>
      </c>
      <c r="Q39" s="24">
        <v>120499</v>
      </c>
      <c r="R39" s="53">
        <v>0.02</v>
      </c>
      <c r="S39" s="53">
        <v>0.02</v>
      </c>
      <c r="T39" s="53"/>
      <c r="U39" s="24">
        <v>120499</v>
      </c>
      <c r="V39" s="24">
        <v>120498</v>
      </c>
      <c r="W39" s="24"/>
      <c r="X39" s="53"/>
      <c r="Y39" s="53"/>
      <c r="Z39" s="53"/>
      <c r="AA39" s="24"/>
      <c r="AB39" s="24"/>
      <c r="AC39" s="24"/>
      <c r="AD39" s="53"/>
      <c r="AE39" s="53"/>
      <c r="AF39" s="53"/>
      <c r="AG39" s="24"/>
      <c r="AH39" s="24"/>
      <c r="AI39" s="24"/>
      <c r="AJ39" s="24">
        <f t="shared" si="0"/>
        <v>602494</v>
      </c>
      <c r="AK39" s="24">
        <v>223465</v>
      </c>
      <c r="AL39" s="25"/>
      <c r="AM39" s="25">
        <v>379029</v>
      </c>
      <c r="AN39" s="25"/>
      <c r="AO39" s="25"/>
      <c r="AP39" s="32" t="s">
        <v>154</v>
      </c>
      <c r="AQ39" s="690" t="s">
        <v>155</v>
      </c>
      <c r="AR39" s="32" t="s">
        <v>64</v>
      </c>
      <c r="AS39" s="161">
        <f t="shared" si="1"/>
        <v>0</v>
      </c>
      <c r="AT39" s="161">
        <f t="shared" si="2"/>
        <v>0</v>
      </c>
    </row>
    <row r="40" spans="1:46">
      <c r="A40" s="54"/>
      <c r="B40" s="54"/>
      <c r="C40" s="54"/>
      <c r="D40" s="54" t="s">
        <v>156</v>
      </c>
      <c r="E40" s="55"/>
      <c r="F40" s="54"/>
      <c r="G40" s="56"/>
      <c r="H40" s="56"/>
      <c r="I40" s="57"/>
      <c r="J40" s="58"/>
      <c r="K40" s="59"/>
      <c r="L40" s="60"/>
      <c r="M40" s="60"/>
      <c r="N40" s="60"/>
      <c r="O40" s="58">
        <f>O10+O14+O17+O25+O29+O31+O36+O38</f>
        <v>238116.47999999998</v>
      </c>
      <c r="P40" s="58">
        <f>P10+P14+P17+P25+P29+P31+P36+P38</f>
        <v>279432.12</v>
      </c>
      <c r="Q40" s="58">
        <f>Q10+Q14+Q17+Q25+Q29+Q31+Q36+Q38</f>
        <v>326486.12</v>
      </c>
      <c r="R40" s="60"/>
      <c r="S40" s="60"/>
      <c r="T40" s="60"/>
      <c r="U40" s="58">
        <f>U10+U14+U17+U25+U29+U31+U36+U38</f>
        <v>296087.12</v>
      </c>
      <c r="V40" s="58">
        <f>V10+V14+V17+V25+V29+V31+V36+V38</f>
        <v>269010.12</v>
      </c>
      <c r="W40" s="58">
        <f>W10+W14+W17+W25+W29+W31+W36+W38</f>
        <v>153443.12</v>
      </c>
      <c r="X40" s="60"/>
      <c r="Y40" s="60"/>
      <c r="Z40" s="60"/>
      <c r="AA40" s="58">
        <f>AA10+AA14+AA17+AA25+AA29+AA31+AA36+AA38</f>
        <v>187759.12</v>
      </c>
      <c r="AB40" s="58">
        <f>AB10+AB14+AB17+AB25+AB29+AB31+AB36+AB38</f>
        <v>198391.12</v>
      </c>
      <c r="AC40" s="58">
        <f>AC10+AC14+AC17+AC25+AC29+AC31+AC36+AC38</f>
        <v>188697.12</v>
      </c>
      <c r="AD40" s="60"/>
      <c r="AE40" s="60"/>
      <c r="AF40" s="60"/>
      <c r="AG40" s="58">
        <f>AG10+AG14+AG17+AG25+AG29+AG31+AG36+AG38</f>
        <v>173515.12</v>
      </c>
      <c r="AH40" s="58">
        <f>AH10+AH14+AH17+AH25+AH29+AH31+AH36+AH38</f>
        <v>179861.12</v>
      </c>
      <c r="AI40" s="58">
        <f>AI10+AI14+AI17+AI25+AI29+AI31+AI36+AI38</f>
        <v>136638.12</v>
      </c>
      <c r="AJ40" s="58">
        <f>AJ10+AJ14+AJ17+AJ25+AJ29+AJ31+AJ36+AJ38</f>
        <v>2627436.7999999998</v>
      </c>
      <c r="AK40" s="58">
        <f>AK10+AK14+AK17+AK25+AK29+AK31+AK36+AK38</f>
        <v>971587</v>
      </c>
      <c r="AL40" s="60"/>
      <c r="AM40" s="58">
        <f>AM10+AM14+AM17+AM25+AM29+AM31+AM36+AM38</f>
        <v>1647950</v>
      </c>
      <c r="AN40" s="58"/>
      <c r="AO40" s="60">
        <f>AO10+AO14+AO17+AO25+AO29+AO31+AO36+AO38</f>
        <v>7899.6</v>
      </c>
      <c r="AP40" s="60"/>
      <c r="AQ40" s="61"/>
      <c r="AR40" s="61"/>
      <c r="AS40" s="161">
        <f t="shared" si="1"/>
        <v>0</v>
      </c>
      <c r="AT40" s="161">
        <f t="shared" si="2"/>
        <v>0.19999999972060323</v>
      </c>
    </row>
    <row r="41" spans="1:46">
      <c r="A41" s="1004" t="s">
        <v>157</v>
      </c>
      <c r="B41" s="1004"/>
      <c r="C41" s="1004"/>
      <c r="D41" s="1004"/>
      <c r="E41" s="62"/>
      <c r="O41" s="65"/>
      <c r="P41" s="65"/>
      <c r="Q41" s="65"/>
      <c r="R41" s="65"/>
      <c r="S41" s="65"/>
      <c r="T41" s="65"/>
      <c r="U41" s="65"/>
      <c r="V41" s="65"/>
      <c r="AJ41" s="66"/>
      <c r="AK41" s="65"/>
      <c r="AQ41" s="67"/>
    </row>
    <row r="42" spans="1:46">
      <c r="A42" s="1005"/>
      <c r="B42" s="1005"/>
      <c r="C42" s="1005"/>
      <c r="D42" s="1005"/>
      <c r="E42" s="68"/>
      <c r="O42" s="65"/>
      <c r="P42" s="65"/>
      <c r="Q42" s="65"/>
      <c r="R42" s="65"/>
      <c r="S42" s="65"/>
      <c r="T42" s="65"/>
      <c r="U42" s="65"/>
      <c r="V42" s="65"/>
      <c r="AJ42" s="69"/>
      <c r="AK42" s="65"/>
      <c r="AQ42" s="67"/>
    </row>
    <row r="43" spans="1:46">
      <c r="O43" s="65"/>
      <c r="P43" s="65"/>
      <c r="Q43" s="65"/>
      <c r="R43" s="65"/>
      <c r="S43" s="65"/>
      <c r="T43" s="65"/>
      <c r="U43" s="65"/>
      <c r="V43" s="65"/>
      <c r="AK43" s="65"/>
      <c r="AQ43" s="67"/>
    </row>
    <row r="44" spans="1:46">
      <c r="AJ44" s="70"/>
      <c r="AK44" s="65"/>
      <c r="AN44" s="70"/>
    </row>
  </sheetData>
  <mergeCells count="78">
    <mergeCell ref="A1:AR1"/>
    <mergeCell ref="A2:AR2"/>
    <mergeCell ref="A6:C6"/>
    <mergeCell ref="D6:D9"/>
    <mergeCell ref="E6:E9"/>
    <mergeCell ref="F6:F9"/>
    <mergeCell ref="G6:G9"/>
    <mergeCell ref="H6:H9"/>
    <mergeCell ref="I6:I9"/>
    <mergeCell ref="J6:J9"/>
    <mergeCell ref="A7:A9"/>
    <mergeCell ref="X7:AC7"/>
    <mergeCell ref="AP6:AP9"/>
    <mergeCell ref="AN7:AN9"/>
    <mergeCell ref="AO7:AO9"/>
    <mergeCell ref="L7:Q7"/>
    <mergeCell ref="R7:W7"/>
    <mergeCell ref="AQ6:AQ9"/>
    <mergeCell ref="AR6:AR9"/>
    <mergeCell ref="AD8:AF8"/>
    <mergeCell ref="AG8:AI8"/>
    <mergeCell ref="AD7:AI7"/>
    <mergeCell ref="AJ7:AJ9"/>
    <mergeCell ref="AK7:AK9"/>
    <mergeCell ref="L6:AJ6"/>
    <mergeCell ref="AK6:AO6"/>
    <mergeCell ref="R8:T8"/>
    <mergeCell ref="U8:W8"/>
    <mergeCell ref="X8:Z8"/>
    <mergeCell ref="AA8:AC8"/>
    <mergeCell ref="AL7:AL9"/>
    <mergeCell ref="AM7:AM9"/>
    <mergeCell ref="O8:Q8"/>
    <mergeCell ref="D11:D12"/>
    <mergeCell ref="G11:G12"/>
    <mergeCell ref="J11:J12"/>
    <mergeCell ref="K11:K12"/>
    <mergeCell ref="L8:N8"/>
    <mergeCell ref="K6:K9"/>
    <mergeCell ref="B7:B9"/>
    <mergeCell ref="C7:C9"/>
    <mergeCell ref="A26:A28"/>
    <mergeCell ref="B26:B28"/>
    <mergeCell ref="A15:A16"/>
    <mergeCell ref="B15:B16"/>
    <mergeCell ref="C15:C16"/>
    <mergeCell ref="A11:A12"/>
    <mergeCell ref="B11:B12"/>
    <mergeCell ref="C11:C12"/>
    <mergeCell ref="D15:D16"/>
    <mergeCell ref="G15:G16"/>
    <mergeCell ref="I15:I16"/>
    <mergeCell ref="J15:J16"/>
    <mergeCell ref="A18:A24"/>
    <mergeCell ref="B18:B24"/>
    <mergeCell ref="C18:C24"/>
    <mergeCell ref="D18:D24"/>
    <mergeCell ref="J34:J35"/>
    <mergeCell ref="K34:K35"/>
    <mergeCell ref="J18:J24"/>
    <mergeCell ref="I11:I12"/>
    <mergeCell ref="I32:I33"/>
    <mergeCell ref="J32:J33"/>
    <mergeCell ref="K32:K33"/>
    <mergeCell ref="I34:I35"/>
    <mergeCell ref="A41:D42"/>
    <mergeCell ref="A34:A35"/>
    <mergeCell ref="B34:B35"/>
    <mergeCell ref="C34:C35"/>
    <mergeCell ref="D34:D35"/>
    <mergeCell ref="G34:G35"/>
    <mergeCell ref="H34:H35"/>
    <mergeCell ref="A32:A33"/>
    <mergeCell ref="B32:B33"/>
    <mergeCell ref="C32:C33"/>
    <mergeCell ref="D32:D33"/>
    <mergeCell ref="G32:G33"/>
    <mergeCell ref="H32:H33"/>
  </mergeCells>
  <printOptions horizontalCentered="1"/>
  <pageMargins left="0.98425196850393704" right="0.78740157480314965" top="0.98425196850393704" bottom="0.78740157480314965" header="0.31496062992125984" footer="0.31496062992125984"/>
  <pageSetup paperSize="5" scale="35" fitToHeight="2" orientation="landscape" r:id="rId1"/>
  <headerFooter>
    <oddFooter>Página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FF00"/>
  </sheetPr>
  <dimension ref="A1:AT98"/>
  <sheetViews>
    <sheetView showGridLines="0" view="pageBreakPreview" topLeftCell="A4" zoomScale="60" zoomScaleNormal="70" workbookViewId="0">
      <selection activeCell="H4" sqref="H4"/>
    </sheetView>
  </sheetViews>
  <sheetFormatPr baseColWidth="10" defaultColWidth="12.85546875" defaultRowHeight="15.75"/>
  <cols>
    <col min="1" max="1" width="7.28515625" style="310" bestFit="1" customWidth="1"/>
    <col min="2" max="2" width="13.7109375" style="310" bestFit="1" customWidth="1"/>
    <col min="3" max="3" width="24" style="310" bestFit="1" customWidth="1"/>
    <col min="4" max="4" width="33.28515625" style="310" customWidth="1"/>
    <col min="5" max="5" width="9.42578125" style="348" bestFit="1" customWidth="1"/>
    <col min="6" max="6" width="15.140625" style="348" customWidth="1"/>
    <col min="7" max="7" width="41.28515625" style="310" customWidth="1"/>
    <col min="8" max="8" width="32.7109375" style="349" customWidth="1"/>
    <col min="9" max="9" width="16.7109375" style="349" customWidth="1"/>
    <col min="10" max="10" width="16.42578125" style="349" customWidth="1"/>
    <col min="11" max="11" width="17.28515625" style="349" customWidth="1"/>
    <col min="12" max="14" width="8" style="310" bestFit="1" customWidth="1"/>
    <col min="15" max="15" width="17.28515625" style="350" bestFit="1" customWidth="1"/>
    <col min="16" max="17" width="16.85546875" style="350" bestFit="1" customWidth="1"/>
    <col min="18" max="20" width="8" style="348" bestFit="1" customWidth="1"/>
    <col min="21" max="21" width="16.28515625" style="350" bestFit="1" customWidth="1"/>
    <col min="22" max="23" width="17.28515625" style="350" bestFit="1" customWidth="1"/>
    <col min="24" max="26" width="8" style="310" bestFit="1" customWidth="1"/>
    <col min="27" max="27" width="16.28515625" style="350" bestFit="1" customWidth="1"/>
    <col min="28" max="28" width="16.85546875" style="350" bestFit="1" customWidth="1"/>
    <col min="29" max="29" width="17.28515625" style="350" bestFit="1" customWidth="1"/>
    <col min="30" max="32" width="8" style="310" bestFit="1" customWidth="1"/>
    <col min="33" max="33" width="16.85546875" style="350" bestFit="1" customWidth="1"/>
    <col min="34" max="34" width="17.28515625" style="350" bestFit="1" customWidth="1"/>
    <col min="35" max="35" width="18.42578125" style="350" customWidth="1"/>
    <col min="36" max="36" width="19" style="350" bestFit="1" customWidth="1"/>
    <col min="37" max="37" width="19.42578125" style="350" customWidth="1"/>
    <col min="38" max="38" width="7.7109375" style="350" bestFit="1" customWidth="1"/>
    <col min="39" max="39" width="18.140625" style="350" customWidth="1"/>
    <col min="40" max="40" width="17.7109375" style="350" bestFit="1" customWidth="1"/>
    <col min="41" max="41" width="18.42578125" style="350" bestFit="1" customWidth="1"/>
    <col min="42" max="42" width="18.42578125" style="310" customWidth="1"/>
    <col min="43" max="43" width="25.85546875" style="310" customWidth="1"/>
    <col min="44" max="44" width="17.85546875" style="310" customWidth="1"/>
    <col min="45" max="16384" width="12.85546875" style="310"/>
  </cols>
  <sheetData>
    <row r="1" spans="1:44">
      <c r="A1" s="1022" t="s">
        <v>0</v>
      </c>
      <c r="B1" s="1022"/>
      <c r="C1" s="1022"/>
      <c r="D1" s="1022"/>
      <c r="E1" s="1022"/>
      <c r="F1" s="1022"/>
      <c r="G1" s="1022"/>
      <c r="H1" s="1022"/>
      <c r="I1" s="1022"/>
      <c r="J1" s="1022"/>
      <c r="K1" s="1022"/>
      <c r="L1" s="1022"/>
      <c r="M1" s="1022"/>
      <c r="N1" s="1022"/>
      <c r="O1" s="1022"/>
      <c r="P1" s="1022"/>
      <c r="Q1" s="1022"/>
      <c r="R1" s="1022"/>
      <c r="S1" s="1022"/>
      <c r="T1" s="1022"/>
      <c r="U1" s="1022"/>
      <c r="V1" s="1022"/>
      <c r="W1" s="1022"/>
      <c r="X1" s="1022"/>
      <c r="Y1" s="1022"/>
      <c r="Z1" s="1022"/>
      <c r="AA1" s="1022"/>
      <c r="AB1" s="1022"/>
      <c r="AC1" s="1022"/>
      <c r="AD1" s="1022"/>
      <c r="AE1" s="1022"/>
      <c r="AF1" s="1022"/>
      <c r="AG1" s="1022"/>
      <c r="AH1" s="1022"/>
      <c r="AI1" s="1022"/>
      <c r="AJ1" s="1022"/>
      <c r="AK1" s="1022"/>
      <c r="AL1" s="1022"/>
      <c r="AM1" s="1022"/>
      <c r="AN1" s="1022"/>
      <c r="AO1" s="1022"/>
      <c r="AP1" s="1022"/>
      <c r="AQ1" s="1022"/>
      <c r="AR1" s="1022"/>
    </row>
    <row r="2" spans="1:44">
      <c r="A2" s="1022" t="s">
        <v>1</v>
      </c>
      <c r="B2" s="1022"/>
      <c r="C2" s="1022"/>
      <c r="D2" s="1022"/>
      <c r="E2" s="1022"/>
      <c r="F2" s="1022"/>
      <c r="G2" s="1022"/>
      <c r="H2" s="1022"/>
      <c r="I2" s="1022"/>
      <c r="J2" s="1022"/>
      <c r="K2" s="1022"/>
      <c r="L2" s="1022"/>
      <c r="M2" s="1022"/>
      <c r="N2" s="1022"/>
      <c r="O2" s="1022"/>
      <c r="P2" s="1022"/>
      <c r="Q2" s="1022"/>
      <c r="R2" s="1022"/>
      <c r="S2" s="1022"/>
      <c r="T2" s="1022"/>
      <c r="U2" s="1022"/>
      <c r="V2" s="1022"/>
      <c r="W2" s="1022"/>
      <c r="X2" s="1022"/>
      <c r="Y2" s="1022"/>
      <c r="Z2" s="1022"/>
      <c r="AA2" s="1022"/>
      <c r="AB2" s="1022"/>
      <c r="AC2" s="1022"/>
      <c r="AD2" s="1022"/>
      <c r="AE2" s="1022"/>
      <c r="AF2" s="1022"/>
      <c r="AG2" s="1022"/>
      <c r="AH2" s="1022"/>
      <c r="AI2" s="1022"/>
      <c r="AJ2" s="1022"/>
      <c r="AK2" s="1022"/>
      <c r="AL2" s="1022"/>
      <c r="AM2" s="1022"/>
      <c r="AN2" s="1022"/>
      <c r="AO2" s="1022"/>
      <c r="AP2" s="1022"/>
      <c r="AQ2" s="1022"/>
      <c r="AR2" s="1022"/>
    </row>
    <row r="3" spans="1:44" ht="18" customHeight="1">
      <c r="A3" s="311"/>
      <c r="B3" s="311"/>
      <c r="C3" s="311"/>
      <c r="D3" s="731" t="s">
        <v>2</v>
      </c>
      <c r="E3" s="732"/>
      <c r="F3" s="732"/>
      <c r="G3" s="731"/>
      <c r="H3" s="733"/>
      <c r="I3" s="733"/>
      <c r="J3" s="733"/>
      <c r="K3" s="733"/>
      <c r="L3" s="731"/>
      <c r="M3" s="731"/>
      <c r="N3" s="731"/>
      <c r="O3" s="734"/>
      <c r="P3" s="734"/>
      <c r="Q3" s="734"/>
      <c r="R3" s="731"/>
      <c r="S3" s="731"/>
      <c r="T3" s="731"/>
      <c r="U3" s="734"/>
      <c r="V3" s="734"/>
      <c r="W3" s="734"/>
      <c r="X3" s="731"/>
      <c r="Y3" s="731"/>
      <c r="Z3" s="731"/>
      <c r="AA3" s="734"/>
      <c r="AB3" s="734"/>
      <c r="AC3" s="734"/>
      <c r="AD3" s="731"/>
      <c r="AE3" s="731"/>
      <c r="AF3" s="731"/>
      <c r="AG3" s="734"/>
      <c r="AH3" s="734"/>
      <c r="AI3" s="734"/>
      <c r="AJ3" s="734"/>
      <c r="AK3" s="734"/>
      <c r="AL3" s="734"/>
      <c r="AM3" s="734"/>
      <c r="AN3" s="734"/>
      <c r="AO3" s="734"/>
      <c r="AP3" s="731"/>
      <c r="AQ3" s="731"/>
      <c r="AR3" s="731"/>
    </row>
    <row r="4" spans="1:44" ht="20.25" customHeight="1">
      <c r="A4" s="311"/>
      <c r="B4" s="311"/>
      <c r="C4" s="311"/>
      <c r="D4" s="731" t="s">
        <v>1062</v>
      </c>
      <c r="E4" s="732"/>
      <c r="F4" s="732"/>
      <c r="G4" s="731"/>
      <c r="H4" s="733"/>
      <c r="I4" s="733"/>
      <c r="J4" s="733"/>
      <c r="K4" s="733"/>
      <c r="L4" s="731"/>
      <c r="M4" s="731"/>
      <c r="N4" s="731"/>
      <c r="O4" s="734"/>
      <c r="P4" s="734"/>
      <c r="Q4" s="734"/>
      <c r="R4" s="731"/>
      <c r="S4" s="731"/>
      <c r="T4" s="731"/>
      <c r="U4" s="734"/>
      <c r="V4" s="734"/>
      <c r="W4" s="734"/>
      <c r="X4" s="731"/>
      <c r="Y4" s="731"/>
      <c r="Z4" s="731"/>
      <c r="AA4" s="734"/>
      <c r="AB4" s="734"/>
      <c r="AC4" s="734"/>
      <c r="AD4" s="731"/>
      <c r="AE4" s="731"/>
      <c r="AF4" s="731"/>
      <c r="AG4" s="734"/>
      <c r="AH4" s="734"/>
      <c r="AI4" s="734"/>
      <c r="AJ4" s="734"/>
      <c r="AK4" s="734"/>
      <c r="AL4" s="734"/>
      <c r="AM4" s="734"/>
      <c r="AN4" s="734"/>
      <c r="AO4" s="734"/>
      <c r="AP4" s="731"/>
      <c r="AQ4" s="731"/>
      <c r="AR4" s="731"/>
    </row>
    <row r="5" spans="1:44" ht="19.5" customHeight="1">
      <c r="A5" s="311"/>
      <c r="B5" s="311"/>
      <c r="C5" s="311"/>
      <c r="D5" s="731" t="s">
        <v>160</v>
      </c>
      <c r="E5" s="732"/>
      <c r="F5" s="732"/>
      <c r="G5" s="311"/>
      <c r="H5" s="312"/>
      <c r="I5" s="312"/>
      <c r="J5" s="312"/>
      <c r="K5" s="313"/>
      <c r="L5" s="314"/>
      <c r="M5" s="314"/>
      <c r="N5" s="314"/>
      <c r="O5" s="315"/>
      <c r="P5" s="315"/>
      <c r="Q5" s="315"/>
      <c r="R5" s="314"/>
      <c r="S5" s="314"/>
      <c r="T5" s="314"/>
      <c r="U5" s="315"/>
      <c r="V5" s="315"/>
      <c r="W5" s="315"/>
      <c r="X5" s="314"/>
      <c r="Y5" s="314"/>
      <c r="Z5" s="314"/>
      <c r="AA5" s="315"/>
      <c r="AB5" s="315"/>
      <c r="AC5" s="315"/>
      <c r="AD5" s="314"/>
      <c r="AE5" s="314"/>
      <c r="AF5" s="314"/>
      <c r="AG5" s="315"/>
      <c r="AH5" s="315"/>
      <c r="AI5" s="315"/>
      <c r="AJ5" s="315"/>
      <c r="AK5" s="315"/>
      <c r="AL5" s="315"/>
      <c r="AM5" s="315"/>
      <c r="AN5" s="315"/>
      <c r="AO5" s="315"/>
      <c r="AP5" s="314"/>
      <c r="AQ5" s="314"/>
      <c r="AR5" s="314"/>
    </row>
    <row r="6" spans="1:44" s="243" customFormat="1" ht="15.75" customHeight="1">
      <c r="A6" s="872" t="s">
        <v>5</v>
      </c>
      <c r="B6" s="872"/>
      <c r="C6" s="872"/>
      <c r="D6" s="873" t="s">
        <v>6</v>
      </c>
      <c r="E6" s="874" t="s">
        <v>7</v>
      </c>
      <c r="F6" s="872" t="s">
        <v>8</v>
      </c>
      <c r="G6" s="872" t="s">
        <v>9</v>
      </c>
      <c r="H6" s="872" t="s">
        <v>10</v>
      </c>
      <c r="I6" s="872" t="s">
        <v>11</v>
      </c>
      <c r="J6" s="872" t="s">
        <v>12</v>
      </c>
      <c r="K6" s="872" t="s">
        <v>13</v>
      </c>
      <c r="L6" s="876" t="s">
        <v>14</v>
      </c>
      <c r="M6" s="877"/>
      <c r="N6" s="877"/>
      <c r="O6" s="877"/>
      <c r="P6" s="877"/>
      <c r="Q6" s="877"/>
      <c r="R6" s="877"/>
      <c r="S6" s="877"/>
      <c r="T6" s="877"/>
      <c r="U6" s="877"/>
      <c r="V6" s="877"/>
      <c r="W6" s="877"/>
      <c r="X6" s="877"/>
      <c r="Y6" s="877"/>
      <c r="Z6" s="877"/>
      <c r="AA6" s="877"/>
      <c r="AB6" s="877"/>
      <c r="AC6" s="877"/>
      <c r="AD6" s="877"/>
      <c r="AE6" s="877"/>
      <c r="AF6" s="877"/>
      <c r="AG6" s="877"/>
      <c r="AH6" s="877"/>
      <c r="AI6" s="877"/>
      <c r="AJ6" s="878"/>
      <c r="AK6" s="872" t="s">
        <v>15</v>
      </c>
      <c r="AL6" s="872"/>
      <c r="AM6" s="872"/>
      <c r="AN6" s="872"/>
      <c r="AO6" s="872"/>
      <c r="AP6" s="872" t="s">
        <v>16</v>
      </c>
      <c r="AQ6" s="872" t="s">
        <v>17</v>
      </c>
      <c r="AR6" s="872" t="s">
        <v>18</v>
      </c>
    </row>
    <row r="7" spans="1:44" s="243" customFormat="1">
      <c r="A7" s="872" t="s">
        <v>20</v>
      </c>
      <c r="B7" s="872" t="s">
        <v>21</v>
      </c>
      <c r="C7" s="872" t="s">
        <v>22</v>
      </c>
      <c r="D7" s="873"/>
      <c r="E7" s="874"/>
      <c r="F7" s="872"/>
      <c r="G7" s="872"/>
      <c r="H7" s="872"/>
      <c r="I7" s="872"/>
      <c r="J7" s="872"/>
      <c r="K7" s="872"/>
      <c r="L7" s="875" t="s">
        <v>23</v>
      </c>
      <c r="M7" s="875"/>
      <c r="N7" s="875"/>
      <c r="O7" s="875"/>
      <c r="P7" s="875"/>
      <c r="Q7" s="875"/>
      <c r="R7" s="875" t="s">
        <v>24</v>
      </c>
      <c r="S7" s="875"/>
      <c r="T7" s="875"/>
      <c r="U7" s="875"/>
      <c r="V7" s="875"/>
      <c r="W7" s="875"/>
      <c r="X7" s="875" t="s">
        <v>25</v>
      </c>
      <c r="Y7" s="875"/>
      <c r="Z7" s="875"/>
      <c r="AA7" s="875"/>
      <c r="AB7" s="875"/>
      <c r="AC7" s="875"/>
      <c r="AD7" s="875" t="s">
        <v>26</v>
      </c>
      <c r="AE7" s="875"/>
      <c r="AF7" s="875"/>
      <c r="AG7" s="875"/>
      <c r="AH7" s="875"/>
      <c r="AI7" s="875"/>
      <c r="AJ7" s="874" t="s">
        <v>162</v>
      </c>
      <c r="AK7" s="872" t="s">
        <v>28</v>
      </c>
      <c r="AL7" s="872" t="s">
        <v>29</v>
      </c>
      <c r="AM7" s="872" t="s">
        <v>30</v>
      </c>
      <c r="AN7" s="872" t="s">
        <v>31</v>
      </c>
      <c r="AO7" s="872" t="s">
        <v>32</v>
      </c>
      <c r="AP7" s="872"/>
      <c r="AQ7" s="872"/>
      <c r="AR7" s="872"/>
    </row>
    <row r="8" spans="1:44" s="243" customFormat="1">
      <c r="A8" s="872"/>
      <c r="B8" s="872"/>
      <c r="C8" s="872"/>
      <c r="D8" s="873"/>
      <c r="E8" s="874"/>
      <c r="F8" s="872"/>
      <c r="G8" s="872"/>
      <c r="H8" s="872"/>
      <c r="I8" s="872"/>
      <c r="J8" s="872"/>
      <c r="K8" s="872"/>
      <c r="L8" s="875" t="s">
        <v>33</v>
      </c>
      <c r="M8" s="875"/>
      <c r="N8" s="875"/>
      <c r="O8" s="875" t="s">
        <v>34</v>
      </c>
      <c r="P8" s="875"/>
      <c r="Q8" s="875"/>
      <c r="R8" s="875" t="s">
        <v>33</v>
      </c>
      <c r="S8" s="875"/>
      <c r="T8" s="875"/>
      <c r="U8" s="875" t="s">
        <v>34</v>
      </c>
      <c r="V8" s="875"/>
      <c r="W8" s="875"/>
      <c r="X8" s="875" t="s">
        <v>33</v>
      </c>
      <c r="Y8" s="875"/>
      <c r="Z8" s="875"/>
      <c r="AA8" s="875" t="s">
        <v>34</v>
      </c>
      <c r="AB8" s="875"/>
      <c r="AC8" s="875"/>
      <c r="AD8" s="875" t="s">
        <v>33</v>
      </c>
      <c r="AE8" s="875"/>
      <c r="AF8" s="875"/>
      <c r="AG8" s="875" t="s">
        <v>34</v>
      </c>
      <c r="AH8" s="875"/>
      <c r="AI8" s="875"/>
      <c r="AJ8" s="874"/>
      <c r="AK8" s="872"/>
      <c r="AL8" s="872"/>
      <c r="AM8" s="872"/>
      <c r="AN8" s="872"/>
      <c r="AO8" s="872"/>
      <c r="AP8" s="872"/>
      <c r="AQ8" s="872"/>
      <c r="AR8" s="872"/>
    </row>
    <row r="9" spans="1:44" s="243" customFormat="1">
      <c r="A9" s="872"/>
      <c r="B9" s="872"/>
      <c r="C9" s="872"/>
      <c r="D9" s="873"/>
      <c r="E9" s="874"/>
      <c r="F9" s="872"/>
      <c r="G9" s="872"/>
      <c r="H9" s="872"/>
      <c r="I9" s="872"/>
      <c r="J9" s="872"/>
      <c r="K9" s="872"/>
      <c r="L9" s="244" t="s">
        <v>35</v>
      </c>
      <c r="M9" s="244" t="s">
        <v>36</v>
      </c>
      <c r="N9" s="244" t="s">
        <v>37</v>
      </c>
      <c r="O9" s="244" t="s">
        <v>35</v>
      </c>
      <c r="P9" s="244" t="s">
        <v>36</v>
      </c>
      <c r="Q9" s="244" t="s">
        <v>37</v>
      </c>
      <c r="R9" s="244" t="s">
        <v>38</v>
      </c>
      <c r="S9" s="244" t="s">
        <v>37</v>
      </c>
      <c r="T9" s="244" t="s">
        <v>39</v>
      </c>
      <c r="U9" s="244" t="s">
        <v>38</v>
      </c>
      <c r="V9" s="244" t="s">
        <v>37</v>
      </c>
      <c r="W9" s="244" t="s">
        <v>39</v>
      </c>
      <c r="X9" s="244" t="s">
        <v>39</v>
      </c>
      <c r="Y9" s="244" t="s">
        <v>38</v>
      </c>
      <c r="Z9" s="244" t="s">
        <v>40</v>
      </c>
      <c r="AA9" s="244" t="s">
        <v>39</v>
      </c>
      <c r="AB9" s="244" t="s">
        <v>38</v>
      </c>
      <c r="AC9" s="244" t="s">
        <v>40</v>
      </c>
      <c r="AD9" s="244" t="s">
        <v>41</v>
      </c>
      <c r="AE9" s="244" t="s">
        <v>42</v>
      </c>
      <c r="AF9" s="244" t="s">
        <v>43</v>
      </c>
      <c r="AG9" s="244" t="s">
        <v>41</v>
      </c>
      <c r="AH9" s="244" t="s">
        <v>42</v>
      </c>
      <c r="AI9" s="244" t="s">
        <v>43</v>
      </c>
      <c r="AJ9" s="874"/>
      <c r="AK9" s="872"/>
      <c r="AL9" s="872"/>
      <c r="AM9" s="872"/>
      <c r="AN9" s="872"/>
      <c r="AO9" s="872"/>
      <c r="AP9" s="872"/>
      <c r="AQ9" s="872"/>
      <c r="AR9" s="872"/>
    </row>
    <row r="10" spans="1:44" ht="31.5">
      <c r="A10" s="316" t="s">
        <v>44</v>
      </c>
      <c r="B10" s="316" t="s">
        <v>45</v>
      </c>
      <c r="C10" s="316" t="s">
        <v>1063</v>
      </c>
      <c r="D10" s="317" t="s">
        <v>1064</v>
      </c>
      <c r="E10" s="318"/>
      <c r="F10" s="317"/>
      <c r="G10" s="317"/>
      <c r="H10" s="319"/>
      <c r="I10" s="318">
        <v>35</v>
      </c>
      <c r="J10" s="318">
        <v>35</v>
      </c>
      <c r="K10" s="318"/>
      <c r="L10" s="318"/>
      <c r="M10" s="318"/>
      <c r="N10" s="318"/>
      <c r="O10" s="320">
        <f>SUM(O11:O36)</f>
        <v>196553.0422222222</v>
      </c>
      <c r="P10" s="320">
        <f t="shared" ref="P10:Q10" si="0">SUM(P11:P36)</f>
        <v>257372.57777777777</v>
      </c>
      <c r="Q10" s="320">
        <f t="shared" si="0"/>
        <v>244625.83777777787</v>
      </c>
      <c r="R10" s="266"/>
      <c r="S10" s="266"/>
      <c r="T10" s="266"/>
      <c r="U10" s="320">
        <f t="shared" ref="U10:W10" si="1">SUM(U11:U36)</f>
        <v>223848.66777777779</v>
      </c>
      <c r="V10" s="320">
        <f t="shared" si="1"/>
        <v>212286.4877777778</v>
      </c>
      <c r="W10" s="320">
        <f t="shared" si="1"/>
        <v>257312.84777777782</v>
      </c>
      <c r="X10" s="266"/>
      <c r="Y10" s="266"/>
      <c r="Z10" s="266"/>
      <c r="AA10" s="320">
        <f t="shared" ref="AA10:AC10" si="2">SUM(AA11:AA36)</f>
        <v>231370.96999999997</v>
      </c>
      <c r="AB10" s="320">
        <f t="shared" si="2"/>
        <v>196766.59851851847</v>
      </c>
      <c r="AC10" s="320">
        <f t="shared" si="2"/>
        <v>252853.01851851854</v>
      </c>
      <c r="AD10" s="266"/>
      <c r="AE10" s="266"/>
      <c r="AF10" s="266"/>
      <c r="AG10" s="320">
        <f t="shared" ref="AG10:AM10" si="3">SUM(AG11:AG36)</f>
        <v>243076.68851851849</v>
      </c>
      <c r="AH10" s="320">
        <f t="shared" si="3"/>
        <v>236570.14851851849</v>
      </c>
      <c r="AI10" s="320">
        <f t="shared" si="3"/>
        <v>247190.64481481488</v>
      </c>
      <c r="AJ10" s="320">
        <f t="shared" si="3"/>
        <v>2799827.5300000003</v>
      </c>
      <c r="AK10" s="320">
        <f t="shared" si="3"/>
        <v>1138261.21</v>
      </c>
      <c r="AL10" s="320"/>
      <c r="AM10" s="320">
        <f t="shared" si="3"/>
        <v>1661566.32</v>
      </c>
      <c r="AN10" s="320"/>
      <c r="AO10" s="320"/>
      <c r="AP10" s="317"/>
      <c r="AQ10" s="317"/>
      <c r="AR10" s="317"/>
    </row>
    <row r="11" spans="1:44" ht="31.5">
      <c r="A11" s="1023" t="s">
        <v>44</v>
      </c>
      <c r="B11" s="1023" t="s">
        <v>45</v>
      </c>
      <c r="C11" s="1023" t="s">
        <v>1065</v>
      </c>
      <c r="D11" s="1026" t="s">
        <v>1066</v>
      </c>
      <c r="E11" s="321">
        <f>MAX(L11,M11,N11,R11,S11,T11,X11,Y11,Z11,AD11,AE11,AF11)</f>
        <v>60</v>
      </c>
      <c r="F11" s="735" t="s">
        <v>131</v>
      </c>
      <c r="G11" s="1032" t="s">
        <v>1067</v>
      </c>
      <c r="H11" s="1034" t="s">
        <v>1068</v>
      </c>
      <c r="I11" s="1029">
        <v>2</v>
      </c>
      <c r="J11" s="322"/>
      <c r="K11" s="1029">
        <v>2</v>
      </c>
      <c r="L11" s="295"/>
      <c r="M11" s="295"/>
      <c r="N11" s="295">
        <v>60</v>
      </c>
      <c r="O11" s="323"/>
      <c r="P11" s="323"/>
      <c r="Q11" s="323">
        <v>10091.11</v>
      </c>
      <c r="R11" s="295"/>
      <c r="S11" s="295"/>
      <c r="T11" s="295">
        <v>60</v>
      </c>
      <c r="U11" s="324"/>
      <c r="V11" s="324"/>
      <c r="W11" s="324">
        <v>10091.120000000001</v>
      </c>
      <c r="X11" s="295"/>
      <c r="Y11" s="295"/>
      <c r="Z11" s="295">
        <v>60</v>
      </c>
      <c r="AA11" s="324"/>
      <c r="AB11" s="324"/>
      <c r="AC11" s="324">
        <v>10091.11</v>
      </c>
      <c r="AD11" s="295"/>
      <c r="AE11" s="295"/>
      <c r="AF11" s="295">
        <v>60</v>
      </c>
      <c r="AG11" s="324"/>
      <c r="AH11" s="324"/>
      <c r="AI11" s="324">
        <v>10091.120000000001</v>
      </c>
      <c r="AJ11" s="346">
        <f>SUM(O11,P11,Q11,U11,V11,W11,AA11,AB11,AC11,AG11,AH11,AI11)</f>
        <v>40364.460000000006</v>
      </c>
      <c r="AK11" s="324">
        <v>22124.46</v>
      </c>
      <c r="AL11" s="324"/>
      <c r="AM11" s="324">
        <v>18240</v>
      </c>
      <c r="AN11" s="324"/>
      <c r="AO11" s="324"/>
      <c r="AP11" s="325" t="s">
        <v>1069</v>
      </c>
      <c r="AQ11" s="325" t="s">
        <v>1070</v>
      </c>
      <c r="AR11" s="325" t="s">
        <v>1071</v>
      </c>
    </row>
    <row r="12" spans="1:44" ht="31.5">
      <c r="A12" s="1025"/>
      <c r="B12" s="1025"/>
      <c r="C12" s="1025"/>
      <c r="D12" s="1028"/>
      <c r="E12" s="321">
        <f>MAX(L12,M12,N12,R12,S12,T12,X12,Y12,Z12,AD12,AE12,AF12)</f>
        <v>6</v>
      </c>
      <c r="F12" s="735" t="s">
        <v>134</v>
      </c>
      <c r="G12" s="1033"/>
      <c r="H12" s="1035"/>
      <c r="I12" s="1031"/>
      <c r="J12" s="322"/>
      <c r="K12" s="1031"/>
      <c r="L12" s="295"/>
      <c r="M12" s="295"/>
      <c r="N12" s="295">
        <v>6</v>
      </c>
      <c r="O12" s="323"/>
      <c r="P12" s="323"/>
      <c r="Q12" s="323">
        <v>1009.11</v>
      </c>
      <c r="R12" s="295"/>
      <c r="S12" s="295"/>
      <c r="T12" s="295">
        <v>6</v>
      </c>
      <c r="U12" s="324"/>
      <c r="V12" s="324"/>
      <c r="W12" s="324">
        <v>1009.11</v>
      </c>
      <c r="X12" s="295"/>
      <c r="Y12" s="295"/>
      <c r="Z12" s="295">
        <v>6</v>
      </c>
      <c r="AA12" s="324"/>
      <c r="AB12" s="324"/>
      <c r="AC12" s="324">
        <v>1009.11</v>
      </c>
      <c r="AD12" s="295"/>
      <c r="AE12" s="295"/>
      <c r="AF12" s="295">
        <v>6</v>
      </c>
      <c r="AG12" s="324"/>
      <c r="AH12" s="324"/>
      <c r="AI12" s="324">
        <v>1009.11</v>
      </c>
      <c r="AJ12" s="346">
        <f t="shared" ref="AJ12:AJ36" si="4">SUM(O12,P12,Q12,U12,V12,W12,AA12,AB12,AC12,AG12,AH12,AI12)</f>
        <v>4036.44</v>
      </c>
      <c r="AK12" s="324">
        <v>2212.44</v>
      </c>
      <c r="AL12" s="324"/>
      <c r="AM12" s="324">
        <v>1824</v>
      </c>
      <c r="AN12" s="324"/>
      <c r="AO12" s="324"/>
      <c r="AP12" s="325" t="s">
        <v>1069</v>
      </c>
      <c r="AQ12" s="325" t="s">
        <v>1070</v>
      </c>
      <c r="AR12" s="325" t="s">
        <v>1071</v>
      </c>
    </row>
    <row r="13" spans="1:44" ht="83.25" customHeight="1">
      <c r="A13" s="1023" t="s">
        <v>44</v>
      </c>
      <c r="B13" s="1023" t="s">
        <v>45</v>
      </c>
      <c r="C13" s="1023" t="s">
        <v>1072</v>
      </c>
      <c r="D13" s="1026" t="s">
        <v>1073</v>
      </c>
      <c r="E13" s="321">
        <f t="shared" ref="E13:E20" si="5">SUM(L13,M13,N13,R13,S13,T13,X13,Y13,Z13,AD13,AE13,AF13)</f>
        <v>3980</v>
      </c>
      <c r="F13" s="735" t="s">
        <v>239</v>
      </c>
      <c r="G13" s="736" t="s">
        <v>1074</v>
      </c>
      <c r="H13" s="737" t="s">
        <v>1075</v>
      </c>
      <c r="I13" s="1029">
        <v>65</v>
      </c>
      <c r="J13" s="322"/>
      <c r="K13" s="1029">
        <v>65</v>
      </c>
      <c r="L13" s="295">
        <v>300</v>
      </c>
      <c r="M13" s="295">
        <v>350</v>
      </c>
      <c r="N13" s="295">
        <v>350</v>
      </c>
      <c r="O13" s="323">
        <v>27714</v>
      </c>
      <c r="P13" s="323">
        <v>32333</v>
      </c>
      <c r="Q13" s="323">
        <v>32333</v>
      </c>
      <c r="R13" s="295">
        <v>290</v>
      </c>
      <c r="S13" s="295">
        <v>350</v>
      </c>
      <c r="T13" s="295">
        <v>350</v>
      </c>
      <c r="U13" s="324">
        <v>26791.74</v>
      </c>
      <c r="V13" s="324">
        <v>32333</v>
      </c>
      <c r="W13" s="324">
        <v>32333</v>
      </c>
      <c r="X13" s="295">
        <v>350</v>
      </c>
      <c r="Y13" s="295">
        <v>295</v>
      </c>
      <c r="Z13" s="295">
        <v>350</v>
      </c>
      <c r="AA13" s="324">
        <v>32329.5</v>
      </c>
      <c r="AB13" s="324">
        <v>27249.15</v>
      </c>
      <c r="AC13" s="324">
        <v>32329.5</v>
      </c>
      <c r="AD13" s="295">
        <v>350</v>
      </c>
      <c r="AE13" s="295">
        <v>350</v>
      </c>
      <c r="AF13" s="295">
        <v>295</v>
      </c>
      <c r="AG13" s="324">
        <v>32329.5</v>
      </c>
      <c r="AH13" s="324">
        <v>32329.5</v>
      </c>
      <c r="AI13" s="324">
        <v>27249.15</v>
      </c>
      <c r="AJ13" s="346">
        <f t="shared" si="4"/>
        <v>367654.04000000004</v>
      </c>
      <c r="AK13" s="324">
        <v>167093.49</v>
      </c>
      <c r="AL13" s="324"/>
      <c r="AM13" s="324">
        <v>200560.55</v>
      </c>
      <c r="AN13" s="324"/>
      <c r="AO13" s="324"/>
      <c r="AP13" s="325" t="s">
        <v>1069</v>
      </c>
      <c r="AQ13" s="325" t="s">
        <v>1076</v>
      </c>
      <c r="AR13" s="325"/>
    </row>
    <row r="14" spans="1:44" s="328" customFormat="1" ht="47.25">
      <c r="A14" s="1024"/>
      <c r="B14" s="1024"/>
      <c r="C14" s="1024"/>
      <c r="D14" s="1027"/>
      <c r="E14" s="326">
        <f t="shared" si="5"/>
        <v>99000</v>
      </c>
      <c r="F14" s="327" t="s">
        <v>87</v>
      </c>
      <c r="G14" s="325" t="s">
        <v>1077</v>
      </c>
      <c r="H14" s="709" t="s">
        <v>1078</v>
      </c>
      <c r="I14" s="1030"/>
      <c r="J14" s="322"/>
      <c r="K14" s="1030"/>
      <c r="L14" s="295">
        <v>8250</v>
      </c>
      <c r="M14" s="295">
        <v>8250</v>
      </c>
      <c r="N14" s="295">
        <v>8250</v>
      </c>
      <c r="O14" s="323">
        <v>24893.98</v>
      </c>
      <c r="P14" s="323">
        <v>24893.98</v>
      </c>
      <c r="Q14" s="323">
        <v>24893.98</v>
      </c>
      <c r="R14" s="295">
        <v>8250</v>
      </c>
      <c r="S14" s="295">
        <v>8250</v>
      </c>
      <c r="T14" s="295">
        <v>8250</v>
      </c>
      <c r="U14" s="324">
        <v>24893.98</v>
      </c>
      <c r="V14" s="324">
        <v>24893.98</v>
      </c>
      <c r="W14" s="324">
        <v>24893.98</v>
      </c>
      <c r="X14" s="295">
        <v>8250</v>
      </c>
      <c r="Y14" s="295">
        <v>8250</v>
      </c>
      <c r="Z14" s="295">
        <v>8250</v>
      </c>
      <c r="AA14" s="324">
        <v>24893.98</v>
      </c>
      <c r="AB14" s="324">
        <v>24893.98</v>
      </c>
      <c r="AC14" s="324">
        <v>24893.98</v>
      </c>
      <c r="AD14" s="295">
        <v>8250</v>
      </c>
      <c r="AE14" s="295">
        <v>8250</v>
      </c>
      <c r="AF14" s="295">
        <v>8250</v>
      </c>
      <c r="AG14" s="324">
        <v>24894.01</v>
      </c>
      <c r="AH14" s="324">
        <v>24894.02</v>
      </c>
      <c r="AI14" s="324">
        <v>24894.02</v>
      </c>
      <c r="AJ14" s="346">
        <f t="shared" si="4"/>
        <v>298727.87000000005</v>
      </c>
      <c r="AK14" s="324">
        <v>147482.43</v>
      </c>
      <c r="AL14" s="324"/>
      <c r="AM14" s="324">
        <v>151245.44</v>
      </c>
      <c r="AN14" s="324"/>
      <c r="AO14" s="324"/>
      <c r="AP14" s="325" t="s">
        <v>1069</v>
      </c>
      <c r="AQ14" s="325" t="s">
        <v>1079</v>
      </c>
      <c r="AR14" s="325"/>
    </row>
    <row r="15" spans="1:44" ht="96" customHeight="1">
      <c r="A15" s="1024"/>
      <c r="B15" s="1024"/>
      <c r="C15" s="1024"/>
      <c r="D15" s="1027"/>
      <c r="E15" s="321">
        <f t="shared" si="5"/>
        <v>145</v>
      </c>
      <c r="F15" s="329" t="s">
        <v>1080</v>
      </c>
      <c r="G15" s="325" t="s">
        <v>1081</v>
      </c>
      <c r="H15" s="330" t="s">
        <v>1082</v>
      </c>
      <c r="I15" s="1030"/>
      <c r="J15" s="322"/>
      <c r="K15" s="1030"/>
      <c r="L15" s="295">
        <v>12</v>
      </c>
      <c r="M15" s="295">
        <v>12</v>
      </c>
      <c r="N15" s="295">
        <v>12</v>
      </c>
      <c r="O15" s="323">
        <v>9482.57</v>
      </c>
      <c r="P15" s="323">
        <v>9482.57</v>
      </c>
      <c r="Q15" s="323">
        <v>9482.57</v>
      </c>
      <c r="R15" s="295">
        <v>12</v>
      </c>
      <c r="S15" s="295">
        <v>12</v>
      </c>
      <c r="T15" s="295">
        <v>13</v>
      </c>
      <c r="U15" s="323">
        <v>9482.57</v>
      </c>
      <c r="V15" s="323">
        <v>9482.57</v>
      </c>
      <c r="W15" s="323">
        <v>9482.57</v>
      </c>
      <c r="X15" s="295">
        <v>12</v>
      </c>
      <c r="Y15" s="295">
        <v>12</v>
      </c>
      <c r="Z15" s="295">
        <v>12</v>
      </c>
      <c r="AA15" s="323">
        <v>9482.57</v>
      </c>
      <c r="AB15" s="323">
        <v>9482.57</v>
      </c>
      <c r="AC15" s="323">
        <v>9482.57</v>
      </c>
      <c r="AD15" s="295">
        <v>12</v>
      </c>
      <c r="AE15" s="295">
        <v>12</v>
      </c>
      <c r="AF15" s="295">
        <v>12</v>
      </c>
      <c r="AG15" s="324">
        <v>9482.6</v>
      </c>
      <c r="AH15" s="324">
        <v>9482.6</v>
      </c>
      <c r="AI15" s="324">
        <v>9482.61</v>
      </c>
      <c r="AJ15" s="346">
        <f t="shared" si="4"/>
        <v>113790.94000000002</v>
      </c>
      <c r="AK15" s="324">
        <f>60545.5-12000</f>
        <v>48545.5</v>
      </c>
      <c r="AL15" s="324"/>
      <c r="AM15" s="324">
        <f>77245.44-12000</f>
        <v>65245.440000000002</v>
      </c>
      <c r="AN15" s="324"/>
      <c r="AO15" s="324"/>
      <c r="AP15" s="325" t="s">
        <v>1069</v>
      </c>
      <c r="AQ15" s="325" t="s">
        <v>1079</v>
      </c>
      <c r="AR15" s="325"/>
    </row>
    <row r="16" spans="1:44" ht="75" customHeight="1">
      <c r="A16" s="1024"/>
      <c r="B16" s="1024"/>
      <c r="C16" s="1024"/>
      <c r="D16" s="1027"/>
      <c r="E16" s="321">
        <f t="shared" si="5"/>
        <v>472</v>
      </c>
      <c r="F16" s="329" t="s">
        <v>87</v>
      </c>
      <c r="G16" s="325" t="s">
        <v>1083</v>
      </c>
      <c r="H16" s="331" t="s">
        <v>1082</v>
      </c>
      <c r="I16" s="1030"/>
      <c r="J16" s="322"/>
      <c r="K16" s="1030"/>
      <c r="L16" s="347">
        <v>40</v>
      </c>
      <c r="M16" s="347">
        <v>62</v>
      </c>
      <c r="N16" s="347">
        <v>35</v>
      </c>
      <c r="O16" s="334">
        <v>9658.4</v>
      </c>
      <c r="P16" s="334">
        <v>14971.62</v>
      </c>
      <c r="Q16" s="334">
        <v>8451.1</v>
      </c>
      <c r="R16" s="347">
        <v>40</v>
      </c>
      <c r="S16" s="347">
        <v>40</v>
      </c>
      <c r="T16" s="347">
        <v>40</v>
      </c>
      <c r="U16" s="346">
        <v>9658.4</v>
      </c>
      <c r="V16" s="346">
        <v>9658.4</v>
      </c>
      <c r="W16" s="346">
        <v>9658.4</v>
      </c>
      <c r="X16" s="347">
        <v>35</v>
      </c>
      <c r="Y16" s="347">
        <v>35</v>
      </c>
      <c r="Z16" s="347">
        <v>40</v>
      </c>
      <c r="AA16" s="346">
        <v>8451.1</v>
      </c>
      <c r="AB16" s="346">
        <v>8451.1</v>
      </c>
      <c r="AC16" s="346">
        <v>9658.31</v>
      </c>
      <c r="AD16" s="347">
        <v>35</v>
      </c>
      <c r="AE16" s="347">
        <v>35</v>
      </c>
      <c r="AF16" s="347">
        <v>35</v>
      </c>
      <c r="AG16" s="346">
        <v>8451.1</v>
      </c>
      <c r="AH16" s="346">
        <v>8451.1</v>
      </c>
      <c r="AI16" s="346">
        <v>8451.1</v>
      </c>
      <c r="AJ16" s="346">
        <f t="shared" si="4"/>
        <v>113970.13000000003</v>
      </c>
      <c r="AK16" s="346">
        <v>51506.5</v>
      </c>
      <c r="AL16" s="346"/>
      <c r="AM16" s="346">
        <v>62463.63</v>
      </c>
      <c r="AN16" s="346"/>
      <c r="AO16" s="346"/>
      <c r="AP16" s="325" t="s">
        <v>1069</v>
      </c>
      <c r="AQ16" s="325" t="s">
        <v>1079</v>
      </c>
      <c r="AR16" s="325"/>
    </row>
    <row r="17" spans="1:46" ht="69.75" customHeight="1">
      <c r="A17" s="1024"/>
      <c r="B17" s="1024"/>
      <c r="C17" s="1024"/>
      <c r="D17" s="1027"/>
      <c r="E17" s="321">
        <f t="shared" si="5"/>
        <v>1935</v>
      </c>
      <c r="F17" s="329" t="s">
        <v>1084</v>
      </c>
      <c r="G17" s="325" t="s">
        <v>1085</v>
      </c>
      <c r="H17" s="331" t="s">
        <v>1082</v>
      </c>
      <c r="I17" s="1030"/>
      <c r="J17" s="322"/>
      <c r="K17" s="1030"/>
      <c r="L17" s="347">
        <v>199</v>
      </c>
      <c r="M17" s="347">
        <v>194</v>
      </c>
      <c r="N17" s="347">
        <v>162</v>
      </c>
      <c r="O17" s="334">
        <v>24475.01</v>
      </c>
      <c r="P17" s="334">
        <v>23860.059999999998</v>
      </c>
      <c r="Q17" s="334">
        <v>19939.46</v>
      </c>
      <c r="R17" s="347">
        <v>160</v>
      </c>
      <c r="S17" s="347">
        <v>160</v>
      </c>
      <c r="T17" s="347">
        <v>160</v>
      </c>
      <c r="U17" s="346">
        <v>19678.399999999998</v>
      </c>
      <c r="V17" s="346">
        <v>19678.399999999998</v>
      </c>
      <c r="W17" s="346">
        <v>19678.399999999998</v>
      </c>
      <c r="X17" s="347">
        <v>150</v>
      </c>
      <c r="Y17" s="347">
        <v>150</v>
      </c>
      <c r="Z17" s="347">
        <v>150</v>
      </c>
      <c r="AA17" s="346">
        <v>18448.5</v>
      </c>
      <c r="AB17" s="346">
        <v>18448.5</v>
      </c>
      <c r="AC17" s="346">
        <v>18448.5</v>
      </c>
      <c r="AD17" s="347">
        <v>150</v>
      </c>
      <c r="AE17" s="347">
        <v>150</v>
      </c>
      <c r="AF17" s="347">
        <v>150</v>
      </c>
      <c r="AG17" s="346">
        <v>18448.5</v>
      </c>
      <c r="AH17" s="346">
        <v>18448.5</v>
      </c>
      <c r="AI17" s="346">
        <v>18448.5</v>
      </c>
      <c r="AJ17" s="346">
        <f t="shared" si="4"/>
        <v>238000.72999999998</v>
      </c>
      <c r="AK17" s="346">
        <v>134239.72</v>
      </c>
      <c r="AL17" s="346"/>
      <c r="AM17" s="346">
        <v>103761.01</v>
      </c>
      <c r="AN17" s="346"/>
      <c r="AO17" s="346"/>
      <c r="AP17" s="325" t="s">
        <v>1069</v>
      </c>
      <c r="AQ17" s="325" t="s">
        <v>1079</v>
      </c>
      <c r="AR17" s="325"/>
    </row>
    <row r="18" spans="1:46" ht="79.5" customHeight="1">
      <c r="A18" s="1024"/>
      <c r="B18" s="1024"/>
      <c r="C18" s="1024"/>
      <c r="D18" s="1027"/>
      <c r="E18" s="321">
        <f t="shared" si="5"/>
        <v>38453</v>
      </c>
      <c r="F18" s="332" t="s">
        <v>1086</v>
      </c>
      <c r="G18" s="325" t="s">
        <v>1087</v>
      </c>
      <c r="H18" s="331" t="s">
        <v>1088</v>
      </c>
      <c r="I18" s="1030"/>
      <c r="J18" s="322"/>
      <c r="K18" s="1030"/>
      <c r="L18" s="326">
        <v>2647</v>
      </c>
      <c r="M18" s="326">
        <v>4515</v>
      </c>
      <c r="N18" s="326">
        <v>2341</v>
      </c>
      <c r="O18" s="334">
        <v>29384.799999999999</v>
      </c>
      <c r="P18" s="334">
        <v>50119.6</v>
      </c>
      <c r="Q18" s="334">
        <v>25988.2</v>
      </c>
      <c r="R18" s="326">
        <v>3434</v>
      </c>
      <c r="S18" s="326">
        <v>2740</v>
      </c>
      <c r="T18" s="326">
        <v>2843</v>
      </c>
      <c r="U18" s="346">
        <v>38120.5</v>
      </c>
      <c r="V18" s="346">
        <v>30417.1</v>
      </c>
      <c r="W18" s="346">
        <v>31558.400000000001</v>
      </c>
      <c r="X18" s="326">
        <v>2290</v>
      </c>
      <c r="Y18" s="326">
        <v>1634</v>
      </c>
      <c r="Z18" s="326">
        <v>2385</v>
      </c>
      <c r="AA18" s="346">
        <v>25422.1</v>
      </c>
      <c r="AB18" s="346">
        <v>18140.5</v>
      </c>
      <c r="AC18" s="346">
        <v>26476.6</v>
      </c>
      <c r="AD18" s="326">
        <v>4602</v>
      </c>
      <c r="AE18" s="326">
        <v>3856</v>
      </c>
      <c r="AF18" s="326">
        <v>5166</v>
      </c>
      <c r="AG18" s="346">
        <v>51085.3</v>
      </c>
      <c r="AH18" s="346">
        <v>42804.7</v>
      </c>
      <c r="AI18" s="346">
        <v>50347.75</v>
      </c>
      <c r="AJ18" s="346">
        <f t="shared" si="4"/>
        <v>419865.55</v>
      </c>
      <c r="AK18" s="346">
        <v>113988.92</v>
      </c>
      <c r="AL18" s="346"/>
      <c r="AM18" s="346">
        <f>312876.63-7000</f>
        <v>305876.63</v>
      </c>
      <c r="AN18" s="346"/>
      <c r="AO18" s="346"/>
      <c r="AP18" s="325" t="s">
        <v>1069</v>
      </c>
      <c r="AQ18" s="325" t="s">
        <v>1089</v>
      </c>
      <c r="AR18" s="325"/>
    </row>
    <row r="19" spans="1:46" ht="57" customHeight="1">
      <c r="A19" s="1025"/>
      <c r="B19" s="1025"/>
      <c r="C19" s="1025"/>
      <c r="D19" s="1028"/>
      <c r="E19" s="321">
        <f t="shared" si="5"/>
        <v>7718</v>
      </c>
      <c r="F19" s="332" t="s">
        <v>1086</v>
      </c>
      <c r="G19" s="325" t="s">
        <v>1090</v>
      </c>
      <c r="H19" s="331" t="s">
        <v>1088</v>
      </c>
      <c r="I19" s="1031"/>
      <c r="J19" s="322"/>
      <c r="K19" s="1031"/>
      <c r="L19" s="326">
        <v>495</v>
      </c>
      <c r="M19" s="326">
        <v>737</v>
      </c>
      <c r="N19" s="326">
        <v>678</v>
      </c>
      <c r="O19" s="334">
        <v>24360.95</v>
      </c>
      <c r="P19" s="334">
        <v>36269.769999999997</v>
      </c>
      <c r="Q19" s="334">
        <v>33366.379999999997</v>
      </c>
      <c r="R19" s="326">
        <v>588</v>
      </c>
      <c r="S19" s="326">
        <v>453</v>
      </c>
      <c r="T19" s="326">
        <v>657</v>
      </c>
      <c r="U19" s="346">
        <v>28937.48</v>
      </c>
      <c r="V19" s="346">
        <v>22294.13</v>
      </c>
      <c r="W19" s="346">
        <v>32332.97</v>
      </c>
      <c r="X19" s="326">
        <v>802</v>
      </c>
      <c r="Y19" s="326">
        <v>685</v>
      </c>
      <c r="Z19" s="326">
        <v>759</v>
      </c>
      <c r="AA19" s="346">
        <v>39468.42</v>
      </c>
      <c r="AB19" s="346">
        <v>33710.85</v>
      </c>
      <c r="AC19" s="346">
        <v>37352.39</v>
      </c>
      <c r="AD19" s="326">
        <v>543</v>
      </c>
      <c r="AE19" s="326">
        <v>584</v>
      </c>
      <c r="AF19" s="326">
        <v>737</v>
      </c>
      <c r="AG19" s="346">
        <v>26723.03</v>
      </c>
      <c r="AH19" s="346">
        <v>28740.639999999999</v>
      </c>
      <c r="AI19" s="346">
        <v>36269.25</v>
      </c>
      <c r="AJ19" s="346">
        <f t="shared" si="4"/>
        <v>379826.26</v>
      </c>
      <c r="AK19" s="346">
        <v>87868.12</v>
      </c>
      <c r="AL19" s="346"/>
      <c r="AM19" s="346">
        <v>291958.14</v>
      </c>
      <c r="AN19" s="346"/>
      <c r="AO19" s="346"/>
      <c r="AP19" s="325" t="s">
        <v>1069</v>
      </c>
      <c r="AQ19" s="325" t="s">
        <v>1089</v>
      </c>
      <c r="AR19" s="325"/>
    </row>
    <row r="20" spans="1:46" ht="65.25" customHeight="1">
      <c r="A20" s="329" t="s">
        <v>44</v>
      </c>
      <c r="B20" s="329" t="s">
        <v>45</v>
      </c>
      <c r="C20" s="329" t="s">
        <v>1091</v>
      </c>
      <c r="D20" s="333" t="s">
        <v>1092</v>
      </c>
      <c r="E20" s="321">
        <f t="shared" si="5"/>
        <v>337</v>
      </c>
      <c r="F20" s="735" t="s">
        <v>1093</v>
      </c>
      <c r="G20" s="736" t="s">
        <v>1094</v>
      </c>
      <c r="H20" s="736" t="s">
        <v>1095</v>
      </c>
      <c r="I20" s="321">
        <v>2</v>
      </c>
      <c r="J20" s="322"/>
      <c r="K20" s="321">
        <v>2</v>
      </c>
      <c r="L20" s="295">
        <v>20</v>
      </c>
      <c r="M20" s="295">
        <v>17</v>
      </c>
      <c r="N20" s="295">
        <v>25</v>
      </c>
      <c r="O20" s="323">
        <v>3521.6000000000004</v>
      </c>
      <c r="P20" s="323">
        <v>2993.36</v>
      </c>
      <c r="Q20" s="323">
        <v>4402</v>
      </c>
      <c r="R20" s="295">
        <v>25</v>
      </c>
      <c r="S20" s="295">
        <v>25</v>
      </c>
      <c r="T20" s="295">
        <v>30</v>
      </c>
      <c r="U20" s="324">
        <v>4402</v>
      </c>
      <c r="V20" s="324">
        <v>4402</v>
      </c>
      <c r="W20" s="324">
        <v>5282.4000000000005</v>
      </c>
      <c r="X20" s="295">
        <v>30</v>
      </c>
      <c r="Y20" s="295">
        <v>35</v>
      </c>
      <c r="Z20" s="295">
        <v>35</v>
      </c>
      <c r="AA20" s="324">
        <v>5282.4000000000005</v>
      </c>
      <c r="AB20" s="324">
        <v>6162.8</v>
      </c>
      <c r="AC20" s="324">
        <v>6162.8</v>
      </c>
      <c r="AD20" s="295">
        <v>35</v>
      </c>
      <c r="AE20" s="295">
        <v>35</v>
      </c>
      <c r="AF20" s="295">
        <v>25</v>
      </c>
      <c r="AG20" s="324">
        <v>6162.8</v>
      </c>
      <c r="AH20" s="324">
        <v>6162.8</v>
      </c>
      <c r="AI20" s="324">
        <v>4402.09</v>
      </c>
      <c r="AJ20" s="346">
        <f t="shared" si="4"/>
        <v>59339.050000000017</v>
      </c>
      <c r="AK20" s="324">
        <v>22200.3</v>
      </c>
      <c r="AL20" s="324"/>
      <c r="AM20" s="324">
        <v>37138.75</v>
      </c>
      <c r="AN20" s="324"/>
      <c r="AO20" s="324"/>
      <c r="AP20" s="325" t="s">
        <v>1069</v>
      </c>
      <c r="AQ20" s="325" t="s">
        <v>1096</v>
      </c>
      <c r="AR20" s="325"/>
    </row>
    <row r="21" spans="1:46" ht="67.5" customHeight="1">
      <c r="A21" s="1023" t="s">
        <v>44</v>
      </c>
      <c r="B21" s="1023" t="s">
        <v>45</v>
      </c>
      <c r="C21" s="1023" t="s">
        <v>1097</v>
      </c>
      <c r="D21" s="1026" t="s">
        <v>1098</v>
      </c>
      <c r="E21" s="321">
        <f>MAX(L21,M21,N21,R21,S21,T21,X21,Y21,Z21,AD21,AE21,AF21)</f>
        <v>165</v>
      </c>
      <c r="F21" s="735" t="s">
        <v>131</v>
      </c>
      <c r="G21" s="1040" t="s">
        <v>1099</v>
      </c>
      <c r="H21" s="1040" t="s">
        <v>1100</v>
      </c>
      <c r="I21" s="1029">
        <v>2</v>
      </c>
      <c r="J21" s="322"/>
      <c r="K21" s="1029">
        <v>2</v>
      </c>
      <c r="L21" s="295"/>
      <c r="M21" s="295"/>
      <c r="N21" s="295">
        <v>165</v>
      </c>
      <c r="O21" s="323"/>
      <c r="P21" s="323"/>
      <c r="Q21" s="323">
        <v>6415.96</v>
      </c>
      <c r="R21" s="295"/>
      <c r="S21" s="295"/>
      <c r="T21" s="295">
        <v>165</v>
      </c>
      <c r="U21" s="324"/>
      <c r="V21" s="324"/>
      <c r="W21" s="324">
        <v>6415.96</v>
      </c>
      <c r="X21" s="295"/>
      <c r="Y21" s="295"/>
      <c r="Z21" s="295">
        <v>165</v>
      </c>
      <c r="AA21" s="324"/>
      <c r="AB21" s="324"/>
      <c r="AC21" s="324">
        <v>6415.96</v>
      </c>
      <c r="AD21" s="295"/>
      <c r="AE21" s="295"/>
      <c r="AF21" s="295">
        <v>165</v>
      </c>
      <c r="AG21" s="324"/>
      <c r="AH21" s="324"/>
      <c r="AI21" s="324">
        <v>6415.99</v>
      </c>
      <c r="AJ21" s="346">
        <f t="shared" si="4"/>
        <v>25663.870000000003</v>
      </c>
      <c r="AK21" s="324">
        <v>10180</v>
      </c>
      <c r="AL21" s="324"/>
      <c r="AM21" s="324">
        <v>15483.87</v>
      </c>
      <c r="AN21" s="324"/>
      <c r="AO21" s="324"/>
      <c r="AP21" s="325" t="s">
        <v>1069</v>
      </c>
      <c r="AQ21" s="325" t="s">
        <v>1101</v>
      </c>
      <c r="AR21" s="325" t="s">
        <v>1071</v>
      </c>
      <c r="AS21" s="715">
        <f t="shared" ref="AS21:AS23" si="6">AJ21-(O21+P21+Q21+U21+V21+W21+AA21+AB21+AC21+AG21+AH21+AI21)</f>
        <v>0</v>
      </c>
      <c r="AT21" s="715">
        <f t="shared" ref="AT21:AT23" si="7">AJ21-(AK21+AL21+AM21+AN21+AO21)</f>
        <v>0</v>
      </c>
    </row>
    <row r="22" spans="1:46" ht="69.75" customHeight="1">
      <c r="A22" s="1024"/>
      <c r="B22" s="1024"/>
      <c r="C22" s="1024"/>
      <c r="D22" s="1027"/>
      <c r="E22" s="321">
        <f>MAX(L22,M22,N22,R22,S22,T22,X22,Y22,Z22,AD22,AE22,AF22)</f>
        <v>21</v>
      </c>
      <c r="F22" s="735" t="s">
        <v>134</v>
      </c>
      <c r="G22" s="1041"/>
      <c r="H22" s="1041"/>
      <c r="I22" s="1030"/>
      <c r="J22" s="322"/>
      <c r="K22" s="1030"/>
      <c r="L22" s="295"/>
      <c r="M22" s="295"/>
      <c r="N22" s="295">
        <v>21</v>
      </c>
      <c r="O22" s="323"/>
      <c r="P22" s="323"/>
      <c r="Q22" s="323">
        <v>1452.94</v>
      </c>
      <c r="R22" s="295"/>
      <c r="S22" s="295"/>
      <c r="T22" s="295">
        <v>21</v>
      </c>
      <c r="U22" s="324"/>
      <c r="V22" s="324"/>
      <c r="W22" s="324">
        <v>1452.94</v>
      </c>
      <c r="X22" s="295"/>
      <c r="Y22" s="295"/>
      <c r="Z22" s="295">
        <v>21</v>
      </c>
      <c r="AA22" s="324"/>
      <c r="AB22" s="324"/>
      <c r="AC22" s="324">
        <v>1452.94</v>
      </c>
      <c r="AD22" s="295"/>
      <c r="AE22" s="295"/>
      <c r="AF22" s="295">
        <v>21</v>
      </c>
      <c r="AG22" s="324"/>
      <c r="AH22" s="324"/>
      <c r="AI22" s="324">
        <v>1452.91</v>
      </c>
      <c r="AJ22" s="346">
        <f t="shared" si="4"/>
        <v>5811.73</v>
      </c>
      <c r="AK22" s="324">
        <v>1295.6400000000001</v>
      </c>
      <c r="AL22" s="324"/>
      <c r="AM22" s="324">
        <f>+AJ22-AK22</f>
        <v>4516.0899999999992</v>
      </c>
      <c r="AN22" s="324"/>
      <c r="AO22" s="324"/>
      <c r="AP22" s="325" t="s">
        <v>1069</v>
      </c>
      <c r="AQ22" s="325" t="s">
        <v>1101</v>
      </c>
      <c r="AR22" s="325" t="s">
        <v>1071</v>
      </c>
      <c r="AS22" s="715">
        <f t="shared" si="6"/>
        <v>0</v>
      </c>
      <c r="AT22" s="715">
        <f t="shared" si="7"/>
        <v>0</v>
      </c>
    </row>
    <row r="23" spans="1:46" ht="92.25" customHeight="1">
      <c r="A23" s="1025"/>
      <c r="B23" s="1025"/>
      <c r="C23" s="1025"/>
      <c r="D23" s="1028"/>
      <c r="E23" s="321">
        <f t="shared" ref="E23:E36" si="8">SUM(L23,M23,N23,R23,S23,T23,X23,Y23,Z23,AD23,AE23,AF23)</f>
        <v>24</v>
      </c>
      <c r="F23" s="735" t="s">
        <v>196</v>
      </c>
      <c r="G23" s="1042"/>
      <c r="H23" s="1042"/>
      <c r="I23" s="1031"/>
      <c r="J23" s="322"/>
      <c r="K23" s="1031"/>
      <c r="L23" s="295"/>
      <c r="M23" s="295"/>
      <c r="N23" s="295">
        <v>6</v>
      </c>
      <c r="O23" s="323"/>
      <c r="P23" s="323"/>
      <c r="Q23" s="323">
        <v>3150</v>
      </c>
      <c r="R23" s="295"/>
      <c r="S23" s="295"/>
      <c r="T23" s="295">
        <v>6</v>
      </c>
      <c r="U23" s="324"/>
      <c r="V23" s="324"/>
      <c r="W23" s="324">
        <v>3150</v>
      </c>
      <c r="X23" s="295"/>
      <c r="Y23" s="295"/>
      <c r="Z23" s="295">
        <v>6</v>
      </c>
      <c r="AA23" s="324"/>
      <c r="AB23" s="324"/>
      <c r="AC23" s="324">
        <v>3150</v>
      </c>
      <c r="AD23" s="295"/>
      <c r="AE23" s="295"/>
      <c r="AF23" s="295">
        <v>6</v>
      </c>
      <c r="AG23" s="324"/>
      <c r="AH23" s="324"/>
      <c r="AI23" s="324">
        <v>3150</v>
      </c>
      <c r="AJ23" s="346">
        <f t="shared" si="4"/>
        <v>12600</v>
      </c>
      <c r="AK23" s="324">
        <v>2600</v>
      </c>
      <c r="AL23" s="324"/>
      <c r="AM23" s="324">
        <v>10000</v>
      </c>
      <c r="AN23" s="324"/>
      <c r="AO23" s="324"/>
      <c r="AP23" s="325" t="s">
        <v>1069</v>
      </c>
      <c r="AQ23" s="325" t="s">
        <v>1101</v>
      </c>
      <c r="AR23" s="325" t="s">
        <v>1102</v>
      </c>
      <c r="AS23" s="715">
        <f t="shared" si="6"/>
        <v>0</v>
      </c>
      <c r="AT23" s="715">
        <f t="shared" si="7"/>
        <v>0</v>
      </c>
    </row>
    <row r="24" spans="1:46" ht="92.25" customHeight="1">
      <c r="A24" s="329" t="s">
        <v>44</v>
      </c>
      <c r="B24" s="329" t="s">
        <v>45</v>
      </c>
      <c r="C24" s="329" t="s">
        <v>1103</v>
      </c>
      <c r="D24" s="333" t="s">
        <v>1104</v>
      </c>
      <c r="E24" s="321">
        <f t="shared" si="8"/>
        <v>157</v>
      </c>
      <c r="F24" s="735" t="s">
        <v>69</v>
      </c>
      <c r="G24" s="738" t="s">
        <v>1105</v>
      </c>
      <c r="H24" s="709" t="s">
        <v>1106</v>
      </c>
      <c r="I24" s="321">
        <v>2</v>
      </c>
      <c r="J24" s="322"/>
      <c r="K24" s="321">
        <v>2</v>
      </c>
      <c r="L24" s="347">
        <v>3</v>
      </c>
      <c r="M24" s="347">
        <v>3</v>
      </c>
      <c r="N24" s="347">
        <v>1</v>
      </c>
      <c r="O24" s="323">
        <v>850.05</v>
      </c>
      <c r="P24" s="323">
        <v>850.05</v>
      </c>
      <c r="Q24" s="323">
        <v>283.44</v>
      </c>
      <c r="R24" s="347"/>
      <c r="S24" s="347">
        <v>20</v>
      </c>
      <c r="T24" s="347">
        <v>20</v>
      </c>
      <c r="U24" s="324"/>
      <c r="V24" s="324">
        <v>5669</v>
      </c>
      <c r="W24" s="324">
        <v>5669</v>
      </c>
      <c r="X24" s="347">
        <v>20</v>
      </c>
      <c r="Y24" s="347">
        <v>20</v>
      </c>
      <c r="Z24" s="347">
        <v>20</v>
      </c>
      <c r="AA24" s="324">
        <v>5669</v>
      </c>
      <c r="AB24" s="324">
        <v>5669</v>
      </c>
      <c r="AC24" s="324">
        <v>5669</v>
      </c>
      <c r="AD24" s="347">
        <v>20</v>
      </c>
      <c r="AE24" s="347">
        <v>20</v>
      </c>
      <c r="AF24" s="347">
        <v>10</v>
      </c>
      <c r="AG24" s="324">
        <v>5669</v>
      </c>
      <c r="AH24" s="324">
        <v>5669</v>
      </c>
      <c r="AI24" s="324">
        <v>2834.5</v>
      </c>
      <c r="AJ24" s="346">
        <f t="shared" si="4"/>
        <v>44501.04</v>
      </c>
      <c r="AK24" s="324">
        <v>21600.79</v>
      </c>
      <c r="AL24" s="324"/>
      <c r="AM24" s="324">
        <v>22900.25</v>
      </c>
      <c r="AN24" s="324"/>
      <c r="AO24" s="324"/>
      <c r="AP24" s="325" t="s">
        <v>1069</v>
      </c>
      <c r="AQ24" s="325" t="s">
        <v>1107</v>
      </c>
      <c r="AR24" s="325" t="s">
        <v>1108</v>
      </c>
    </row>
    <row r="25" spans="1:46" ht="81.75" customHeight="1">
      <c r="A25" s="329" t="s">
        <v>44</v>
      </c>
      <c r="B25" s="329" t="s">
        <v>45</v>
      </c>
      <c r="C25" s="329" t="s">
        <v>1109</v>
      </c>
      <c r="D25" s="333" t="s">
        <v>1110</v>
      </c>
      <c r="E25" s="321">
        <f t="shared" si="8"/>
        <v>105</v>
      </c>
      <c r="F25" s="735" t="s">
        <v>1111</v>
      </c>
      <c r="G25" s="736" t="s">
        <v>1112</v>
      </c>
      <c r="H25" s="709" t="s">
        <v>1113</v>
      </c>
      <c r="I25" s="321">
        <v>1</v>
      </c>
      <c r="J25" s="322"/>
      <c r="K25" s="321">
        <v>1</v>
      </c>
      <c r="L25" s="347">
        <v>5</v>
      </c>
      <c r="M25" s="347">
        <v>5</v>
      </c>
      <c r="N25" s="347">
        <v>5</v>
      </c>
      <c r="O25" s="323">
        <v>1716.66</v>
      </c>
      <c r="P25" s="323">
        <v>1716.66</v>
      </c>
      <c r="Q25" s="323">
        <v>1716.67</v>
      </c>
      <c r="R25" s="347">
        <v>10</v>
      </c>
      <c r="S25" s="347">
        <v>10</v>
      </c>
      <c r="T25" s="347">
        <v>10</v>
      </c>
      <c r="U25" s="324">
        <v>3433.2</v>
      </c>
      <c r="V25" s="324">
        <v>3433.2</v>
      </c>
      <c r="W25" s="324">
        <v>3433.2</v>
      </c>
      <c r="X25" s="347">
        <v>10</v>
      </c>
      <c r="Y25" s="347">
        <v>10</v>
      </c>
      <c r="Z25" s="347">
        <v>10</v>
      </c>
      <c r="AA25" s="324">
        <v>3433.2</v>
      </c>
      <c r="AB25" s="324">
        <v>3433.2</v>
      </c>
      <c r="AC25" s="324">
        <v>3433.2</v>
      </c>
      <c r="AD25" s="347">
        <v>10</v>
      </c>
      <c r="AE25" s="347">
        <v>10</v>
      </c>
      <c r="AF25" s="347">
        <v>10</v>
      </c>
      <c r="AG25" s="324">
        <v>3433.2</v>
      </c>
      <c r="AH25" s="324">
        <v>3433.2</v>
      </c>
      <c r="AI25" s="324">
        <v>3433.2</v>
      </c>
      <c r="AJ25" s="346">
        <f t="shared" si="4"/>
        <v>36048.79</v>
      </c>
      <c r="AK25" s="324">
        <v>16048.79</v>
      </c>
      <c r="AL25" s="324"/>
      <c r="AM25" s="324">
        <v>20000</v>
      </c>
      <c r="AN25" s="324"/>
      <c r="AO25" s="324"/>
      <c r="AP25" s="325" t="s">
        <v>1069</v>
      </c>
      <c r="AQ25" s="325" t="s">
        <v>1107</v>
      </c>
      <c r="AR25" s="325" t="s">
        <v>1114</v>
      </c>
    </row>
    <row r="26" spans="1:46" ht="64.5" customHeight="1">
      <c r="A26" s="329" t="s">
        <v>44</v>
      </c>
      <c r="B26" s="329" t="s">
        <v>45</v>
      </c>
      <c r="C26" s="329" t="s">
        <v>1115</v>
      </c>
      <c r="D26" s="333" t="s">
        <v>1116</v>
      </c>
      <c r="E26" s="321">
        <f t="shared" si="8"/>
        <v>210</v>
      </c>
      <c r="F26" s="735" t="s">
        <v>1080</v>
      </c>
      <c r="G26" s="736" t="s">
        <v>1117</v>
      </c>
      <c r="H26" s="709" t="s">
        <v>1118</v>
      </c>
      <c r="I26" s="321">
        <v>1</v>
      </c>
      <c r="J26" s="322"/>
      <c r="K26" s="321">
        <v>1</v>
      </c>
      <c r="L26" s="347">
        <v>20</v>
      </c>
      <c r="M26" s="347">
        <v>25</v>
      </c>
      <c r="N26" s="347">
        <v>30</v>
      </c>
      <c r="O26" s="323">
        <v>1298.8</v>
      </c>
      <c r="P26" s="323">
        <v>1623.5</v>
      </c>
      <c r="Q26" s="323">
        <v>1948.1999999999998</v>
      </c>
      <c r="R26" s="347">
        <v>30</v>
      </c>
      <c r="S26" s="347">
        <v>30</v>
      </c>
      <c r="T26" s="347">
        <v>30</v>
      </c>
      <c r="U26" s="324">
        <v>1948.1999999999998</v>
      </c>
      <c r="V26" s="324">
        <v>1948.1999999999998</v>
      </c>
      <c r="W26" s="324">
        <v>1948.1999999999998</v>
      </c>
      <c r="X26" s="347">
        <v>25</v>
      </c>
      <c r="Y26" s="347">
        <v>10</v>
      </c>
      <c r="Z26" s="347"/>
      <c r="AA26" s="324">
        <v>1623.31</v>
      </c>
      <c r="AB26" s="324">
        <v>649.4</v>
      </c>
      <c r="AC26" s="324">
        <v>0</v>
      </c>
      <c r="AD26" s="347"/>
      <c r="AE26" s="347"/>
      <c r="AF26" s="347">
        <v>10</v>
      </c>
      <c r="AG26" s="324">
        <v>0</v>
      </c>
      <c r="AH26" s="324">
        <v>0</v>
      </c>
      <c r="AI26" s="324">
        <v>649.4</v>
      </c>
      <c r="AJ26" s="346">
        <f t="shared" si="4"/>
        <v>13637.209999999997</v>
      </c>
      <c r="AK26" s="324">
        <v>4099.21</v>
      </c>
      <c r="AL26" s="324"/>
      <c r="AM26" s="324">
        <v>9538</v>
      </c>
      <c r="AN26" s="324"/>
      <c r="AO26" s="324"/>
      <c r="AP26" s="325" t="s">
        <v>1069</v>
      </c>
      <c r="AQ26" s="325" t="s">
        <v>1107</v>
      </c>
      <c r="AR26" s="325"/>
    </row>
    <row r="27" spans="1:46" ht="62.25" customHeight="1">
      <c r="A27" s="329" t="s">
        <v>44</v>
      </c>
      <c r="B27" s="329" t="s">
        <v>45</v>
      </c>
      <c r="C27" s="329" t="s">
        <v>1119</v>
      </c>
      <c r="D27" s="333" t="s">
        <v>1120</v>
      </c>
      <c r="E27" s="321">
        <f t="shared" si="8"/>
        <v>95</v>
      </c>
      <c r="F27" s="735" t="s">
        <v>1080</v>
      </c>
      <c r="G27" s="736" t="s">
        <v>1121</v>
      </c>
      <c r="H27" s="709" t="s">
        <v>1118</v>
      </c>
      <c r="I27" s="321">
        <v>1</v>
      </c>
      <c r="J27" s="322"/>
      <c r="K27" s="321">
        <v>1</v>
      </c>
      <c r="L27" s="347">
        <v>5</v>
      </c>
      <c r="M27" s="347">
        <v>10</v>
      </c>
      <c r="N27" s="347">
        <v>20</v>
      </c>
      <c r="O27" s="323">
        <v>759.9</v>
      </c>
      <c r="P27" s="323">
        <v>1519.8</v>
      </c>
      <c r="Q27" s="323">
        <v>3039.6</v>
      </c>
      <c r="R27" s="347">
        <v>20</v>
      </c>
      <c r="S27" s="347">
        <v>20</v>
      </c>
      <c r="T27" s="347">
        <v>10</v>
      </c>
      <c r="U27" s="324">
        <v>3039.55</v>
      </c>
      <c r="V27" s="324">
        <v>3039.55</v>
      </c>
      <c r="W27" s="324">
        <v>1519.8</v>
      </c>
      <c r="X27" s="347">
        <v>5</v>
      </c>
      <c r="Y27" s="347">
        <v>5</v>
      </c>
      <c r="Z27" s="347"/>
      <c r="AA27" s="324">
        <v>759.9</v>
      </c>
      <c r="AB27" s="324">
        <v>759.9</v>
      </c>
      <c r="AC27" s="324">
        <v>0</v>
      </c>
      <c r="AD27" s="295"/>
      <c r="AE27" s="295"/>
      <c r="AF27" s="295"/>
      <c r="AG27" s="324">
        <v>0</v>
      </c>
      <c r="AH27" s="324">
        <v>0</v>
      </c>
      <c r="AI27" s="324">
        <v>0</v>
      </c>
      <c r="AJ27" s="346">
        <f t="shared" si="4"/>
        <v>14437.999999999996</v>
      </c>
      <c r="AK27" s="324">
        <v>4900</v>
      </c>
      <c r="AL27" s="324"/>
      <c r="AM27" s="324">
        <v>9538</v>
      </c>
      <c r="AN27" s="324"/>
      <c r="AO27" s="324"/>
      <c r="AP27" s="325" t="s">
        <v>1069</v>
      </c>
      <c r="AQ27" s="325" t="s">
        <v>1107</v>
      </c>
      <c r="AR27" s="325"/>
    </row>
    <row r="28" spans="1:46" ht="66" customHeight="1">
      <c r="A28" s="329" t="s">
        <v>44</v>
      </c>
      <c r="B28" s="329" t="s">
        <v>45</v>
      </c>
      <c r="C28" s="329" t="s">
        <v>1122</v>
      </c>
      <c r="D28" s="333" t="s">
        <v>1123</v>
      </c>
      <c r="E28" s="321">
        <f t="shared" si="8"/>
        <v>480</v>
      </c>
      <c r="F28" s="735" t="s">
        <v>1080</v>
      </c>
      <c r="G28" s="736" t="s">
        <v>1124</v>
      </c>
      <c r="H28" s="737" t="s">
        <v>1075</v>
      </c>
      <c r="I28" s="321">
        <v>3</v>
      </c>
      <c r="J28" s="322"/>
      <c r="K28" s="321">
        <v>3</v>
      </c>
      <c r="L28" s="347">
        <v>30</v>
      </c>
      <c r="M28" s="347">
        <v>45</v>
      </c>
      <c r="N28" s="347">
        <v>45</v>
      </c>
      <c r="O28" s="334">
        <v>5922.4</v>
      </c>
      <c r="P28" s="334">
        <v>8883.1</v>
      </c>
      <c r="Q28" s="334">
        <v>8883.1</v>
      </c>
      <c r="R28" s="347">
        <v>30</v>
      </c>
      <c r="S28" s="347">
        <v>45</v>
      </c>
      <c r="T28" s="347">
        <v>45</v>
      </c>
      <c r="U28" s="346">
        <v>5921.4</v>
      </c>
      <c r="V28" s="346">
        <v>8882.1</v>
      </c>
      <c r="W28" s="346">
        <v>8882.1</v>
      </c>
      <c r="X28" s="347">
        <v>45</v>
      </c>
      <c r="Y28" s="347">
        <v>30</v>
      </c>
      <c r="Z28" s="347">
        <v>45</v>
      </c>
      <c r="AA28" s="346">
        <v>8882.1</v>
      </c>
      <c r="AB28" s="346">
        <v>5922.4</v>
      </c>
      <c r="AC28" s="346">
        <v>8882.1</v>
      </c>
      <c r="AD28" s="347">
        <v>45</v>
      </c>
      <c r="AE28" s="347">
        <v>45</v>
      </c>
      <c r="AF28" s="347">
        <v>30</v>
      </c>
      <c r="AG28" s="346">
        <v>8882.0499999999993</v>
      </c>
      <c r="AH28" s="346">
        <v>8882.0499999999993</v>
      </c>
      <c r="AI28" s="346">
        <v>5921.31</v>
      </c>
      <c r="AJ28" s="346">
        <f t="shared" si="4"/>
        <v>94746.21</v>
      </c>
      <c r="AK28" s="346">
        <v>45595.57</v>
      </c>
      <c r="AL28" s="346"/>
      <c r="AM28" s="346">
        <v>49150.64</v>
      </c>
      <c r="AN28" s="346"/>
      <c r="AO28" s="346"/>
      <c r="AP28" s="325" t="s">
        <v>1069</v>
      </c>
      <c r="AQ28" s="325" t="s">
        <v>1076</v>
      </c>
      <c r="AR28" s="325"/>
    </row>
    <row r="29" spans="1:46" ht="101.25" customHeight="1">
      <c r="A29" s="329" t="s">
        <v>44</v>
      </c>
      <c r="B29" s="329" t="s">
        <v>45</v>
      </c>
      <c r="C29" s="329" t="s">
        <v>1125</v>
      </c>
      <c r="D29" s="333" t="s">
        <v>1126</v>
      </c>
      <c r="E29" s="321">
        <f t="shared" si="8"/>
        <v>32000</v>
      </c>
      <c r="F29" s="735" t="s">
        <v>1127</v>
      </c>
      <c r="G29" s="738" t="s">
        <v>1128</v>
      </c>
      <c r="H29" s="737" t="s">
        <v>1075</v>
      </c>
      <c r="I29" s="321">
        <v>15</v>
      </c>
      <c r="J29" s="322"/>
      <c r="K29" s="321">
        <v>15</v>
      </c>
      <c r="L29" s="347">
        <v>2000</v>
      </c>
      <c r="M29" s="347">
        <v>3000</v>
      </c>
      <c r="N29" s="347">
        <v>3000</v>
      </c>
      <c r="O29" s="334">
        <v>27062.03</v>
      </c>
      <c r="P29" s="334">
        <v>40592.03</v>
      </c>
      <c r="Q29" s="334">
        <v>40592.04</v>
      </c>
      <c r="R29" s="347">
        <v>3000</v>
      </c>
      <c r="S29" s="347">
        <v>2000</v>
      </c>
      <c r="T29" s="347">
        <v>3000</v>
      </c>
      <c r="U29" s="346">
        <v>40592.03</v>
      </c>
      <c r="V29" s="346">
        <v>27062.03</v>
      </c>
      <c r="W29" s="346">
        <v>40592.04</v>
      </c>
      <c r="X29" s="347">
        <v>3000</v>
      </c>
      <c r="Y29" s="347">
        <v>2000</v>
      </c>
      <c r="Z29" s="347">
        <v>3000</v>
      </c>
      <c r="AA29" s="346">
        <v>40592.03</v>
      </c>
      <c r="AB29" s="346">
        <v>27062.03</v>
      </c>
      <c r="AC29" s="346">
        <v>40592.04</v>
      </c>
      <c r="AD29" s="347">
        <v>3000</v>
      </c>
      <c r="AE29" s="347">
        <v>3000</v>
      </c>
      <c r="AF29" s="347">
        <v>2000</v>
      </c>
      <c r="AG29" s="346">
        <v>40592.03</v>
      </c>
      <c r="AH29" s="346">
        <v>40592.03</v>
      </c>
      <c r="AI29" s="346">
        <v>27062.04</v>
      </c>
      <c r="AJ29" s="346">
        <f t="shared" si="4"/>
        <v>432984.39999999997</v>
      </c>
      <c r="AK29" s="346">
        <v>165640.32999999999</v>
      </c>
      <c r="AL29" s="346"/>
      <c r="AM29" s="346">
        <v>267344.07</v>
      </c>
      <c r="AN29" s="346"/>
      <c r="AO29" s="346"/>
      <c r="AP29" s="325" t="s">
        <v>1069</v>
      </c>
      <c r="AQ29" s="325" t="s">
        <v>1076</v>
      </c>
      <c r="AR29" s="325"/>
    </row>
    <row r="30" spans="1:46" ht="31.5">
      <c r="A30" s="1023" t="s">
        <v>44</v>
      </c>
      <c r="B30" s="1023" t="s">
        <v>45</v>
      </c>
      <c r="C30" s="1023" t="s">
        <v>1129</v>
      </c>
      <c r="D30" s="1026" t="s">
        <v>1130</v>
      </c>
      <c r="E30" s="321">
        <f t="shared" si="8"/>
        <v>135</v>
      </c>
      <c r="F30" s="735" t="s">
        <v>131</v>
      </c>
      <c r="G30" s="1032" t="s">
        <v>1131</v>
      </c>
      <c r="H30" s="1038" t="s">
        <v>1132</v>
      </c>
      <c r="I30" s="1029">
        <v>1</v>
      </c>
      <c r="J30" s="322"/>
      <c r="K30" s="1029">
        <v>1</v>
      </c>
      <c r="L30" s="347">
        <v>12</v>
      </c>
      <c r="M30" s="347">
        <v>15</v>
      </c>
      <c r="N30" s="347">
        <v>15</v>
      </c>
      <c r="O30" s="334">
        <f>(SUM($AK$30,$AM$30))/$E$30*L30</f>
        <v>646.10222222222217</v>
      </c>
      <c r="P30" s="334">
        <f>(SUM($AK$30,$AM$30))/$E$30*M30</f>
        <v>807.62777777777774</v>
      </c>
      <c r="Q30" s="334">
        <f>(SUM($AK$30,$AM$30))/$E$30*N30</f>
        <v>807.62777777777774</v>
      </c>
      <c r="R30" s="347">
        <v>15</v>
      </c>
      <c r="S30" s="347">
        <v>15</v>
      </c>
      <c r="T30" s="347">
        <v>15</v>
      </c>
      <c r="U30" s="334">
        <f>(SUM($AK$30,$AM$30))/$E$30*R30</f>
        <v>807.62777777777774</v>
      </c>
      <c r="V30" s="334">
        <f>(SUM($AK$30,$AM$30))/$E$30*S30</f>
        <v>807.62777777777774</v>
      </c>
      <c r="W30" s="334">
        <f>(SUM($AK$30,$AM$30))/$E$30*T30</f>
        <v>807.62777777777774</v>
      </c>
      <c r="X30" s="347"/>
      <c r="Y30" s="347">
        <v>10</v>
      </c>
      <c r="Z30" s="347">
        <v>10</v>
      </c>
      <c r="AA30" s="346"/>
      <c r="AB30" s="334">
        <f>(SUM($AK$30,$AM$30))/$E$30*Y30</f>
        <v>538.41851851851845</v>
      </c>
      <c r="AC30" s="334">
        <f>(SUM($AK$30,$AM$30))/$E$30*Z30</f>
        <v>538.41851851851845</v>
      </c>
      <c r="AD30" s="347">
        <v>10</v>
      </c>
      <c r="AE30" s="347">
        <v>10</v>
      </c>
      <c r="AF30" s="347">
        <v>8</v>
      </c>
      <c r="AG30" s="334">
        <f>(SUM($AK$30,$AM$30))/$E$30*AD30</f>
        <v>538.41851851851845</v>
      </c>
      <c r="AH30" s="334">
        <f>(SUM($AK$30,$AM$30))/$E$30*AE30</f>
        <v>538.41851851851845</v>
      </c>
      <c r="AI30" s="334">
        <f>(SUM($AK$30,$AM$30))/$E$30*AF30</f>
        <v>430.7348148148148</v>
      </c>
      <c r="AJ30" s="346">
        <f t="shared" si="4"/>
        <v>7268.6500000000005</v>
      </c>
      <c r="AK30" s="346">
        <v>5860.86</v>
      </c>
      <c r="AL30" s="346"/>
      <c r="AM30" s="346">
        <v>1407.79</v>
      </c>
      <c r="AN30" s="346"/>
      <c r="AO30" s="346"/>
      <c r="AP30" s="1036" t="s">
        <v>1069</v>
      </c>
      <c r="AQ30" s="325" t="s">
        <v>1096</v>
      </c>
      <c r="AR30" s="325"/>
      <c r="AS30" s="715">
        <f t="shared" ref="AS30:AS31" si="9">AJ30-(O30+P30+Q30+U30+V30+W30+AA30+AB30+AC30+AG30+AH30+AI30)</f>
        <v>0</v>
      </c>
      <c r="AT30" s="715">
        <f t="shared" ref="AT30:AT31" si="10">AJ30-(AK30+AL30+AM30+AN30+AO30)</f>
        <v>0</v>
      </c>
    </row>
    <row r="31" spans="1:46" ht="31.5">
      <c r="A31" s="1025"/>
      <c r="B31" s="1025"/>
      <c r="C31" s="1025"/>
      <c r="D31" s="1028"/>
      <c r="E31" s="321">
        <f t="shared" si="8"/>
        <v>12</v>
      </c>
      <c r="F31" s="735" t="s">
        <v>134</v>
      </c>
      <c r="G31" s="1033"/>
      <c r="H31" s="1039"/>
      <c r="I31" s="1031"/>
      <c r="J31" s="322"/>
      <c r="K31" s="1031"/>
      <c r="L31" s="347">
        <v>1</v>
      </c>
      <c r="M31" s="347">
        <v>1</v>
      </c>
      <c r="N31" s="347">
        <v>1</v>
      </c>
      <c r="O31" s="334">
        <v>511.19</v>
      </c>
      <c r="P31" s="334">
        <v>511.19</v>
      </c>
      <c r="Q31" s="334">
        <v>511.19</v>
      </c>
      <c r="R31" s="347">
        <v>1</v>
      </c>
      <c r="S31" s="347">
        <v>2</v>
      </c>
      <c r="T31" s="347">
        <v>1</v>
      </c>
      <c r="U31" s="346">
        <v>511.19</v>
      </c>
      <c r="V31" s="346">
        <v>1022.43</v>
      </c>
      <c r="W31" s="346">
        <v>511.19</v>
      </c>
      <c r="X31" s="347"/>
      <c r="Y31" s="347">
        <v>1</v>
      </c>
      <c r="Z31" s="347">
        <v>1</v>
      </c>
      <c r="AA31" s="346">
        <v>0</v>
      </c>
      <c r="AB31" s="346">
        <v>511.19</v>
      </c>
      <c r="AC31" s="346">
        <v>511.19</v>
      </c>
      <c r="AD31" s="347">
        <v>1</v>
      </c>
      <c r="AE31" s="347">
        <v>1</v>
      </c>
      <c r="AF31" s="347">
        <v>1</v>
      </c>
      <c r="AG31" s="346">
        <v>511.19</v>
      </c>
      <c r="AH31" s="346">
        <v>511.19</v>
      </c>
      <c r="AI31" s="346">
        <v>511.19</v>
      </c>
      <c r="AJ31" s="346">
        <f t="shared" si="4"/>
        <v>6134.329999999999</v>
      </c>
      <c r="AK31" s="346">
        <v>5430.43</v>
      </c>
      <c r="AL31" s="346"/>
      <c r="AM31" s="346">
        <v>703.9</v>
      </c>
      <c r="AN31" s="346"/>
      <c r="AO31" s="346"/>
      <c r="AP31" s="1037"/>
      <c r="AQ31" s="325" t="s">
        <v>1096</v>
      </c>
      <c r="AR31" s="325"/>
      <c r="AS31" s="715">
        <f t="shared" si="9"/>
        <v>0</v>
      </c>
      <c r="AT31" s="715">
        <f t="shared" si="10"/>
        <v>0</v>
      </c>
    </row>
    <row r="32" spans="1:46" ht="31.5">
      <c r="A32" s="329" t="s">
        <v>44</v>
      </c>
      <c r="B32" s="329" t="s">
        <v>45</v>
      </c>
      <c r="C32" s="329" t="s">
        <v>1133</v>
      </c>
      <c r="D32" s="333" t="s">
        <v>1134</v>
      </c>
      <c r="E32" s="321">
        <f t="shared" si="8"/>
        <v>143</v>
      </c>
      <c r="F32" s="735" t="s">
        <v>1135</v>
      </c>
      <c r="G32" s="736" t="s">
        <v>1136</v>
      </c>
      <c r="H32" s="330" t="s">
        <v>1137</v>
      </c>
      <c r="I32" s="321">
        <v>1</v>
      </c>
      <c r="J32" s="322"/>
      <c r="K32" s="321">
        <v>1</v>
      </c>
      <c r="L32" s="347">
        <v>12</v>
      </c>
      <c r="M32" s="347">
        <v>12</v>
      </c>
      <c r="N32" s="347">
        <v>12</v>
      </c>
      <c r="O32" s="334">
        <v>1124.76</v>
      </c>
      <c r="P32" s="334">
        <v>1124.76</v>
      </c>
      <c r="Q32" s="334">
        <v>1124.76</v>
      </c>
      <c r="R32" s="347">
        <v>12</v>
      </c>
      <c r="S32" s="347">
        <v>15</v>
      </c>
      <c r="T32" s="347">
        <v>12</v>
      </c>
      <c r="U32" s="346">
        <v>1124.76</v>
      </c>
      <c r="V32" s="346">
        <v>1405.95</v>
      </c>
      <c r="W32" s="346">
        <v>1124.76</v>
      </c>
      <c r="X32" s="347">
        <v>10</v>
      </c>
      <c r="Y32" s="347">
        <v>12</v>
      </c>
      <c r="Z32" s="347">
        <v>12</v>
      </c>
      <c r="AA32" s="346">
        <v>937.30000000000007</v>
      </c>
      <c r="AB32" s="346">
        <v>1124.76</v>
      </c>
      <c r="AC32" s="346">
        <v>1124.76</v>
      </c>
      <c r="AD32" s="347">
        <v>12</v>
      </c>
      <c r="AE32" s="347">
        <v>12</v>
      </c>
      <c r="AF32" s="347">
        <v>10</v>
      </c>
      <c r="AG32" s="346">
        <v>1124.76</v>
      </c>
      <c r="AH32" s="346">
        <v>1124.76</v>
      </c>
      <c r="AI32" s="346">
        <v>936.89</v>
      </c>
      <c r="AJ32" s="346">
        <f t="shared" si="4"/>
        <v>13402.98</v>
      </c>
      <c r="AK32" s="346">
        <v>11291.29</v>
      </c>
      <c r="AL32" s="346"/>
      <c r="AM32" s="346">
        <v>2111.69</v>
      </c>
      <c r="AN32" s="346"/>
      <c r="AO32" s="346"/>
      <c r="AP32" s="325" t="s">
        <v>1069</v>
      </c>
      <c r="AQ32" s="325" t="s">
        <v>1096</v>
      </c>
      <c r="AR32" s="325"/>
    </row>
    <row r="33" spans="1:44" ht="31.5">
      <c r="A33" s="329" t="s">
        <v>44</v>
      </c>
      <c r="B33" s="329" t="s">
        <v>45</v>
      </c>
      <c r="C33" s="329" t="s">
        <v>1138</v>
      </c>
      <c r="D33" s="333" t="s">
        <v>1139</v>
      </c>
      <c r="E33" s="321">
        <f t="shared" si="8"/>
        <v>4750</v>
      </c>
      <c r="F33" s="735" t="s">
        <v>1140</v>
      </c>
      <c r="G33" s="736" t="s">
        <v>1141</v>
      </c>
      <c r="H33" s="330" t="s">
        <v>1142</v>
      </c>
      <c r="I33" s="321">
        <v>1</v>
      </c>
      <c r="J33" s="322"/>
      <c r="K33" s="321">
        <v>1</v>
      </c>
      <c r="L33" s="347">
        <v>350</v>
      </c>
      <c r="M33" s="347">
        <v>425</v>
      </c>
      <c r="N33" s="347">
        <v>400</v>
      </c>
      <c r="O33" s="334">
        <v>1071</v>
      </c>
      <c r="P33" s="334">
        <v>1300.5</v>
      </c>
      <c r="Q33" s="334">
        <v>1224</v>
      </c>
      <c r="R33" s="347">
        <v>400</v>
      </c>
      <c r="S33" s="347">
        <v>400</v>
      </c>
      <c r="T33" s="347">
        <v>400</v>
      </c>
      <c r="U33" s="346">
        <v>1224</v>
      </c>
      <c r="V33" s="346">
        <v>1224</v>
      </c>
      <c r="W33" s="346">
        <v>1224</v>
      </c>
      <c r="X33" s="347">
        <v>425</v>
      </c>
      <c r="Y33" s="347">
        <v>375</v>
      </c>
      <c r="Z33" s="347">
        <v>400</v>
      </c>
      <c r="AA33" s="346">
        <v>1300.5</v>
      </c>
      <c r="AB33" s="346">
        <v>1147.5</v>
      </c>
      <c r="AC33" s="346">
        <v>1224</v>
      </c>
      <c r="AD33" s="347">
        <v>400</v>
      </c>
      <c r="AE33" s="347">
        <v>400</v>
      </c>
      <c r="AF33" s="347">
        <v>375</v>
      </c>
      <c r="AG33" s="346">
        <v>1224</v>
      </c>
      <c r="AH33" s="346">
        <v>1224</v>
      </c>
      <c r="AI33" s="346">
        <v>1149.79</v>
      </c>
      <c r="AJ33" s="346">
        <f t="shared" si="4"/>
        <v>14537.29</v>
      </c>
      <c r="AK33" s="346">
        <v>11721.71</v>
      </c>
      <c r="AL33" s="346"/>
      <c r="AM33" s="346">
        <v>2815.58</v>
      </c>
      <c r="AN33" s="346"/>
      <c r="AO33" s="346"/>
      <c r="AP33" s="325" t="s">
        <v>1069</v>
      </c>
      <c r="AQ33" s="325" t="s">
        <v>1096</v>
      </c>
      <c r="AR33" s="325"/>
    </row>
    <row r="34" spans="1:44" ht="31.5">
      <c r="A34" s="329" t="s">
        <v>44</v>
      </c>
      <c r="B34" s="329" t="s">
        <v>45</v>
      </c>
      <c r="C34" s="329" t="s">
        <v>1143</v>
      </c>
      <c r="D34" s="333" t="s">
        <v>1144</v>
      </c>
      <c r="E34" s="321">
        <f t="shared" si="8"/>
        <v>30</v>
      </c>
      <c r="F34" s="735" t="s">
        <v>1080</v>
      </c>
      <c r="G34" s="736" t="s">
        <v>1145</v>
      </c>
      <c r="H34" s="330" t="s">
        <v>1146</v>
      </c>
      <c r="I34" s="321">
        <v>1</v>
      </c>
      <c r="J34" s="322"/>
      <c r="K34" s="321">
        <v>1</v>
      </c>
      <c r="L34" s="347"/>
      <c r="M34" s="347">
        <v>1</v>
      </c>
      <c r="N34" s="347">
        <v>1</v>
      </c>
      <c r="O34" s="334">
        <v>0</v>
      </c>
      <c r="P34" s="334">
        <v>371.14</v>
      </c>
      <c r="Q34" s="334">
        <v>371.14</v>
      </c>
      <c r="R34" s="347">
        <v>2</v>
      </c>
      <c r="S34" s="347">
        <v>4</v>
      </c>
      <c r="T34" s="347">
        <v>3</v>
      </c>
      <c r="U34" s="346">
        <v>742.28</v>
      </c>
      <c r="V34" s="346">
        <v>1484.56</v>
      </c>
      <c r="W34" s="346">
        <v>1113.42</v>
      </c>
      <c r="X34" s="347">
        <v>5</v>
      </c>
      <c r="Y34" s="347">
        <v>3</v>
      </c>
      <c r="Z34" s="347">
        <v>5</v>
      </c>
      <c r="AA34" s="346">
        <v>1855.6999999999998</v>
      </c>
      <c r="AB34" s="346">
        <v>1113.55</v>
      </c>
      <c r="AC34" s="346">
        <v>1855.6999999999998</v>
      </c>
      <c r="AD34" s="347">
        <v>2</v>
      </c>
      <c r="AE34" s="347">
        <v>2</v>
      </c>
      <c r="AF34" s="347">
        <v>2</v>
      </c>
      <c r="AG34" s="346">
        <v>742.28</v>
      </c>
      <c r="AH34" s="346">
        <v>742.28</v>
      </c>
      <c r="AI34" s="346">
        <v>742.28</v>
      </c>
      <c r="AJ34" s="346">
        <f t="shared" si="4"/>
        <v>11134.330000000002</v>
      </c>
      <c r="AK34" s="346">
        <v>10430.43</v>
      </c>
      <c r="AL34" s="346"/>
      <c r="AM34" s="346">
        <v>703.9</v>
      </c>
      <c r="AN34" s="346"/>
      <c r="AO34" s="346"/>
      <c r="AP34" s="325" t="s">
        <v>1069</v>
      </c>
      <c r="AQ34" s="325" t="s">
        <v>1096</v>
      </c>
      <c r="AR34" s="325"/>
    </row>
    <row r="35" spans="1:44" ht="47.25">
      <c r="A35" s="329" t="s">
        <v>44</v>
      </c>
      <c r="B35" s="329" t="s">
        <v>45</v>
      </c>
      <c r="C35" s="329" t="s">
        <v>1147</v>
      </c>
      <c r="D35" s="333" t="s">
        <v>1148</v>
      </c>
      <c r="E35" s="321">
        <f t="shared" si="8"/>
        <v>33</v>
      </c>
      <c r="F35" s="735" t="s">
        <v>239</v>
      </c>
      <c r="G35" s="736" t="s">
        <v>1149</v>
      </c>
      <c r="H35" s="330" t="s">
        <v>1095</v>
      </c>
      <c r="I35" s="321">
        <v>1</v>
      </c>
      <c r="J35" s="322"/>
      <c r="K35" s="321">
        <v>1</v>
      </c>
      <c r="L35" s="347">
        <v>2</v>
      </c>
      <c r="M35" s="347">
        <v>3</v>
      </c>
      <c r="N35" s="347">
        <v>3</v>
      </c>
      <c r="O35" s="334">
        <v>881.04</v>
      </c>
      <c r="P35" s="334">
        <v>1321.56</v>
      </c>
      <c r="Q35" s="334">
        <v>1321.56</v>
      </c>
      <c r="R35" s="347">
        <v>3</v>
      </c>
      <c r="S35" s="347">
        <v>3</v>
      </c>
      <c r="T35" s="347">
        <v>3</v>
      </c>
      <c r="U35" s="346">
        <v>1321.56</v>
      </c>
      <c r="V35" s="346">
        <v>1321.56</v>
      </c>
      <c r="W35" s="346">
        <v>1321.56</v>
      </c>
      <c r="X35" s="347">
        <v>3</v>
      </c>
      <c r="Y35" s="347">
        <v>3</v>
      </c>
      <c r="Z35" s="347">
        <v>2</v>
      </c>
      <c r="AA35" s="346">
        <v>1321.56</v>
      </c>
      <c r="AB35" s="346">
        <v>1321.56</v>
      </c>
      <c r="AC35" s="346">
        <v>881.04</v>
      </c>
      <c r="AD35" s="347">
        <v>3</v>
      </c>
      <c r="AE35" s="347">
        <v>3</v>
      </c>
      <c r="AF35" s="347">
        <v>2</v>
      </c>
      <c r="AG35" s="346">
        <v>1321.56</v>
      </c>
      <c r="AH35" s="346">
        <v>1321.56</v>
      </c>
      <c r="AI35" s="346">
        <v>881.17</v>
      </c>
      <c r="AJ35" s="346">
        <f t="shared" si="4"/>
        <v>14537.289999999995</v>
      </c>
      <c r="AK35" s="346">
        <v>11721.71</v>
      </c>
      <c r="AL35" s="346"/>
      <c r="AM35" s="346">
        <v>2815.58</v>
      </c>
      <c r="AN35" s="346"/>
      <c r="AO35" s="346"/>
      <c r="AP35" s="325" t="s">
        <v>1150</v>
      </c>
      <c r="AQ35" s="325" t="s">
        <v>1096</v>
      </c>
      <c r="AR35" s="325"/>
    </row>
    <row r="36" spans="1:44" ht="47.25">
      <c r="A36" s="329" t="s">
        <v>44</v>
      </c>
      <c r="B36" s="329" t="s">
        <v>45</v>
      </c>
      <c r="C36" s="329" t="s">
        <v>1151</v>
      </c>
      <c r="D36" s="333" t="s">
        <v>1152</v>
      </c>
      <c r="E36" s="321">
        <f t="shared" si="8"/>
        <v>138</v>
      </c>
      <c r="F36" s="735" t="s">
        <v>1153</v>
      </c>
      <c r="G36" s="736" t="s">
        <v>1154</v>
      </c>
      <c r="H36" s="330" t="s">
        <v>1095</v>
      </c>
      <c r="I36" s="321">
        <v>1</v>
      </c>
      <c r="J36" s="322"/>
      <c r="K36" s="321">
        <v>1</v>
      </c>
      <c r="L36" s="347">
        <v>10</v>
      </c>
      <c r="M36" s="347">
        <v>15</v>
      </c>
      <c r="N36" s="347">
        <v>15</v>
      </c>
      <c r="O36" s="334">
        <v>1217.8</v>
      </c>
      <c r="P36" s="334">
        <v>1826.7</v>
      </c>
      <c r="Q36" s="334">
        <v>1826.7</v>
      </c>
      <c r="R36" s="347">
        <v>10</v>
      </c>
      <c r="S36" s="347">
        <v>15</v>
      </c>
      <c r="T36" s="347">
        <v>15</v>
      </c>
      <c r="U36" s="346">
        <v>1217.8</v>
      </c>
      <c r="V36" s="346">
        <v>1826.7</v>
      </c>
      <c r="W36" s="346">
        <v>1826.7</v>
      </c>
      <c r="X36" s="347">
        <v>10</v>
      </c>
      <c r="Y36" s="347">
        <v>8</v>
      </c>
      <c r="Z36" s="347">
        <v>10</v>
      </c>
      <c r="AA36" s="346">
        <v>1217.8</v>
      </c>
      <c r="AB36" s="346">
        <v>974.24</v>
      </c>
      <c r="AC36" s="346">
        <v>1217.8</v>
      </c>
      <c r="AD36" s="347">
        <v>12</v>
      </c>
      <c r="AE36" s="347">
        <v>10</v>
      </c>
      <c r="AF36" s="347">
        <v>8</v>
      </c>
      <c r="AG36" s="346">
        <v>1461.3600000000001</v>
      </c>
      <c r="AH36" s="346">
        <v>1217.8</v>
      </c>
      <c r="AI36" s="346">
        <v>974.54</v>
      </c>
      <c r="AJ36" s="346">
        <f t="shared" si="4"/>
        <v>16805.939999999999</v>
      </c>
      <c r="AK36" s="346">
        <v>12582.57</v>
      </c>
      <c r="AL36" s="346"/>
      <c r="AM36" s="346">
        <v>4223.37</v>
      </c>
      <c r="AN36" s="346"/>
      <c r="AO36" s="346"/>
      <c r="AP36" s="325" t="s">
        <v>1150</v>
      </c>
      <c r="AQ36" s="325" t="s">
        <v>1096</v>
      </c>
      <c r="AR36" s="325"/>
    </row>
    <row r="37" spans="1:44" ht="78" customHeight="1">
      <c r="A37" s="316" t="s">
        <v>44</v>
      </c>
      <c r="B37" s="316" t="s">
        <v>45</v>
      </c>
      <c r="C37" s="316" t="s">
        <v>1155</v>
      </c>
      <c r="D37" s="317" t="s">
        <v>1156</v>
      </c>
      <c r="E37" s="318"/>
      <c r="F37" s="317"/>
      <c r="G37" s="317"/>
      <c r="H37" s="319"/>
      <c r="I37" s="318">
        <v>4</v>
      </c>
      <c r="J37" s="318">
        <v>4</v>
      </c>
      <c r="K37" s="318"/>
      <c r="L37" s="266"/>
      <c r="M37" s="266"/>
      <c r="N37" s="266"/>
      <c r="O37" s="320">
        <f>SUM(O38:O46)</f>
        <v>16706.339725939099</v>
      </c>
      <c r="P37" s="320">
        <f t="shared" ref="P37:Q37" si="11">SUM(P38:P46)</f>
        <v>22417.183030340075</v>
      </c>
      <c r="Q37" s="320">
        <f t="shared" si="11"/>
        <v>34408.023030340082</v>
      </c>
      <c r="R37" s="266"/>
      <c r="S37" s="266"/>
      <c r="T37" s="266"/>
      <c r="U37" s="320">
        <f t="shared" ref="U37:W37" si="12">SUM(U38:U46)</f>
        <v>35658.318268726383</v>
      </c>
      <c r="V37" s="320">
        <f t="shared" si="12"/>
        <v>23567.375573127363</v>
      </c>
      <c r="W37" s="320">
        <f t="shared" si="12"/>
        <v>23567.375573127363</v>
      </c>
      <c r="X37" s="266"/>
      <c r="Y37" s="266"/>
      <c r="Z37" s="266"/>
      <c r="AA37" s="320">
        <f t="shared" ref="AA37:AC37" si="13">SUM(AA38:AA46)</f>
        <v>28812.536031562569</v>
      </c>
      <c r="AB37" s="320">
        <f t="shared" si="13"/>
        <v>32304.459335963547</v>
      </c>
      <c r="AC37" s="320">
        <f t="shared" si="13"/>
        <v>32304.459335963547</v>
      </c>
      <c r="AD37" s="266"/>
      <c r="AE37" s="266"/>
      <c r="AF37" s="266"/>
      <c r="AG37" s="320">
        <f t="shared" ref="AG37:AO37" si="14">SUM(AG38:AG46)</f>
        <v>23724.228284618803</v>
      </c>
      <c r="AH37" s="320">
        <f t="shared" si="14"/>
        <v>20725.228284618806</v>
      </c>
      <c r="AI37" s="320">
        <f t="shared" si="14"/>
        <v>13038.753525672371</v>
      </c>
      <c r="AJ37" s="320">
        <f t="shared" si="14"/>
        <v>307234.27999999997</v>
      </c>
      <c r="AK37" s="320">
        <f t="shared" si="14"/>
        <v>121759.23999999999</v>
      </c>
      <c r="AL37" s="320"/>
      <c r="AM37" s="320">
        <f t="shared" si="14"/>
        <v>161493.35999999999</v>
      </c>
      <c r="AN37" s="320"/>
      <c r="AO37" s="320">
        <f t="shared" si="14"/>
        <v>23981.68</v>
      </c>
      <c r="AP37" s="317"/>
      <c r="AQ37" s="317"/>
      <c r="AR37" s="317"/>
    </row>
    <row r="38" spans="1:44" ht="117.75" customHeight="1">
      <c r="A38" s="327" t="s">
        <v>44</v>
      </c>
      <c r="B38" s="327" t="s">
        <v>45</v>
      </c>
      <c r="C38" s="327" t="s">
        <v>1157</v>
      </c>
      <c r="D38" s="325" t="s">
        <v>1158</v>
      </c>
      <c r="E38" s="326">
        <f t="shared" ref="E38:E46" si="15">SUM(L38,M38,N38,R38,S38,T38,X38,Y38,Z38,AD38,AE38,AF38)</f>
        <v>1500</v>
      </c>
      <c r="F38" s="338" t="s">
        <v>69</v>
      </c>
      <c r="G38" s="335" t="s">
        <v>1159</v>
      </c>
      <c r="H38" s="709" t="s">
        <v>1160</v>
      </c>
      <c r="I38" s="321">
        <v>22</v>
      </c>
      <c r="J38" s="322"/>
      <c r="K38" s="321">
        <v>22</v>
      </c>
      <c r="L38" s="347">
        <v>125</v>
      </c>
      <c r="M38" s="347">
        <v>125</v>
      </c>
      <c r="N38" s="347">
        <v>125</v>
      </c>
      <c r="O38" s="334">
        <v>5534.71</v>
      </c>
      <c r="P38" s="334">
        <v>5534.71</v>
      </c>
      <c r="Q38" s="334">
        <v>5534.71</v>
      </c>
      <c r="R38" s="347">
        <v>125</v>
      </c>
      <c r="S38" s="347">
        <v>125</v>
      </c>
      <c r="T38" s="347">
        <v>125</v>
      </c>
      <c r="U38" s="346">
        <v>5534.71</v>
      </c>
      <c r="V38" s="346">
        <v>5534.71</v>
      </c>
      <c r="W38" s="346">
        <v>5534.71</v>
      </c>
      <c r="X38" s="347">
        <v>125</v>
      </c>
      <c r="Y38" s="347">
        <v>125</v>
      </c>
      <c r="Z38" s="347">
        <v>125</v>
      </c>
      <c r="AA38" s="346">
        <v>5534.71</v>
      </c>
      <c r="AB38" s="346">
        <v>5534.71</v>
      </c>
      <c r="AC38" s="346">
        <v>5534.71</v>
      </c>
      <c r="AD38" s="347">
        <v>125</v>
      </c>
      <c r="AE38" s="347">
        <v>125</v>
      </c>
      <c r="AF38" s="347">
        <v>125</v>
      </c>
      <c r="AG38" s="346">
        <v>5534.71</v>
      </c>
      <c r="AH38" s="346">
        <v>5535.71</v>
      </c>
      <c r="AI38" s="346">
        <v>5534.72</v>
      </c>
      <c r="AJ38" s="346">
        <f t="shared" ref="AJ38:AJ46" si="16">SUM(O38,P38,Q38,U38,V38,W38,AA38,AB38,AC38,AG38,AH38,AI38)</f>
        <v>66417.53</v>
      </c>
      <c r="AK38" s="346">
        <v>36586.410000000003</v>
      </c>
      <c r="AL38" s="346"/>
      <c r="AM38" s="346">
        <v>29831.119999999999</v>
      </c>
      <c r="AN38" s="346"/>
      <c r="AO38" s="346"/>
      <c r="AP38" s="325" t="s">
        <v>1069</v>
      </c>
      <c r="AQ38" s="325" t="s">
        <v>1107</v>
      </c>
      <c r="AR38" s="325"/>
    </row>
    <row r="39" spans="1:44" ht="66" customHeight="1">
      <c r="A39" s="1023" t="s">
        <v>44</v>
      </c>
      <c r="B39" s="1023" t="s">
        <v>45</v>
      </c>
      <c r="C39" s="1023" t="s">
        <v>1161</v>
      </c>
      <c r="D39" s="1026" t="s">
        <v>1162</v>
      </c>
      <c r="E39" s="326">
        <f t="shared" si="15"/>
        <v>100</v>
      </c>
      <c r="F39" s="735" t="s">
        <v>234</v>
      </c>
      <c r="G39" s="736" t="s">
        <v>1163</v>
      </c>
      <c r="H39" s="709" t="s">
        <v>1164</v>
      </c>
      <c r="I39" s="1029">
        <v>8</v>
      </c>
      <c r="J39" s="322"/>
      <c r="K39" s="1029">
        <v>8</v>
      </c>
      <c r="L39" s="347"/>
      <c r="M39" s="347">
        <v>50</v>
      </c>
      <c r="N39" s="347">
        <v>50</v>
      </c>
      <c r="O39" s="334"/>
      <c r="P39" s="334">
        <v>6000</v>
      </c>
      <c r="Q39" s="334">
        <v>6000</v>
      </c>
      <c r="R39" s="347"/>
      <c r="S39" s="347"/>
      <c r="T39" s="347"/>
      <c r="U39" s="346"/>
      <c r="V39" s="346"/>
      <c r="W39" s="346"/>
      <c r="X39" s="347"/>
      <c r="Y39" s="347"/>
      <c r="Z39" s="347"/>
      <c r="AA39" s="346"/>
      <c r="AB39" s="346"/>
      <c r="AC39" s="346"/>
      <c r="AD39" s="347"/>
      <c r="AE39" s="347"/>
      <c r="AF39" s="347"/>
      <c r="AG39" s="346"/>
      <c r="AH39" s="346"/>
      <c r="AI39" s="346"/>
      <c r="AJ39" s="346">
        <f t="shared" si="16"/>
        <v>12000</v>
      </c>
      <c r="AK39" s="346">
        <v>6000</v>
      </c>
      <c r="AL39" s="346"/>
      <c r="AM39" s="346">
        <v>6000</v>
      </c>
      <c r="AN39" s="346"/>
      <c r="AO39" s="346"/>
      <c r="AP39" s="325" t="s">
        <v>1069</v>
      </c>
      <c r="AQ39" s="325" t="s">
        <v>1079</v>
      </c>
      <c r="AR39" s="325"/>
    </row>
    <row r="40" spans="1:44" ht="66" customHeight="1">
      <c r="A40" s="1025"/>
      <c r="B40" s="1025"/>
      <c r="C40" s="1025"/>
      <c r="D40" s="1028"/>
      <c r="E40" s="326">
        <f t="shared" si="15"/>
        <v>100</v>
      </c>
      <c r="F40" s="735" t="s">
        <v>234</v>
      </c>
      <c r="G40" s="736" t="s">
        <v>1165</v>
      </c>
      <c r="H40" s="709" t="s">
        <v>1164</v>
      </c>
      <c r="I40" s="1031"/>
      <c r="J40" s="322"/>
      <c r="K40" s="1031"/>
      <c r="L40" s="347"/>
      <c r="M40" s="347"/>
      <c r="N40" s="347"/>
      <c r="O40" s="334"/>
      <c r="P40" s="334"/>
      <c r="Q40" s="334"/>
      <c r="R40" s="347"/>
      <c r="S40" s="347"/>
      <c r="T40" s="347"/>
      <c r="U40" s="346"/>
      <c r="V40" s="346"/>
      <c r="W40" s="346"/>
      <c r="X40" s="347">
        <v>25</v>
      </c>
      <c r="Y40" s="347">
        <v>25</v>
      </c>
      <c r="Z40" s="347">
        <v>25</v>
      </c>
      <c r="AA40" s="346">
        <v>3000</v>
      </c>
      <c r="AB40" s="346">
        <v>3000</v>
      </c>
      <c r="AC40" s="346">
        <v>3000</v>
      </c>
      <c r="AD40" s="347">
        <v>25</v>
      </c>
      <c r="AE40" s="347"/>
      <c r="AF40" s="347"/>
      <c r="AG40" s="346">
        <v>3000</v>
      </c>
      <c r="AH40" s="346"/>
      <c r="AI40" s="346"/>
      <c r="AJ40" s="346">
        <f t="shared" si="16"/>
        <v>12000</v>
      </c>
      <c r="AK40" s="346">
        <v>6000</v>
      </c>
      <c r="AL40" s="346"/>
      <c r="AM40" s="346">
        <v>6000</v>
      </c>
      <c r="AN40" s="346"/>
      <c r="AO40" s="346"/>
      <c r="AP40" s="325" t="s">
        <v>1069</v>
      </c>
      <c r="AQ40" s="325" t="s">
        <v>1079</v>
      </c>
      <c r="AR40" s="325"/>
    </row>
    <row r="41" spans="1:44" ht="82.5" customHeight="1">
      <c r="A41" s="327" t="s">
        <v>44</v>
      </c>
      <c r="B41" s="327" t="s">
        <v>45</v>
      </c>
      <c r="C41" s="327" t="s">
        <v>1166</v>
      </c>
      <c r="D41" s="325" t="s">
        <v>1167</v>
      </c>
      <c r="E41" s="326">
        <f t="shared" si="15"/>
        <v>100</v>
      </c>
      <c r="F41" s="338" t="s">
        <v>234</v>
      </c>
      <c r="G41" s="335" t="s">
        <v>1168</v>
      </c>
      <c r="H41" s="709" t="s">
        <v>1169</v>
      </c>
      <c r="I41" s="321">
        <v>8</v>
      </c>
      <c r="J41" s="322"/>
      <c r="K41" s="321">
        <v>8</v>
      </c>
      <c r="L41" s="295"/>
      <c r="M41" s="295"/>
      <c r="N41" s="347">
        <v>50</v>
      </c>
      <c r="O41" s="323"/>
      <c r="P41" s="323"/>
      <c r="Q41" s="323">
        <v>11990.84</v>
      </c>
      <c r="R41" s="347">
        <v>50</v>
      </c>
      <c r="S41" s="295"/>
      <c r="T41" s="295"/>
      <c r="U41" s="324">
        <v>11990.84</v>
      </c>
      <c r="V41" s="324"/>
      <c r="W41" s="324"/>
      <c r="X41" s="295"/>
      <c r="Y41" s="295"/>
      <c r="Z41" s="295"/>
      <c r="AA41" s="324"/>
      <c r="AB41" s="324"/>
      <c r="AC41" s="324"/>
      <c r="AD41" s="295"/>
      <c r="AE41" s="295"/>
      <c r="AF41" s="295"/>
      <c r="AG41" s="324"/>
      <c r="AH41" s="324"/>
      <c r="AI41" s="324"/>
      <c r="AJ41" s="346">
        <f t="shared" si="16"/>
        <v>23981.68</v>
      </c>
      <c r="AK41" s="324"/>
      <c r="AL41" s="324"/>
      <c r="AM41" s="324"/>
      <c r="AN41" s="324"/>
      <c r="AO41" s="324">
        <f>AJ41</f>
        <v>23981.68</v>
      </c>
      <c r="AP41" s="325" t="s">
        <v>1170</v>
      </c>
      <c r="AQ41" s="325" t="s">
        <v>1076</v>
      </c>
      <c r="AR41" s="325" t="s">
        <v>1171</v>
      </c>
    </row>
    <row r="42" spans="1:44" ht="87" customHeight="1">
      <c r="A42" s="327" t="s">
        <v>44</v>
      </c>
      <c r="B42" s="327" t="s">
        <v>45</v>
      </c>
      <c r="C42" s="327" t="s">
        <v>1172</v>
      </c>
      <c r="D42" s="325" t="s">
        <v>1173</v>
      </c>
      <c r="E42" s="326">
        <f t="shared" si="15"/>
        <v>360</v>
      </c>
      <c r="F42" s="338" t="s">
        <v>72</v>
      </c>
      <c r="G42" s="335" t="s">
        <v>1174</v>
      </c>
      <c r="H42" s="709" t="s">
        <v>1175</v>
      </c>
      <c r="I42" s="321">
        <v>17</v>
      </c>
      <c r="J42" s="322"/>
      <c r="K42" s="321">
        <v>17</v>
      </c>
      <c r="L42" s="347">
        <v>40</v>
      </c>
      <c r="M42" s="347">
        <v>40</v>
      </c>
      <c r="N42" s="347">
        <v>40</v>
      </c>
      <c r="O42" s="334">
        <v>3213.9180000000001</v>
      </c>
      <c r="P42" s="334">
        <v>3024.864</v>
      </c>
      <c r="Q42" s="334">
        <v>3024.864</v>
      </c>
      <c r="R42" s="347">
        <v>40</v>
      </c>
      <c r="S42" s="347">
        <v>40</v>
      </c>
      <c r="T42" s="347">
        <v>40</v>
      </c>
      <c r="U42" s="346">
        <v>3024.864</v>
      </c>
      <c r="V42" s="346">
        <v>3024.864</v>
      </c>
      <c r="W42" s="346">
        <v>3024.864</v>
      </c>
      <c r="X42" s="347">
        <v>20</v>
      </c>
      <c r="Y42" s="347">
        <v>20</v>
      </c>
      <c r="Z42" s="347">
        <v>20</v>
      </c>
      <c r="AA42" s="346">
        <v>3024.864</v>
      </c>
      <c r="AB42" s="346">
        <v>6616.89</v>
      </c>
      <c r="AC42" s="346">
        <v>6616.89</v>
      </c>
      <c r="AD42" s="347">
        <v>20</v>
      </c>
      <c r="AE42" s="347">
        <v>20</v>
      </c>
      <c r="AF42" s="347">
        <v>20</v>
      </c>
      <c r="AG42" s="346">
        <v>6616.89</v>
      </c>
      <c r="AH42" s="346">
        <v>6616.89</v>
      </c>
      <c r="AI42" s="346">
        <v>3213.9180000000001</v>
      </c>
      <c r="AJ42" s="346">
        <f t="shared" si="16"/>
        <v>51044.58</v>
      </c>
      <c r="AK42" s="346">
        <v>19369.28</v>
      </c>
      <c r="AL42" s="346"/>
      <c r="AM42" s="346">
        <v>31675.3</v>
      </c>
      <c r="AN42" s="346"/>
      <c r="AO42" s="346"/>
      <c r="AP42" s="325" t="s">
        <v>1069</v>
      </c>
      <c r="AQ42" s="325" t="s">
        <v>1107</v>
      </c>
      <c r="AR42" s="325"/>
    </row>
    <row r="43" spans="1:44" ht="93" customHeight="1">
      <c r="A43" s="327" t="s">
        <v>44</v>
      </c>
      <c r="B43" s="327" t="s">
        <v>45</v>
      </c>
      <c r="C43" s="327" t="s">
        <v>1176</v>
      </c>
      <c r="D43" s="325" t="s">
        <v>1177</v>
      </c>
      <c r="E43" s="326">
        <f t="shared" si="15"/>
        <v>600</v>
      </c>
      <c r="F43" s="338" t="s">
        <v>1111</v>
      </c>
      <c r="G43" s="335" t="s">
        <v>1178</v>
      </c>
      <c r="H43" s="709" t="s">
        <v>1179</v>
      </c>
      <c r="I43" s="321">
        <v>29</v>
      </c>
      <c r="J43" s="322"/>
      <c r="K43" s="321">
        <v>29</v>
      </c>
      <c r="L43" s="347">
        <v>50</v>
      </c>
      <c r="M43" s="347">
        <v>50</v>
      </c>
      <c r="N43" s="347">
        <v>50</v>
      </c>
      <c r="O43" s="334">
        <v>3575.0962713936428</v>
      </c>
      <c r="P43" s="334">
        <v>3474.9935757946209</v>
      </c>
      <c r="Q43" s="334">
        <v>3474.9935757946209</v>
      </c>
      <c r="R43" s="347">
        <v>50</v>
      </c>
      <c r="S43" s="347">
        <v>50</v>
      </c>
      <c r="T43" s="347">
        <v>50</v>
      </c>
      <c r="U43" s="346">
        <v>10725.288814180929</v>
      </c>
      <c r="V43" s="346">
        <v>10625.186118581907</v>
      </c>
      <c r="W43" s="346">
        <v>10625.186118581907</v>
      </c>
      <c r="X43" s="347">
        <v>50</v>
      </c>
      <c r="Y43" s="347">
        <v>50</v>
      </c>
      <c r="Z43" s="347">
        <v>50</v>
      </c>
      <c r="AA43" s="346">
        <v>12870.346577017115</v>
      </c>
      <c r="AB43" s="346">
        <v>12770.243881418093</v>
      </c>
      <c r="AC43" s="346">
        <v>12770.243881418093</v>
      </c>
      <c r="AD43" s="347">
        <v>50</v>
      </c>
      <c r="AE43" s="347">
        <v>50</v>
      </c>
      <c r="AF43" s="347">
        <v>50</v>
      </c>
      <c r="AG43" s="346">
        <v>4190.0128300733495</v>
      </c>
      <c r="AH43" s="346">
        <v>4190.0128300733495</v>
      </c>
      <c r="AI43" s="346">
        <v>4290.1155256723714</v>
      </c>
      <c r="AJ43" s="346">
        <f t="shared" si="16"/>
        <v>93581.72</v>
      </c>
      <c r="AK43" s="346">
        <v>35510.339999999997</v>
      </c>
      <c r="AL43" s="346"/>
      <c r="AM43" s="346">
        <v>58071.38</v>
      </c>
      <c r="AN43" s="346"/>
      <c r="AO43" s="346"/>
      <c r="AP43" s="325" t="s">
        <v>1069</v>
      </c>
      <c r="AQ43" s="325" t="s">
        <v>1107</v>
      </c>
      <c r="AR43" s="325"/>
    </row>
    <row r="44" spans="1:44" ht="31.5">
      <c r="A44" s="1044" t="s">
        <v>44</v>
      </c>
      <c r="B44" s="1044" t="s">
        <v>45</v>
      </c>
      <c r="C44" s="1044" t="s">
        <v>1180</v>
      </c>
      <c r="D44" s="1046" t="s">
        <v>1181</v>
      </c>
      <c r="E44" s="326">
        <f t="shared" si="15"/>
        <v>220</v>
      </c>
      <c r="F44" s="338" t="s">
        <v>131</v>
      </c>
      <c r="G44" s="1048" t="s">
        <v>1182</v>
      </c>
      <c r="H44" s="1053" t="s">
        <v>1183</v>
      </c>
      <c r="I44" s="1029">
        <v>16</v>
      </c>
      <c r="J44" s="322"/>
      <c r="K44" s="1029">
        <v>16</v>
      </c>
      <c r="L44" s="347">
        <v>20</v>
      </c>
      <c r="M44" s="347">
        <v>20</v>
      </c>
      <c r="N44" s="347">
        <v>20</v>
      </c>
      <c r="O44" s="334">
        <v>1804.6063636363635</v>
      </c>
      <c r="P44" s="334">
        <v>1804.6063636363635</v>
      </c>
      <c r="Q44" s="334">
        <v>1804.6063636363635</v>
      </c>
      <c r="R44" s="347">
        <v>20</v>
      </c>
      <c r="S44" s="347">
        <v>20</v>
      </c>
      <c r="T44" s="347">
        <v>20</v>
      </c>
      <c r="U44" s="346">
        <v>1804.6063636363635</v>
      </c>
      <c r="V44" s="346">
        <v>1804.6063636363635</v>
      </c>
      <c r="W44" s="346">
        <v>1804.6063636363635</v>
      </c>
      <c r="X44" s="347">
        <v>20</v>
      </c>
      <c r="Y44" s="347">
        <v>20</v>
      </c>
      <c r="Z44" s="347">
        <v>20</v>
      </c>
      <c r="AA44" s="346">
        <v>1804.6063636363635</v>
      </c>
      <c r="AB44" s="346">
        <v>1804.6063636363635</v>
      </c>
      <c r="AC44" s="346">
        <v>1804.6063636363635</v>
      </c>
      <c r="AD44" s="347">
        <v>20</v>
      </c>
      <c r="AE44" s="347">
        <v>20</v>
      </c>
      <c r="AF44" s="347"/>
      <c r="AG44" s="346">
        <v>1804.6063636363635</v>
      </c>
      <c r="AH44" s="346">
        <v>1804.6063636363635</v>
      </c>
      <c r="AI44" s="346"/>
      <c r="AJ44" s="346">
        <f t="shared" si="16"/>
        <v>19850.670000000002</v>
      </c>
      <c r="AK44" s="346">
        <v>7532.5</v>
      </c>
      <c r="AL44" s="346"/>
      <c r="AM44" s="346">
        <v>12318.17</v>
      </c>
      <c r="AN44" s="346"/>
      <c r="AO44" s="346"/>
      <c r="AP44" s="1043" t="s">
        <v>1069</v>
      </c>
      <c r="AQ44" s="325" t="s">
        <v>1107</v>
      </c>
      <c r="AR44" s="325"/>
    </row>
    <row r="45" spans="1:44" ht="41.25" customHeight="1">
      <c r="A45" s="1050"/>
      <c r="B45" s="1050"/>
      <c r="C45" s="1050"/>
      <c r="D45" s="1051"/>
      <c r="E45" s="326">
        <f t="shared" si="15"/>
        <v>66</v>
      </c>
      <c r="F45" s="338" t="s">
        <v>134</v>
      </c>
      <c r="G45" s="1052"/>
      <c r="H45" s="1053"/>
      <c r="I45" s="1030"/>
      <c r="J45" s="322"/>
      <c r="K45" s="1030"/>
      <c r="L45" s="347">
        <v>6</v>
      </c>
      <c r="M45" s="347">
        <v>6</v>
      </c>
      <c r="N45" s="347">
        <v>6</v>
      </c>
      <c r="O45" s="334">
        <v>1031.2036363636364</v>
      </c>
      <c r="P45" s="334">
        <v>1031.2036363636364</v>
      </c>
      <c r="Q45" s="334">
        <v>1031.2036363636364</v>
      </c>
      <c r="R45" s="347">
        <v>6</v>
      </c>
      <c r="S45" s="347">
        <v>6</v>
      </c>
      <c r="T45" s="347">
        <v>6</v>
      </c>
      <c r="U45" s="346">
        <v>1031.2036363636364</v>
      </c>
      <c r="V45" s="346">
        <v>1031.2036363636364</v>
      </c>
      <c r="W45" s="346">
        <v>1031.2036363636364</v>
      </c>
      <c r="X45" s="347">
        <v>6</v>
      </c>
      <c r="Y45" s="347">
        <v>6</v>
      </c>
      <c r="Z45" s="347">
        <v>6</v>
      </c>
      <c r="AA45" s="346">
        <v>1031.2036363636364</v>
      </c>
      <c r="AB45" s="346">
        <v>1031.2036363636364</v>
      </c>
      <c r="AC45" s="346">
        <v>1031.2036363636364</v>
      </c>
      <c r="AD45" s="347">
        <v>6</v>
      </c>
      <c r="AE45" s="347">
        <v>6</v>
      </c>
      <c r="AF45" s="347"/>
      <c r="AG45" s="346">
        <v>1031.2036363636364</v>
      </c>
      <c r="AH45" s="346">
        <v>1031.2036363636364</v>
      </c>
      <c r="AI45" s="346"/>
      <c r="AJ45" s="346">
        <f t="shared" si="16"/>
        <v>11343.24</v>
      </c>
      <c r="AK45" s="346">
        <v>4304.28</v>
      </c>
      <c r="AL45" s="346"/>
      <c r="AM45" s="346">
        <v>7038.96</v>
      </c>
      <c r="AN45" s="346"/>
      <c r="AO45" s="346"/>
      <c r="AP45" s="1043"/>
      <c r="AQ45" s="325" t="s">
        <v>1107</v>
      </c>
      <c r="AR45" s="325"/>
    </row>
    <row r="46" spans="1:44" ht="39" customHeight="1">
      <c r="A46" s="1045"/>
      <c r="B46" s="1045"/>
      <c r="C46" s="1045"/>
      <c r="D46" s="1047"/>
      <c r="E46" s="326">
        <f t="shared" si="15"/>
        <v>22</v>
      </c>
      <c r="F46" s="338" t="s">
        <v>196</v>
      </c>
      <c r="G46" s="1049"/>
      <c r="H46" s="1053"/>
      <c r="I46" s="1031"/>
      <c r="J46" s="322"/>
      <c r="K46" s="1031"/>
      <c r="L46" s="347">
        <v>2</v>
      </c>
      <c r="M46" s="347">
        <v>2</v>
      </c>
      <c r="N46" s="347">
        <v>2</v>
      </c>
      <c r="O46" s="334">
        <v>1546.8054545454545</v>
      </c>
      <c r="P46" s="334">
        <v>1546.8054545454545</v>
      </c>
      <c r="Q46" s="334">
        <v>1546.8054545454545</v>
      </c>
      <c r="R46" s="347">
        <v>2</v>
      </c>
      <c r="S46" s="347">
        <v>2</v>
      </c>
      <c r="T46" s="347">
        <v>2</v>
      </c>
      <c r="U46" s="346">
        <v>1546.8054545454545</v>
      </c>
      <c r="V46" s="346">
        <v>1546.8054545454545</v>
      </c>
      <c r="W46" s="346">
        <v>1546.8054545454545</v>
      </c>
      <c r="X46" s="347">
        <v>2</v>
      </c>
      <c r="Y46" s="347">
        <v>2</v>
      </c>
      <c r="Z46" s="347">
        <v>2</v>
      </c>
      <c r="AA46" s="346">
        <v>1546.8054545454545</v>
      </c>
      <c r="AB46" s="346">
        <v>1546.8054545454545</v>
      </c>
      <c r="AC46" s="346">
        <v>1546.8054545454545</v>
      </c>
      <c r="AD46" s="347">
        <v>2</v>
      </c>
      <c r="AE46" s="347">
        <v>2</v>
      </c>
      <c r="AF46" s="347"/>
      <c r="AG46" s="346">
        <v>1546.8054545454545</v>
      </c>
      <c r="AH46" s="346">
        <v>1546.8054545454545</v>
      </c>
      <c r="AI46" s="346"/>
      <c r="AJ46" s="346">
        <f t="shared" si="16"/>
        <v>17014.86</v>
      </c>
      <c r="AK46" s="346">
        <v>6456.43</v>
      </c>
      <c r="AL46" s="346"/>
      <c r="AM46" s="346">
        <v>10558.43</v>
      </c>
      <c r="AN46" s="346"/>
      <c r="AO46" s="346"/>
      <c r="AP46" s="1043"/>
      <c r="AQ46" s="325" t="s">
        <v>1107</v>
      </c>
      <c r="AR46" s="325"/>
    </row>
    <row r="47" spans="1:44" ht="93" customHeight="1">
      <c r="A47" s="316" t="s">
        <v>44</v>
      </c>
      <c r="B47" s="316" t="s">
        <v>103</v>
      </c>
      <c r="C47" s="316" t="s">
        <v>1184</v>
      </c>
      <c r="D47" s="317" t="s">
        <v>1185</v>
      </c>
      <c r="E47" s="318"/>
      <c r="F47" s="728"/>
      <c r="G47" s="317"/>
      <c r="H47" s="319"/>
      <c r="I47" s="318">
        <v>1</v>
      </c>
      <c r="J47" s="318">
        <v>1</v>
      </c>
      <c r="K47" s="318"/>
      <c r="L47" s="729"/>
      <c r="M47" s="729"/>
      <c r="N47" s="729"/>
      <c r="O47" s="339"/>
      <c r="P47" s="339">
        <f t="shared" ref="P47:Q47" si="17">SUM(P48:P49)</f>
        <v>16716.2</v>
      </c>
      <c r="Q47" s="339">
        <f t="shared" si="17"/>
        <v>29253.35</v>
      </c>
      <c r="R47" s="729"/>
      <c r="S47" s="729"/>
      <c r="T47" s="729"/>
      <c r="U47" s="339">
        <f t="shared" ref="U47" si="18">SUM(U48:U49)</f>
        <v>12537.15</v>
      </c>
      <c r="V47" s="339"/>
      <c r="W47" s="339"/>
      <c r="X47" s="729"/>
      <c r="Y47" s="729"/>
      <c r="Z47" s="729"/>
      <c r="AA47" s="339"/>
      <c r="AB47" s="339"/>
      <c r="AC47" s="339"/>
      <c r="AD47" s="729"/>
      <c r="AE47" s="729"/>
      <c r="AF47" s="729"/>
      <c r="AG47" s="339"/>
      <c r="AH47" s="339"/>
      <c r="AI47" s="339"/>
      <c r="AJ47" s="339">
        <f t="shared" ref="AJ47:AM47" si="19">SUM(AJ48:AJ49)</f>
        <v>58506.7</v>
      </c>
      <c r="AK47" s="339">
        <f t="shared" si="19"/>
        <v>25324.97</v>
      </c>
      <c r="AL47" s="339"/>
      <c r="AM47" s="339">
        <f t="shared" si="19"/>
        <v>33181.730000000003</v>
      </c>
      <c r="AN47" s="339"/>
      <c r="AO47" s="339"/>
      <c r="AP47" s="730"/>
      <c r="AQ47" s="317" t="s">
        <v>1186</v>
      </c>
      <c r="AR47" s="317"/>
    </row>
    <row r="48" spans="1:44" ht="69" customHeight="1">
      <c r="A48" s="327" t="s">
        <v>44</v>
      </c>
      <c r="B48" s="327" t="s">
        <v>103</v>
      </c>
      <c r="C48" s="327" t="s">
        <v>1187</v>
      </c>
      <c r="D48" s="325" t="s">
        <v>1188</v>
      </c>
      <c r="E48" s="326">
        <f>SUM(L48,M48,N48,R48,S48,T48,X48,Y48,Z48,AD48,AE48,AF48)</f>
        <v>4</v>
      </c>
      <c r="F48" s="336" t="s">
        <v>1189</v>
      </c>
      <c r="G48" s="335" t="s">
        <v>1190</v>
      </c>
      <c r="H48" s="709" t="s">
        <v>1191</v>
      </c>
      <c r="I48" s="321">
        <v>43</v>
      </c>
      <c r="J48" s="322"/>
      <c r="K48" s="321">
        <v>43</v>
      </c>
      <c r="L48" s="347"/>
      <c r="M48" s="347"/>
      <c r="N48" s="347">
        <v>2</v>
      </c>
      <c r="O48" s="334"/>
      <c r="P48" s="334"/>
      <c r="Q48" s="334">
        <v>12537.15</v>
      </c>
      <c r="R48" s="347">
        <v>2</v>
      </c>
      <c r="S48" s="347"/>
      <c r="T48" s="347"/>
      <c r="U48" s="346">
        <v>12537.15</v>
      </c>
      <c r="V48" s="346"/>
      <c r="W48" s="346"/>
      <c r="X48" s="347"/>
      <c r="Y48" s="347"/>
      <c r="Z48" s="347"/>
      <c r="AA48" s="346"/>
      <c r="AB48" s="346"/>
      <c r="AC48" s="346"/>
      <c r="AD48" s="347"/>
      <c r="AE48" s="347"/>
      <c r="AF48" s="347"/>
      <c r="AG48" s="346"/>
      <c r="AH48" s="346"/>
      <c r="AI48" s="346"/>
      <c r="AJ48" s="346">
        <f t="shared" ref="AJ48:AJ52" si="20">SUM(O48,P48,Q48,U48,V48,W48,AA48,AB48,AC48,AG48,AH48,AI48)</f>
        <v>25074.3</v>
      </c>
      <c r="AK48" s="346">
        <v>12282.13</v>
      </c>
      <c r="AL48" s="346"/>
      <c r="AM48" s="346">
        <v>12792.17</v>
      </c>
      <c r="AN48" s="346"/>
      <c r="AO48" s="346"/>
      <c r="AP48" s="325" t="s">
        <v>1192</v>
      </c>
      <c r="AQ48" s="325" t="s">
        <v>1193</v>
      </c>
      <c r="AR48" s="325"/>
    </row>
    <row r="49" spans="1:46" ht="94.5">
      <c r="A49" s="327" t="s">
        <v>44</v>
      </c>
      <c r="B49" s="327" t="s">
        <v>103</v>
      </c>
      <c r="C49" s="327" t="s">
        <v>1194</v>
      </c>
      <c r="D49" s="325" t="s">
        <v>1195</v>
      </c>
      <c r="E49" s="326">
        <f>SUM(L49,M49,N49,R49,S49,T49,X49,Y49,Z49,AD49,AE49,AF49)</f>
        <v>2</v>
      </c>
      <c r="F49" s="336" t="s">
        <v>1189</v>
      </c>
      <c r="G49" s="335" t="s">
        <v>1196</v>
      </c>
      <c r="H49" s="709" t="s">
        <v>1191</v>
      </c>
      <c r="I49" s="321">
        <v>57</v>
      </c>
      <c r="J49" s="322"/>
      <c r="K49" s="321">
        <v>57</v>
      </c>
      <c r="L49" s="347"/>
      <c r="M49" s="347">
        <v>1</v>
      </c>
      <c r="N49" s="347">
        <v>1</v>
      </c>
      <c r="O49" s="334"/>
      <c r="P49" s="334">
        <v>16716.2</v>
      </c>
      <c r="Q49" s="334">
        <v>16716.2</v>
      </c>
      <c r="R49" s="347"/>
      <c r="S49" s="347"/>
      <c r="T49" s="347"/>
      <c r="U49" s="346"/>
      <c r="V49" s="346"/>
      <c r="W49" s="346"/>
      <c r="X49" s="347"/>
      <c r="Y49" s="347"/>
      <c r="Z49" s="347"/>
      <c r="AA49" s="346"/>
      <c r="AB49" s="346"/>
      <c r="AC49" s="346"/>
      <c r="AD49" s="347"/>
      <c r="AE49" s="347"/>
      <c r="AF49" s="347"/>
      <c r="AG49" s="346"/>
      <c r="AH49" s="346"/>
      <c r="AI49" s="346"/>
      <c r="AJ49" s="346">
        <f t="shared" si="20"/>
        <v>33432.400000000001</v>
      </c>
      <c r="AK49" s="346">
        <v>13042.84</v>
      </c>
      <c r="AL49" s="346"/>
      <c r="AM49" s="346">
        <v>20389.560000000001</v>
      </c>
      <c r="AN49" s="346"/>
      <c r="AO49" s="346"/>
      <c r="AP49" s="325" t="s">
        <v>1192</v>
      </c>
      <c r="AQ49" s="325" t="s">
        <v>1193</v>
      </c>
      <c r="AR49" s="325" t="s">
        <v>1197</v>
      </c>
    </row>
    <row r="50" spans="1:46" ht="76.5" customHeight="1">
      <c r="A50" s="316" t="s">
        <v>44</v>
      </c>
      <c r="B50" s="316" t="s">
        <v>1002</v>
      </c>
      <c r="C50" s="316" t="s">
        <v>1198</v>
      </c>
      <c r="D50" s="317" t="s">
        <v>1199</v>
      </c>
      <c r="E50" s="318"/>
      <c r="F50" s="728"/>
      <c r="G50" s="317"/>
      <c r="H50" s="319"/>
      <c r="I50" s="318">
        <v>1</v>
      </c>
      <c r="J50" s="318">
        <v>1</v>
      </c>
      <c r="K50" s="318"/>
      <c r="L50" s="729"/>
      <c r="M50" s="729"/>
      <c r="N50" s="729"/>
      <c r="O50" s="339">
        <f>SUM(O51:O52)</f>
        <v>4202.7</v>
      </c>
      <c r="P50" s="339">
        <f t="shared" ref="P50:Q50" si="21">SUM(P51:P52)</f>
        <v>4202.7</v>
      </c>
      <c r="Q50" s="339">
        <f t="shared" si="21"/>
        <v>17560.8</v>
      </c>
      <c r="R50" s="729"/>
      <c r="S50" s="729"/>
      <c r="T50" s="729"/>
      <c r="U50" s="339">
        <f t="shared" ref="U50:W50" si="22">SUM(U51:U52)</f>
        <v>4202.7</v>
      </c>
      <c r="V50" s="339">
        <f t="shared" si="22"/>
        <v>4202.7</v>
      </c>
      <c r="W50" s="339">
        <f t="shared" si="22"/>
        <v>4202.7</v>
      </c>
      <c r="X50" s="729"/>
      <c r="Y50" s="729"/>
      <c r="Z50" s="729"/>
      <c r="AA50" s="339">
        <f t="shared" ref="AA50:AC50" si="23">SUM(AA51:AA52)</f>
        <v>4202.7</v>
      </c>
      <c r="AB50" s="339">
        <f t="shared" si="23"/>
        <v>4202.7</v>
      </c>
      <c r="AC50" s="339">
        <f t="shared" si="23"/>
        <v>17560.8</v>
      </c>
      <c r="AD50" s="729"/>
      <c r="AE50" s="729"/>
      <c r="AF50" s="729"/>
      <c r="AG50" s="339">
        <f t="shared" ref="AG50:AM50" si="24">SUM(AG51:AG52)</f>
        <v>4202.7</v>
      </c>
      <c r="AH50" s="339">
        <f t="shared" si="24"/>
        <v>4202.7</v>
      </c>
      <c r="AI50" s="339">
        <f t="shared" si="24"/>
        <v>4202.7</v>
      </c>
      <c r="AJ50" s="339">
        <f t="shared" si="24"/>
        <v>77148.599999999991</v>
      </c>
      <c r="AK50" s="339">
        <f t="shared" si="24"/>
        <v>64564.259999999995</v>
      </c>
      <c r="AL50" s="339"/>
      <c r="AM50" s="339">
        <f t="shared" si="24"/>
        <v>12584.34</v>
      </c>
      <c r="AN50" s="339"/>
      <c r="AO50" s="339"/>
      <c r="AP50" s="730"/>
      <c r="AQ50" s="317"/>
      <c r="AR50" s="317"/>
    </row>
    <row r="51" spans="1:46" ht="83.25" customHeight="1">
      <c r="A51" s="327" t="s">
        <v>44</v>
      </c>
      <c r="B51" s="327" t="s">
        <v>1002</v>
      </c>
      <c r="C51" s="327" t="s">
        <v>1200</v>
      </c>
      <c r="D51" s="325" t="s">
        <v>1201</v>
      </c>
      <c r="E51" s="326">
        <f>SUM(L51,M51,N51,R51,S51,T51,X51,Y51,Z51,AD51,AE51,AF51)</f>
        <v>12</v>
      </c>
      <c r="F51" s="336" t="s">
        <v>1189</v>
      </c>
      <c r="G51" s="335" t="s">
        <v>1202</v>
      </c>
      <c r="H51" s="709" t="s">
        <v>1118</v>
      </c>
      <c r="I51" s="321">
        <v>65</v>
      </c>
      <c r="J51" s="322"/>
      <c r="K51" s="321">
        <v>65</v>
      </c>
      <c r="L51" s="347">
        <v>1</v>
      </c>
      <c r="M51" s="347">
        <v>1</v>
      </c>
      <c r="N51" s="347">
        <v>1</v>
      </c>
      <c r="O51" s="334">
        <v>4202.7</v>
      </c>
      <c r="P51" s="334">
        <v>4202.7</v>
      </c>
      <c r="Q51" s="334">
        <v>4202.7</v>
      </c>
      <c r="R51" s="347">
        <v>1</v>
      </c>
      <c r="S51" s="347">
        <v>1</v>
      </c>
      <c r="T51" s="347">
        <v>1</v>
      </c>
      <c r="U51" s="346">
        <v>4202.7</v>
      </c>
      <c r="V51" s="346">
        <v>4202.7</v>
      </c>
      <c r="W51" s="346">
        <v>4202.7</v>
      </c>
      <c r="X51" s="347">
        <v>1</v>
      </c>
      <c r="Y51" s="347">
        <v>1</v>
      </c>
      <c r="Z51" s="347">
        <v>1</v>
      </c>
      <c r="AA51" s="346">
        <v>4202.7</v>
      </c>
      <c r="AB51" s="346">
        <v>4202.7</v>
      </c>
      <c r="AC51" s="346">
        <v>4202.7</v>
      </c>
      <c r="AD51" s="347">
        <v>1</v>
      </c>
      <c r="AE51" s="347">
        <v>1</v>
      </c>
      <c r="AF51" s="347">
        <v>1</v>
      </c>
      <c r="AG51" s="346">
        <v>4202.7</v>
      </c>
      <c r="AH51" s="346">
        <v>4202.7</v>
      </c>
      <c r="AI51" s="346">
        <v>4202.7</v>
      </c>
      <c r="AJ51" s="346">
        <f t="shared" si="20"/>
        <v>50432.399999999987</v>
      </c>
      <c r="AK51" s="346">
        <v>43042.84</v>
      </c>
      <c r="AL51" s="346"/>
      <c r="AM51" s="346">
        <v>7389.56</v>
      </c>
      <c r="AN51" s="346"/>
      <c r="AO51" s="346"/>
      <c r="AP51" s="325" t="s">
        <v>1192</v>
      </c>
      <c r="AQ51" s="325" t="s">
        <v>1107</v>
      </c>
      <c r="AR51" s="325"/>
    </row>
    <row r="52" spans="1:46" ht="93" customHeight="1">
      <c r="A52" s="327" t="s">
        <v>44</v>
      </c>
      <c r="B52" s="327" t="s">
        <v>1002</v>
      </c>
      <c r="C52" s="327" t="s">
        <v>1203</v>
      </c>
      <c r="D52" s="325" t="s">
        <v>1204</v>
      </c>
      <c r="E52" s="326">
        <f>SUM(L52,M52,N52,R52,S52,T52,X52,Y52,Z52,AD52,AE52,AF52)</f>
        <v>2</v>
      </c>
      <c r="F52" s="336" t="s">
        <v>1189</v>
      </c>
      <c r="G52" s="335" t="s">
        <v>1205</v>
      </c>
      <c r="H52" s="709" t="s">
        <v>1118</v>
      </c>
      <c r="I52" s="321">
        <v>35</v>
      </c>
      <c r="J52" s="322"/>
      <c r="K52" s="321">
        <v>35</v>
      </c>
      <c r="L52" s="347"/>
      <c r="M52" s="347"/>
      <c r="N52" s="347">
        <v>1</v>
      </c>
      <c r="O52" s="334"/>
      <c r="P52" s="334"/>
      <c r="Q52" s="334">
        <v>13358.1</v>
      </c>
      <c r="R52" s="347"/>
      <c r="S52" s="347"/>
      <c r="T52" s="347"/>
      <c r="U52" s="346"/>
      <c r="V52" s="346"/>
      <c r="W52" s="346"/>
      <c r="X52" s="347"/>
      <c r="Y52" s="347"/>
      <c r="Z52" s="347">
        <v>1</v>
      </c>
      <c r="AA52" s="346"/>
      <c r="AB52" s="346"/>
      <c r="AC52" s="346">
        <v>13358.1</v>
      </c>
      <c r="AD52" s="347"/>
      <c r="AE52" s="347"/>
      <c r="AF52" s="347"/>
      <c r="AG52" s="346"/>
      <c r="AH52" s="346"/>
      <c r="AI52" s="346"/>
      <c r="AJ52" s="346">
        <f t="shared" si="20"/>
        <v>26716.2</v>
      </c>
      <c r="AK52" s="346">
        <v>21521.42</v>
      </c>
      <c r="AL52" s="346"/>
      <c r="AM52" s="346">
        <v>5194.78</v>
      </c>
      <c r="AN52" s="346"/>
      <c r="AO52" s="346"/>
      <c r="AP52" s="325" t="s">
        <v>1192</v>
      </c>
      <c r="AQ52" s="325" t="s">
        <v>1107</v>
      </c>
      <c r="AR52" s="325"/>
    </row>
    <row r="53" spans="1:46" ht="69.75" customHeight="1">
      <c r="A53" s="316" t="s">
        <v>44</v>
      </c>
      <c r="B53" s="316" t="s">
        <v>1002</v>
      </c>
      <c r="C53" s="316" t="s">
        <v>1206</v>
      </c>
      <c r="D53" s="317" t="s">
        <v>1207</v>
      </c>
      <c r="E53" s="318"/>
      <c r="F53" s="317"/>
      <c r="G53" s="317"/>
      <c r="H53" s="319"/>
      <c r="I53" s="318">
        <v>2</v>
      </c>
      <c r="J53" s="318">
        <v>2</v>
      </c>
      <c r="K53" s="318"/>
      <c r="L53" s="318"/>
      <c r="M53" s="318"/>
      <c r="N53" s="318"/>
      <c r="O53" s="339">
        <f>SUM(O54:O55)</f>
        <v>7000.7199999999993</v>
      </c>
      <c r="P53" s="339">
        <f t="shared" ref="P53:Q53" si="25">SUM(P54:P55)</f>
        <v>8471.5</v>
      </c>
      <c r="Q53" s="339">
        <f t="shared" si="25"/>
        <v>12912.48</v>
      </c>
      <c r="R53" s="318"/>
      <c r="S53" s="318"/>
      <c r="T53" s="318"/>
      <c r="U53" s="339">
        <f t="shared" ref="U53:W53" si="26">SUM(U54:U55)</f>
        <v>10869.26</v>
      </c>
      <c r="V53" s="339">
        <f t="shared" si="26"/>
        <v>12300.060000000001</v>
      </c>
      <c r="W53" s="339">
        <f t="shared" si="26"/>
        <v>10105.900000000001</v>
      </c>
      <c r="X53" s="318"/>
      <c r="Y53" s="318"/>
      <c r="Z53" s="318"/>
      <c r="AA53" s="339">
        <f t="shared" ref="AA53:AC53" si="27">SUM(AA54:AA55)</f>
        <v>12708.460000000001</v>
      </c>
      <c r="AB53" s="339">
        <f t="shared" si="27"/>
        <v>7451.3</v>
      </c>
      <c r="AC53" s="339">
        <f t="shared" si="27"/>
        <v>7451.3</v>
      </c>
      <c r="AD53" s="318"/>
      <c r="AE53" s="318"/>
      <c r="AF53" s="318"/>
      <c r="AG53" s="339">
        <f t="shared" ref="AG53:AM53" si="28">SUM(AG54:AG55)</f>
        <v>8676.5</v>
      </c>
      <c r="AH53" s="339">
        <f t="shared" si="28"/>
        <v>10718.5</v>
      </c>
      <c r="AI53" s="339">
        <f t="shared" si="28"/>
        <v>8064.06</v>
      </c>
      <c r="AJ53" s="339">
        <f t="shared" si="28"/>
        <v>116730.04000000001</v>
      </c>
      <c r="AK53" s="339">
        <f t="shared" si="28"/>
        <v>57728.06</v>
      </c>
      <c r="AL53" s="339"/>
      <c r="AM53" s="339">
        <f t="shared" si="28"/>
        <v>59001.979999999996</v>
      </c>
      <c r="AN53" s="339"/>
      <c r="AO53" s="339"/>
      <c r="AP53" s="337"/>
      <c r="AQ53" s="337"/>
      <c r="AR53" s="337"/>
    </row>
    <row r="54" spans="1:46" ht="95.25" customHeight="1">
      <c r="A54" s="327" t="s">
        <v>44</v>
      </c>
      <c r="B54" s="327" t="s">
        <v>1002</v>
      </c>
      <c r="C54" s="327" t="s">
        <v>1208</v>
      </c>
      <c r="D54" s="325" t="s">
        <v>1209</v>
      </c>
      <c r="E54" s="326">
        <f>SUM(L54,M54,N54,R54,S54,T54,X54,Y54,Z54,AD54,AE54,AF54)</f>
        <v>1634</v>
      </c>
      <c r="F54" s="338" t="s">
        <v>87</v>
      </c>
      <c r="G54" s="335" t="s">
        <v>1210</v>
      </c>
      <c r="H54" s="709" t="s">
        <v>1211</v>
      </c>
      <c r="I54" s="321">
        <v>57</v>
      </c>
      <c r="J54" s="322"/>
      <c r="K54" s="321">
        <v>57</v>
      </c>
      <c r="L54" s="295">
        <v>84</v>
      </c>
      <c r="M54" s="295">
        <v>120</v>
      </c>
      <c r="N54" s="295">
        <v>185</v>
      </c>
      <c r="O54" s="323">
        <v>3429.22</v>
      </c>
      <c r="P54" s="323">
        <v>4900</v>
      </c>
      <c r="Q54" s="323">
        <v>7555.22</v>
      </c>
      <c r="R54" s="295">
        <v>135</v>
      </c>
      <c r="S54" s="295">
        <v>170</v>
      </c>
      <c r="T54" s="295">
        <v>160</v>
      </c>
      <c r="U54" s="324">
        <v>5512</v>
      </c>
      <c r="V54" s="324">
        <v>6942.8</v>
      </c>
      <c r="W54" s="324">
        <v>6534.4000000000005</v>
      </c>
      <c r="X54" s="295">
        <v>180</v>
      </c>
      <c r="Y54" s="295">
        <v>95</v>
      </c>
      <c r="Z54" s="295">
        <v>95</v>
      </c>
      <c r="AA54" s="324">
        <v>7351.2000000000007</v>
      </c>
      <c r="AB54" s="324">
        <v>3879.8</v>
      </c>
      <c r="AC54" s="324">
        <v>3879.8</v>
      </c>
      <c r="AD54" s="295">
        <v>125</v>
      </c>
      <c r="AE54" s="295">
        <v>175</v>
      </c>
      <c r="AF54" s="295">
        <v>110</v>
      </c>
      <c r="AG54" s="324">
        <v>5105</v>
      </c>
      <c r="AH54" s="324">
        <v>7147.0000000000009</v>
      </c>
      <c r="AI54" s="324">
        <v>4492.5600000000004</v>
      </c>
      <c r="AJ54" s="346">
        <f t="shared" ref="AJ54:AJ55" si="29">SUM(O54,P54,Q54,U54,V54,W54,AA54,AB54,AC54,AG54,AH54,AI54)</f>
        <v>66729</v>
      </c>
      <c r="AK54" s="324">
        <v>27728</v>
      </c>
      <c r="AL54" s="324"/>
      <c r="AM54" s="324">
        <v>39001</v>
      </c>
      <c r="AN54" s="324"/>
      <c r="AO54" s="324"/>
      <c r="AP54" s="739" t="s">
        <v>1069</v>
      </c>
      <c r="AQ54" s="325" t="s">
        <v>1212</v>
      </c>
      <c r="AR54" s="325"/>
    </row>
    <row r="55" spans="1:46" ht="88.5" customHeight="1">
      <c r="A55" s="327" t="s">
        <v>44</v>
      </c>
      <c r="B55" s="327" t="s">
        <v>1002</v>
      </c>
      <c r="C55" s="327" t="s">
        <v>1213</v>
      </c>
      <c r="D55" s="325" t="s">
        <v>1214</v>
      </c>
      <c r="E55" s="326">
        <f>MAX(L55,M55,N55,R55,S55,T55,X55,Y55,Z55,AD55,AE55,AF55)</f>
        <v>3</v>
      </c>
      <c r="F55" s="338" t="s">
        <v>69</v>
      </c>
      <c r="G55" s="335" t="s">
        <v>1215</v>
      </c>
      <c r="H55" s="709" t="s">
        <v>1211</v>
      </c>
      <c r="I55" s="321">
        <v>43</v>
      </c>
      <c r="J55" s="322"/>
      <c r="K55" s="321">
        <v>43</v>
      </c>
      <c r="L55" s="347">
        <v>2</v>
      </c>
      <c r="M55" s="347">
        <v>2</v>
      </c>
      <c r="N55" s="347">
        <v>3</v>
      </c>
      <c r="O55" s="334">
        <v>3571.5</v>
      </c>
      <c r="P55" s="334">
        <v>3571.5</v>
      </c>
      <c r="Q55" s="334">
        <v>5357.26</v>
      </c>
      <c r="R55" s="347">
        <v>3</v>
      </c>
      <c r="S55" s="347">
        <v>3</v>
      </c>
      <c r="T55" s="347">
        <v>2</v>
      </c>
      <c r="U55" s="346">
        <v>5357.26</v>
      </c>
      <c r="V55" s="346">
        <v>5357.26</v>
      </c>
      <c r="W55" s="346">
        <v>3571.5</v>
      </c>
      <c r="X55" s="347">
        <v>3</v>
      </c>
      <c r="Y55" s="347">
        <v>2</v>
      </c>
      <c r="Z55" s="347">
        <v>2</v>
      </c>
      <c r="AA55" s="346">
        <v>5357.26</v>
      </c>
      <c r="AB55" s="346">
        <v>3571.5</v>
      </c>
      <c r="AC55" s="346">
        <v>3571.5</v>
      </c>
      <c r="AD55" s="347">
        <v>2</v>
      </c>
      <c r="AE55" s="347">
        <v>2</v>
      </c>
      <c r="AF55" s="347">
        <v>2</v>
      </c>
      <c r="AG55" s="346">
        <v>3571.5</v>
      </c>
      <c r="AH55" s="346">
        <v>3571.5</v>
      </c>
      <c r="AI55" s="346">
        <v>3571.5</v>
      </c>
      <c r="AJ55" s="346">
        <f t="shared" si="29"/>
        <v>50001.04</v>
      </c>
      <c r="AK55" s="346">
        <v>30000.06</v>
      </c>
      <c r="AL55" s="346"/>
      <c r="AM55" s="346">
        <v>20000.98</v>
      </c>
      <c r="AN55" s="346"/>
      <c r="AO55" s="346"/>
      <c r="AP55" s="739" t="s">
        <v>1216</v>
      </c>
      <c r="AQ55" s="325" t="s">
        <v>1212</v>
      </c>
      <c r="AR55" s="325" t="s">
        <v>1071</v>
      </c>
    </row>
    <row r="56" spans="1:46" ht="68.25" customHeight="1">
      <c r="A56" s="316" t="s">
        <v>44</v>
      </c>
      <c r="B56" s="316" t="s">
        <v>480</v>
      </c>
      <c r="C56" s="316" t="s">
        <v>1217</v>
      </c>
      <c r="D56" s="317" t="s">
        <v>1218</v>
      </c>
      <c r="E56" s="318"/>
      <c r="F56" s="317"/>
      <c r="G56" s="317"/>
      <c r="H56" s="319"/>
      <c r="I56" s="318">
        <v>7</v>
      </c>
      <c r="J56" s="318">
        <v>7</v>
      </c>
      <c r="K56" s="318"/>
      <c r="L56" s="266"/>
      <c r="M56" s="266"/>
      <c r="N56" s="266"/>
      <c r="O56" s="320">
        <f>SUM(O57:O60)</f>
        <v>20140.889166666671</v>
      </c>
      <c r="P56" s="320">
        <f t="shared" ref="P56:Q56" si="30">SUM(P57:P60)</f>
        <v>31862.14916666667</v>
      </c>
      <c r="Q56" s="320">
        <f t="shared" si="30"/>
        <v>51779.209166666667</v>
      </c>
      <c r="R56" s="266"/>
      <c r="S56" s="266"/>
      <c r="T56" s="266"/>
      <c r="U56" s="320">
        <f t="shared" ref="U56:W56" si="31">SUM(U57:U60)</f>
        <v>49746.249166666676</v>
      </c>
      <c r="V56" s="320">
        <f t="shared" si="31"/>
        <v>51779.209166666667</v>
      </c>
      <c r="W56" s="320">
        <f t="shared" si="31"/>
        <v>51779.209166666667</v>
      </c>
      <c r="X56" s="266"/>
      <c r="Y56" s="266"/>
      <c r="Z56" s="266"/>
      <c r="AA56" s="320">
        <f t="shared" ref="AA56:AC56" si="32">SUM(AA57:AA60)</f>
        <v>51779.209166666667</v>
      </c>
      <c r="AB56" s="320">
        <f t="shared" si="32"/>
        <v>49746.249166666676</v>
      </c>
      <c r="AC56" s="320">
        <f t="shared" si="32"/>
        <v>51779.219166666677</v>
      </c>
      <c r="AD56" s="266"/>
      <c r="AE56" s="266"/>
      <c r="AF56" s="266"/>
      <c r="AG56" s="320">
        <f t="shared" ref="AG56:AM56" si="33">SUM(AG57:AG60)</f>
        <v>51779.269166666672</v>
      </c>
      <c r="AH56" s="320">
        <f t="shared" si="33"/>
        <v>51779.269166666672</v>
      </c>
      <c r="AI56" s="320">
        <f t="shared" si="33"/>
        <v>49746.309166666673</v>
      </c>
      <c r="AJ56" s="320">
        <f t="shared" si="33"/>
        <v>563696.43999999994</v>
      </c>
      <c r="AK56" s="320">
        <f t="shared" si="33"/>
        <v>177253.73</v>
      </c>
      <c r="AL56" s="320"/>
      <c r="AM56" s="320">
        <f t="shared" si="33"/>
        <v>386442.71</v>
      </c>
      <c r="AN56" s="320"/>
      <c r="AO56" s="320"/>
      <c r="AP56" s="317"/>
      <c r="AQ56" s="317"/>
      <c r="AR56" s="317"/>
    </row>
    <row r="57" spans="1:46" ht="38.25" customHeight="1">
      <c r="A57" s="1044" t="s">
        <v>44</v>
      </c>
      <c r="B57" s="1044" t="s">
        <v>480</v>
      </c>
      <c r="C57" s="1044" t="s">
        <v>1219</v>
      </c>
      <c r="D57" s="1046" t="s">
        <v>1220</v>
      </c>
      <c r="E57" s="326">
        <f>SUM(L57,M57,N57,R57,S57,T57,X57,Y57,Z57,AD57,AE57,AF57)</f>
        <v>612</v>
      </c>
      <c r="F57" s="338" t="s">
        <v>131</v>
      </c>
      <c r="G57" s="1048" t="s">
        <v>1221</v>
      </c>
      <c r="H57" s="1034" t="s">
        <v>1222</v>
      </c>
      <c r="I57" s="1029">
        <v>22</v>
      </c>
      <c r="J57" s="322"/>
      <c r="K57" s="1029">
        <v>22</v>
      </c>
      <c r="L57" s="295"/>
      <c r="M57" s="295">
        <v>60</v>
      </c>
      <c r="N57" s="295">
        <v>60</v>
      </c>
      <c r="O57" s="334"/>
      <c r="P57" s="334">
        <v>7623.6</v>
      </c>
      <c r="Q57" s="334">
        <v>7623.6</v>
      </c>
      <c r="R57" s="295">
        <v>44</v>
      </c>
      <c r="S57" s="295">
        <v>60</v>
      </c>
      <c r="T57" s="295">
        <v>60</v>
      </c>
      <c r="U57" s="346">
        <v>5590.64</v>
      </c>
      <c r="V57" s="346">
        <v>7623.6</v>
      </c>
      <c r="W57" s="346">
        <v>7623.6</v>
      </c>
      <c r="X57" s="295">
        <v>60</v>
      </c>
      <c r="Y57" s="295">
        <v>44</v>
      </c>
      <c r="Z57" s="295">
        <v>60</v>
      </c>
      <c r="AA57" s="346">
        <v>7623.6</v>
      </c>
      <c r="AB57" s="346">
        <v>5590.64</v>
      </c>
      <c r="AC57" s="346">
        <v>7623.6</v>
      </c>
      <c r="AD57" s="295">
        <v>60</v>
      </c>
      <c r="AE57" s="295">
        <v>60</v>
      </c>
      <c r="AF57" s="295">
        <v>44</v>
      </c>
      <c r="AG57" s="346">
        <v>7623.62</v>
      </c>
      <c r="AH57" s="346">
        <v>7623.62</v>
      </c>
      <c r="AI57" s="346">
        <v>5590.66</v>
      </c>
      <c r="AJ57" s="346">
        <f t="shared" ref="AJ57:AJ60" si="34">SUM(O57,P57,Q57,U57,V57,W57,AA57,AB57,AC57,AG57,AH57,AI57)</f>
        <v>77760.78</v>
      </c>
      <c r="AK57" s="346">
        <v>40890.699999999997</v>
      </c>
      <c r="AL57" s="346"/>
      <c r="AM57" s="346">
        <v>36870.080000000002</v>
      </c>
      <c r="AN57" s="346"/>
      <c r="AO57" s="346"/>
      <c r="AP57" s="708" t="s">
        <v>1069</v>
      </c>
      <c r="AQ57" s="325" t="s">
        <v>1070</v>
      </c>
      <c r="AR57" s="325"/>
    </row>
    <row r="58" spans="1:46" ht="38.25" customHeight="1">
      <c r="A58" s="1045"/>
      <c r="B58" s="1045"/>
      <c r="C58" s="1045"/>
      <c r="D58" s="1047"/>
      <c r="E58" s="326">
        <f>SUM(L58,M58,N58,R58,S58,T58,X58,Y58,Z58,AD58,AE58,AF58)</f>
        <v>66</v>
      </c>
      <c r="F58" s="338" t="s">
        <v>134</v>
      </c>
      <c r="G58" s="1049"/>
      <c r="H58" s="1035"/>
      <c r="I58" s="1031"/>
      <c r="J58" s="322"/>
      <c r="K58" s="1031"/>
      <c r="L58" s="295"/>
      <c r="M58" s="295">
        <v>6</v>
      </c>
      <c r="N58" s="295">
        <v>6</v>
      </c>
      <c r="O58" s="334"/>
      <c r="P58" s="334">
        <v>4097.66</v>
      </c>
      <c r="Q58" s="334">
        <v>4097.66</v>
      </c>
      <c r="R58" s="295">
        <v>6</v>
      </c>
      <c r="S58" s="295">
        <v>6</v>
      </c>
      <c r="T58" s="295">
        <v>6</v>
      </c>
      <c r="U58" s="346">
        <v>4097.66</v>
      </c>
      <c r="V58" s="346">
        <v>4097.66</v>
      </c>
      <c r="W58" s="346">
        <v>4097.66</v>
      </c>
      <c r="X58" s="295">
        <v>6</v>
      </c>
      <c r="Y58" s="295">
        <v>6</v>
      </c>
      <c r="Z58" s="295">
        <v>6</v>
      </c>
      <c r="AA58" s="346">
        <v>4097.66</v>
      </c>
      <c r="AB58" s="346">
        <v>4097.66</v>
      </c>
      <c r="AC58" s="346">
        <v>4097.67</v>
      </c>
      <c r="AD58" s="295">
        <v>6</v>
      </c>
      <c r="AE58" s="295">
        <v>6</v>
      </c>
      <c r="AF58" s="295">
        <v>6</v>
      </c>
      <c r="AG58" s="346">
        <v>4097.67</v>
      </c>
      <c r="AH58" s="346">
        <v>4097.67</v>
      </c>
      <c r="AI58" s="346">
        <v>4097.67</v>
      </c>
      <c r="AJ58" s="346">
        <f t="shared" si="34"/>
        <v>45074.299999999996</v>
      </c>
      <c r="AK58" s="346">
        <v>32282.13</v>
      </c>
      <c r="AL58" s="346"/>
      <c r="AM58" s="346">
        <v>12792.17</v>
      </c>
      <c r="AN58" s="346"/>
      <c r="AO58" s="346"/>
      <c r="AP58" s="708" t="s">
        <v>1069</v>
      </c>
      <c r="AQ58" s="325" t="s">
        <v>1070</v>
      </c>
      <c r="AR58" s="325"/>
    </row>
    <row r="59" spans="1:46" ht="68.25" customHeight="1">
      <c r="A59" s="1044" t="s">
        <v>44</v>
      </c>
      <c r="B59" s="1044" t="s">
        <v>480</v>
      </c>
      <c r="C59" s="1044" t="s">
        <v>1223</v>
      </c>
      <c r="D59" s="1046" t="s">
        <v>1224</v>
      </c>
      <c r="E59" s="326">
        <f>SUM(L59,M59,N59,R59,S59,T59,X59,Y59,Z59,AD59,AE59,AF59)</f>
        <v>6000</v>
      </c>
      <c r="F59" s="338" t="s">
        <v>1225</v>
      </c>
      <c r="G59" s="1048" t="s">
        <v>1226</v>
      </c>
      <c r="H59" s="736" t="s">
        <v>1095</v>
      </c>
      <c r="I59" s="1029">
        <v>78</v>
      </c>
      <c r="J59" s="322"/>
      <c r="K59" s="1029">
        <v>78</v>
      </c>
      <c r="L59" s="347">
        <v>500</v>
      </c>
      <c r="M59" s="347">
        <v>500</v>
      </c>
      <c r="N59" s="347">
        <v>500</v>
      </c>
      <c r="O59" s="334">
        <f>(SUM($AK$59,$AM$59))/6000*500</f>
        <v>20140.889166666671</v>
      </c>
      <c r="P59" s="334">
        <f t="shared" ref="P59:Q59" si="35">(SUM($AK$59,$AM$59))/6000*500</f>
        <v>20140.889166666671</v>
      </c>
      <c r="Q59" s="334">
        <f t="shared" si="35"/>
        <v>20140.889166666671</v>
      </c>
      <c r="R59" s="347">
        <v>500</v>
      </c>
      <c r="S59" s="347">
        <v>500</v>
      </c>
      <c r="T59" s="347">
        <v>500</v>
      </c>
      <c r="U59" s="334">
        <f t="shared" ref="U59:W59" si="36">(SUM($AK$59,$AM$59))/6000*500</f>
        <v>20140.889166666671</v>
      </c>
      <c r="V59" s="334">
        <f t="shared" si="36"/>
        <v>20140.889166666671</v>
      </c>
      <c r="W59" s="334">
        <f t="shared" si="36"/>
        <v>20140.889166666671</v>
      </c>
      <c r="X59" s="347">
        <v>500</v>
      </c>
      <c r="Y59" s="347">
        <v>500</v>
      </c>
      <c r="Z59" s="347">
        <v>500</v>
      </c>
      <c r="AA59" s="334">
        <f t="shared" ref="AA59:AC59" si="37">(SUM($AK$59,$AM$59))/6000*500</f>
        <v>20140.889166666671</v>
      </c>
      <c r="AB59" s="334">
        <f t="shared" si="37"/>
        <v>20140.889166666671</v>
      </c>
      <c r="AC59" s="334">
        <f t="shared" si="37"/>
        <v>20140.889166666671</v>
      </c>
      <c r="AD59" s="347">
        <v>500</v>
      </c>
      <c r="AE59" s="347">
        <v>500</v>
      </c>
      <c r="AF59" s="347">
        <v>500</v>
      </c>
      <c r="AG59" s="334">
        <f t="shared" ref="AG59:AI59" si="38">(SUM($AK$59,$AM$59))/6000*500</f>
        <v>20140.889166666671</v>
      </c>
      <c r="AH59" s="334">
        <f t="shared" si="38"/>
        <v>20140.889166666671</v>
      </c>
      <c r="AI59" s="334">
        <f t="shared" si="38"/>
        <v>20140.889166666671</v>
      </c>
      <c r="AJ59" s="346">
        <f t="shared" si="34"/>
        <v>241690.67</v>
      </c>
      <c r="AK59" s="346">
        <f>47562.33+26347.88</f>
        <v>73910.210000000006</v>
      </c>
      <c r="AL59" s="346"/>
      <c r="AM59" s="346">
        <v>167780.46000000002</v>
      </c>
      <c r="AN59" s="346"/>
      <c r="AO59" s="346"/>
      <c r="AP59" s="342" t="s">
        <v>1069</v>
      </c>
      <c r="AQ59" s="325" t="s">
        <v>1096</v>
      </c>
      <c r="AR59" s="325"/>
      <c r="AS59" s="715">
        <f t="shared" ref="AS59" si="39">AJ59-(O59+P59+Q59+U59+V59+W59+AA59+AB59+AC59+AG59+AH59+AI59)</f>
        <v>0</v>
      </c>
      <c r="AT59" s="715">
        <f t="shared" ref="AT59" si="40">AJ59-(AK59+AL59+AM59+AN59+AO59)</f>
        <v>0</v>
      </c>
    </row>
    <row r="60" spans="1:46" ht="68.25" customHeight="1">
      <c r="A60" s="1045"/>
      <c r="B60" s="1045"/>
      <c r="C60" s="1045"/>
      <c r="D60" s="1047"/>
      <c r="E60" s="326">
        <f>SUM(L60,M60,N60,R60,S60,T60,X60,Y60,Z60,AD60,AE60,AF60)</f>
        <v>10000</v>
      </c>
      <c r="F60" s="338" t="s">
        <v>1227</v>
      </c>
      <c r="G60" s="1049"/>
      <c r="H60" s="736" t="s">
        <v>1095</v>
      </c>
      <c r="I60" s="1031"/>
      <c r="J60" s="322"/>
      <c r="K60" s="1031"/>
      <c r="L60" s="347"/>
      <c r="M60" s="347"/>
      <c r="N60" s="347">
        <v>1000</v>
      </c>
      <c r="O60" s="334"/>
      <c r="P60" s="334"/>
      <c r="Q60" s="334">
        <v>19917.060000000001</v>
      </c>
      <c r="R60" s="347">
        <v>1000</v>
      </c>
      <c r="S60" s="347">
        <v>1000</v>
      </c>
      <c r="T60" s="347">
        <v>1000</v>
      </c>
      <c r="U60" s="346">
        <v>19917.060000000001</v>
      </c>
      <c r="V60" s="346">
        <v>19917.060000000001</v>
      </c>
      <c r="W60" s="346">
        <v>19917.060000000001</v>
      </c>
      <c r="X60" s="347">
        <v>1000</v>
      </c>
      <c r="Y60" s="347">
        <v>1000</v>
      </c>
      <c r="Z60" s="347">
        <v>1000</v>
      </c>
      <c r="AA60" s="346">
        <v>19917.060000000001</v>
      </c>
      <c r="AB60" s="346">
        <v>19917.060000000001</v>
      </c>
      <c r="AC60" s="346">
        <v>19917.060000000001</v>
      </c>
      <c r="AD60" s="347">
        <v>1000</v>
      </c>
      <c r="AE60" s="347">
        <v>1000</v>
      </c>
      <c r="AF60" s="347">
        <v>1000</v>
      </c>
      <c r="AG60" s="346">
        <v>19917.09</v>
      </c>
      <c r="AH60" s="346">
        <v>19917.09</v>
      </c>
      <c r="AI60" s="346">
        <v>19917.09</v>
      </c>
      <c r="AJ60" s="346">
        <f t="shared" si="34"/>
        <v>199170.69</v>
      </c>
      <c r="AK60" s="346">
        <v>30170.69</v>
      </c>
      <c r="AL60" s="346"/>
      <c r="AM60" s="346">
        <f>124000+25000+20000</f>
        <v>169000</v>
      </c>
      <c r="AN60" s="346"/>
      <c r="AO60" s="346"/>
      <c r="AP60" s="342" t="s">
        <v>1069</v>
      </c>
      <c r="AQ60" s="325" t="s">
        <v>1096</v>
      </c>
      <c r="AR60" s="325"/>
    </row>
    <row r="61" spans="1:46" ht="79.5" customHeight="1">
      <c r="A61" s="316" t="s">
        <v>44</v>
      </c>
      <c r="B61" s="316" t="s">
        <v>778</v>
      </c>
      <c r="C61" s="316" t="s">
        <v>1228</v>
      </c>
      <c r="D61" s="317" t="s">
        <v>1229</v>
      </c>
      <c r="E61" s="318"/>
      <c r="F61" s="317"/>
      <c r="G61" s="317"/>
      <c r="H61" s="319"/>
      <c r="I61" s="318">
        <v>23</v>
      </c>
      <c r="J61" s="318">
        <v>23</v>
      </c>
      <c r="K61" s="318"/>
      <c r="L61" s="318"/>
      <c r="M61" s="318"/>
      <c r="N61" s="318"/>
      <c r="O61" s="339"/>
      <c r="P61" s="339"/>
      <c r="Q61" s="339"/>
      <c r="R61" s="318"/>
      <c r="S61" s="318"/>
      <c r="T61" s="318"/>
      <c r="U61" s="340"/>
      <c r="V61" s="340"/>
      <c r="W61" s="340"/>
      <c r="X61" s="318"/>
      <c r="Y61" s="318"/>
      <c r="Z61" s="318"/>
      <c r="AA61" s="340">
        <f>SUM(AA62)</f>
        <v>624995</v>
      </c>
      <c r="AB61" s="340">
        <f t="shared" ref="AB61:AC61" si="41">SUM(AB62)</f>
        <v>424995</v>
      </c>
      <c r="AC61" s="340">
        <f t="shared" si="41"/>
        <v>424995</v>
      </c>
      <c r="AD61" s="318"/>
      <c r="AE61" s="318"/>
      <c r="AF61" s="318"/>
      <c r="AG61" s="340">
        <f>SUM(AG62)</f>
        <v>342550</v>
      </c>
      <c r="AH61" s="340"/>
      <c r="AI61" s="340">
        <f>+AI63</f>
        <v>7000</v>
      </c>
      <c r="AJ61" s="340">
        <f>SUM(AJ62:AJ63)</f>
        <v>1824535</v>
      </c>
      <c r="AK61" s="340">
        <f>SUM(AK62:AK63)</f>
        <v>209095</v>
      </c>
      <c r="AL61" s="340"/>
      <c r="AM61" s="340">
        <f>SUM(AM62:AM63)</f>
        <v>7000</v>
      </c>
      <c r="AN61" s="340"/>
      <c r="AO61" s="340">
        <f>SUM(AO62)</f>
        <v>1608440</v>
      </c>
      <c r="AP61" s="337"/>
      <c r="AQ61" s="337"/>
      <c r="AR61" s="337"/>
    </row>
    <row r="62" spans="1:46" ht="127.5" customHeight="1">
      <c r="A62" s="1044" t="s">
        <v>44</v>
      </c>
      <c r="B62" s="1044" t="s">
        <v>778</v>
      </c>
      <c r="C62" s="1044" t="s">
        <v>1230</v>
      </c>
      <c r="D62" s="1046" t="s">
        <v>1231</v>
      </c>
      <c r="E62" s="326">
        <f>SUM(L62,M62,N62,R62,S62,T62,X62,Y62,Z62,AD62,AE62,AF62)</f>
        <v>4</v>
      </c>
      <c r="F62" s="338" t="s">
        <v>92</v>
      </c>
      <c r="G62" s="335" t="s">
        <v>1232</v>
      </c>
      <c r="H62" s="709" t="s">
        <v>1233</v>
      </c>
      <c r="I62" s="1029">
        <v>100</v>
      </c>
      <c r="J62" s="322"/>
      <c r="K62" s="1029">
        <v>100</v>
      </c>
      <c r="L62" s="295"/>
      <c r="M62" s="295"/>
      <c r="N62" s="295"/>
      <c r="O62" s="323"/>
      <c r="P62" s="323"/>
      <c r="Q62" s="323"/>
      <c r="R62" s="295"/>
      <c r="S62" s="295"/>
      <c r="T62" s="295"/>
      <c r="U62" s="324"/>
      <c r="V62" s="324"/>
      <c r="W62" s="324"/>
      <c r="X62" s="295">
        <v>1</v>
      </c>
      <c r="Y62" s="295">
        <v>1</v>
      </c>
      <c r="Z62" s="295">
        <v>1</v>
      </c>
      <c r="AA62" s="324">
        <v>624995</v>
      </c>
      <c r="AB62" s="324">
        <v>424995</v>
      </c>
      <c r="AC62" s="324">
        <v>424995</v>
      </c>
      <c r="AD62" s="295">
        <v>1</v>
      </c>
      <c r="AE62" s="295"/>
      <c r="AF62" s="295"/>
      <c r="AG62" s="324">
        <v>342550</v>
      </c>
      <c r="AH62" s="324"/>
      <c r="AI62" s="324"/>
      <c r="AJ62" s="346">
        <f>SUM(O62,P62,Q62,U62,V62,W62,AA62,AB62,AC62,AG62,AH62,AI62)</f>
        <v>1817535</v>
      </c>
      <c r="AK62" s="324">
        <v>209095</v>
      </c>
      <c r="AL62" s="324"/>
      <c r="AM62" s="324"/>
      <c r="AN62" s="324"/>
      <c r="AO62" s="324">
        <f>+AJ62-AK62</f>
        <v>1608440</v>
      </c>
      <c r="AP62" s="325" t="s">
        <v>1069</v>
      </c>
      <c r="AQ62" s="325" t="s">
        <v>1234</v>
      </c>
      <c r="AR62" s="325" t="s">
        <v>1235</v>
      </c>
    </row>
    <row r="63" spans="1:46" ht="116.25" customHeight="1">
      <c r="A63" s="1045"/>
      <c r="B63" s="1045"/>
      <c r="C63" s="1045"/>
      <c r="D63" s="1047"/>
      <c r="E63" s="326">
        <f>SUM(L63,M63,N63,R63,S63,T63,X63,Y63,Z63,AD63,AE63,AF63)</f>
        <v>2</v>
      </c>
      <c r="F63" s="338" t="s">
        <v>92</v>
      </c>
      <c r="G63" s="335" t="s">
        <v>1236</v>
      </c>
      <c r="H63" s="709" t="s">
        <v>1237</v>
      </c>
      <c r="I63" s="1031"/>
      <c r="J63" s="322"/>
      <c r="K63" s="1031"/>
      <c r="L63" s="295"/>
      <c r="M63" s="295"/>
      <c r="N63" s="295"/>
      <c r="O63" s="323"/>
      <c r="P63" s="323"/>
      <c r="Q63" s="323"/>
      <c r="R63" s="295"/>
      <c r="S63" s="295"/>
      <c r="T63" s="295"/>
      <c r="U63" s="324"/>
      <c r="V63" s="324"/>
      <c r="W63" s="324"/>
      <c r="X63" s="295"/>
      <c r="Y63" s="295"/>
      <c r="Z63" s="295"/>
      <c r="AA63" s="324"/>
      <c r="AB63" s="324"/>
      <c r="AC63" s="324"/>
      <c r="AD63" s="295"/>
      <c r="AE63" s="295"/>
      <c r="AF63" s="295">
        <v>2</v>
      </c>
      <c r="AG63" s="324"/>
      <c r="AH63" s="324"/>
      <c r="AI63" s="324">
        <v>7000</v>
      </c>
      <c r="AJ63" s="346">
        <f>SUM(O63,P63,Q63,U63,V63,W63,AA63,AB63,AC63,AG63,AH63,AI63)</f>
        <v>7000</v>
      </c>
      <c r="AK63" s="324"/>
      <c r="AL63" s="324"/>
      <c r="AM63" s="324">
        <v>7000</v>
      </c>
      <c r="AN63" s="324"/>
      <c r="AO63" s="324"/>
      <c r="AP63" s="325" t="s">
        <v>1069</v>
      </c>
      <c r="AQ63" s="325"/>
      <c r="AR63" s="325" t="s">
        <v>1238</v>
      </c>
    </row>
    <row r="64" spans="1:46" ht="31.5">
      <c r="A64" s="316" t="s">
        <v>1239</v>
      </c>
      <c r="B64" s="316" t="s">
        <v>1240</v>
      </c>
      <c r="C64" s="316" t="s">
        <v>1241</v>
      </c>
      <c r="D64" s="317" t="s">
        <v>1242</v>
      </c>
      <c r="E64" s="318"/>
      <c r="F64" s="317"/>
      <c r="G64" s="317"/>
      <c r="H64" s="319"/>
      <c r="I64" s="318">
        <v>19</v>
      </c>
      <c r="J64" s="318">
        <v>19</v>
      </c>
      <c r="K64" s="318"/>
      <c r="L64" s="266"/>
      <c r="M64" s="266"/>
      <c r="N64" s="266"/>
      <c r="O64" s="320"/>
      <c r="P64" s="320"/>
      <c r="Q64" s="320"/>
      <c r="R64" s="266"/>
      <c r="S64" s="266"/>
      <c r="T64" s="266"/>
      <c r="U64" s="341"/>
      <c r="V64" s="341"/>
      <c r="W64" s="341"/>
      <c r="X64" s="266"/>
      <c r="Y64" s="266"/>
      <c r="Z64" s="266"/>
      <c r="AA64" s="341"/>
      <c r="AB64" s="341"/>
      <c r="AC64" s="341"/>
      <c r="AD64" s="266"/>
      <c r="AE64" s="266"/>
      <c r="AF64" s="266"/>
      <c r="AG64" s="341">
        <f>SUM(AG65:AG66)</f>
        <v>121410.57</v>
      </c>
      <c r="AH64" s="341">
        <f t="shared" ref="AH64:AO64" si="42">SUM(AH65:AH66)</f>
        <v>121410.57</v>
      </c>
      <c r="AI64" s="341">
        <f t="shared" si="42"/>
        <v>1203072.1300000001</v>
      </c>
      <c r="AJ64" s="341">
        <f t="shared" si="42"/>
        <v>1445893.27</v>
      </c>
      <c r="AK64" s="341">
        <f t="shared" si="42"/>
        <v>86400.93</v>
      </c>
      <c r="AL64" s="341"/>
      <c r="AM64" s="341">
        <f t="shared" si="42"/>
        <v>277830.78000000003</v>
      </c>
      <c r="AN64" s="341"/>
      <c r="AO64" s="341">
        <f t="shared" si="42"/>
        <v>1081661.56</v>
      </c>
      <c r="AP64" s="317"/>
      <c r="AQ64" s="317"/>
      <c r="AR64" s="317"/>
    </row>
    <row r="65" spans="1:44" ht="83.25" customHeight="1">
      <c r="A65" s="327" t="s">
        <v>1239</v>
      </c>
      <c r="B65" s="327" t="s">
        <v>1240</v>
      </c>
      <c r="C65" s="327" t="s">
        <v>1243</v>
      </c>
      <c r="D65" s="325" t="s">
        <v>1244</v>
      </c>
      <c r="E65" s="326">
        <f>SUM(L65,M65,N65,R65,S65,T65,X65,Y65,Z65,AD65,AE65,AF65)</f>
        <v>1</v>
      </c>
      <c r="F65" s="740" t="s">
        <v>692</v>
      </c>
      <c r="G65" s="342" t="s">
        <v>1245</v>
      </c>
      <c r="H65" s="709" t="s">
        <v>1246</v>
      </c>
      <c r="I65" s="321">
        <v>75</v>
      </c>
      <c r="J65" s="322"/>
      <c r="K65" s="321">
        <v>75</v>
      </c>
      <c r="L65" s="347"/>
      <c r="M65" s="347"/>
      <c r="N65" s="347"/>
      <c r="O65" s="334"/>
      <c r="P65" s="334"/>
      <c r="Q65" s="334"/>
      <c r="R65" s="347"/>
      <c r="S65" s="347"/>
      <c r="T65" s="347"/>
      <c r="U65" s="346"/>
      <c r="V65" s="346"/>
      <c r="W65" s="346"/>
      <c r="X65" s="347"/>
      <c r="Y65" s="347"/>
      <c r="Z65" s="347"/>
      <c r="AA65" s="346"/>
      <c r="AB65" s="346"/>
      <c r="AC65" s="346"/>
      <c r="AD65" s="347"/>
      <c r="AE65" s="347"/>
      <c r="AF65" s="347">
        <v>1</v>
      </c>
      <c r="AG65" s="346"/>
      <c r="AH65" s="346"/>
      <c r="AI65" s="346">
        <v>1081661.56</v>
      </c>
      <c r="AJ65" s="346">
        <f t="shared" ref="AJ65:AJ66" si="43">SUM(O65,P65,Q65,U65,V65,W65,AA65,AB65,AC65,AG65,AH65,AI65)</f>
        <v>1081661.56</v>
      </c>
      <c r="AK65" s="346"/>
      <c r="AL65" s="346"/>
      <c r="AM65" s="346"/>
      <c r="AN65" s="346"/>
      <c r="AO65" s="346">
        <f>AJ65</f>
        <v>1081661.56</v>
      </c>
      <c r="AP65" s="342" t="s">
        <v>1247</v>
      </c>
      <c r="AQ65" s="325" t="s">
        <v>1248</v>
      </c>
      <c r="AR65" s="325" t="s">
        <v>1249</v>
      </c>
    </row>
    <row r="66" spans="1:44" ht="112.5" customHeight="1">
      <c r="A66" s="327" t="s">
        <v>1239</v>
      </c>
      <c r="B66" s="327" t="s">
        <v>1240</v>
      </c>
      <c r="C66" s="327" t="s">
        <v>1250</v>
      </c>
      <c r="D66" s="325" t="s">
        <v>1251</v>
      </c>
      <c r="E66" s="326">
        <f>SUM(L66,M66,N66,R66,S66,T66,X66,Y66,Z66,AD66,AE66,AF66)</f>
        <v>3</v>
      </c>
      <c r="F66" s="338" t="s">
        <v>455</v>
      </c>
      <c r="G66" s="335" t="s">
        <v>1252</v>
      </c>
      <c r="H66" s="709" t="s">
        <v>1253</v>
      </c>
      <c r="I66" s="321">
        <v>25</v>
      </c>
      <c r="J66" s="322"/>
      <c r="K66" s="321">
        <v>25</v>
      </c>
      <c r="L66" s="295"/>
      <c r="M66" s="295"/>
      <c r="N66" s="295"/>
      <c r="O66" s="323"/>
      <c r="P66" s="323"/>
      <c r="Q66" s="323"/>
      <c r="R66" s="295"/>
      <c r="S66" s="295"/>
      <c r="T66" s="295"/>
      <c r="U66" s="324"/>
      <c r="V66" s="324"/>
      <c r="W66" s="324"/>
      <c r="X66" s="295"/>
      <c r="Y66" s="295"/>
      <c r="Z66" s="295"/>
      <c r="AA66" s="324"/>
      <c r="AB66" s="324"/>
      <c r="AC66" s="324"/>
      <c r="AD66" s="295">
        <v>1</v>
      </c>
      <c r="AE66" s="295">
        <v>1</v>
      </c>
      <c r="AF66" s="295">
        <v>1</v>
      </c>
      <c r="AG66" s="324">
        <v>121410.57</v>
      </c>
      <c r="AH66" s="324">
        <v>121410.57</v>
      </c>
      <c r="AI66" s="324">
        <v>121410.57</v>
      </c>
      <c r="AJ66" s="346">
        <f t="shared" si="43"/>
        <v>364231.71</v>
      </c>
      <c r="AK66" s="324">
        <v>86400.93</v>
      </c>
      <c r="AL66" s="324"/>
      <c r="AM66" s="324">
        <v>277830.78000000003</v>
      </c>
      <c r="AN66" s="324"/>
      <c r="AO66" s="324"/>
      <c r="AP66" s="325"/>
      <c r="AQ66" s="325" t="s">
        <v>1248</v>
      </c>
      <c r="AR66" s="325"/>
    </row>
    <row r="67" spans="1:44" ht="103.5" customHeight="1">
      <c r="A67" s="316" t="s">
        <v>1239</v>
      </c>
      <c r="B67" s="316" t="s">
        <v>1254</v>
      </c>
      <c r="C67" s="316" t="s">
        <v>1255</v>
      </c>
      <c r="D67" s="317" t="s">
        <v>1256</v>
      </c>
      <c r="E67" s="318"/>
      <c r="F67" s="317"/>
      <c r="G67" s="317"/>
      <c r="H67" s="319"/>
      <c r="I67" s="318">
        <v>1</v>
      </c>
      <c r="J67" s="318">
        <v>1</v>
      </c>
      <c r="K67" s="318"/>
      <c r="L67" s="318"/>
      <c r="M67" s="318"/>
      <c r="N67" s="318"/>
      <c r="O67" s="339"/>
      <c r="P67" s="339">
        <f>SUM(P68)</f>
        <v>833.32</v>
      </c>
      <c r="Q67" s="339">
        <f>SUM(Q68)</f>
        <v>416.82</v>
      </c>
      <c r="R67" s="318"/>
      <c r="S67" s="318"/>
      <c r="T67" s="318"/>
      <c r="U67" s="340"/>
      <c r="V67" s="339">
        <f t="shared" ref="V67:W67" si="44">SUM(V68)</f>
        <v>1249.98</v>
      </c>
      <c r="W67" s="339">
        <f t="shared" si="44"/>
        <v>833.32</v>
      </c>
      <c r="X67" s="318"/>
      <c r="Y67" s="318"/>
      <c r="Z67" s="318"/>
      <c r="AA67" s="339">
        <f t="shared" ref="AA67:AC67" si="45">SUM(AA68)</f>
        <v>833.32</v>
      </c>
      <c r="AB67" s="339">
        <f t="shared" si="45"/>
        <v>1249.98</v>
      </c>
      <c r="AC67" s="339">
        <f t="shared" si="45"/>
        <v>833.32</v>
      </c>
      <c r="AD67" s="318"/>
      <c r="AE67" s="318"/>
      <c r="AF67" s="318"/>
      <c r="AG67" s="339">
        <f t="shared" ref="AG67:AK67" si="46">SUM(AG68)</f>
        <v>1249.98</v>
      </c>
      <c r="AH67" s="339">
        <f t="shared" si="46"/>
        <v>1249.98</v>
      </c>
      <c r="AI67" s="339">
        <f t="shared" si="46"/>
        <v>1249.98</v>
      </c>
      <c r="AJ67" s="339">
        <f t="shared" si="46"/>
        <v>9999.9999999999982</v>
      </c>
      <c r="AK67" s="339">
        <f t="shared" si="46"/>
        <v>5000</v>
      </c>
      <c r="AL67" s="340"/>
      <c r="AM67" s="339">
        <f>SUM(AM68)</f>
        <v>5000</v>
      </c>
      <c r="AN67" s="340"/>
      <c r="AO67" s="340"/>
      <c r="AP67" s="337"/>
      <c r="AQ67" s="337" t="s">
        <v>1257</v>
      </c>
      <c r="AR67" s="337"/>
    </row>
    <row r="68" spans="1:44" ht="134.25" customHeight="1">
      <c r="A68" s="327" t="s">
        <v>1239</v>
      </c>
      <c r="B68" s="327" t="s">
        <v>1254</v>
      </c>
      <c r="C68" s="327" t="s">
        <v>1258</v>
      </c>
      <c r="D68" s="325" t="s">
        <v>1259</v>
      </c>
      <c r="E68" s="326">
        <f>SUM(L68,M68,N68,R68,S68,T68,X68,Y68,Z68,AD68,AE68,AF68)</f>
        <v>24</v>
      </c>
      <c r="F68" s="338" t="s">
        <v>171</v>
      </c>
      <c r="G68" s="335" t="s">
        <v>1260</v>
      </c>
      <c r="H68" s="709" t="s">
        <v>1261</v>
      </c>
      <c r="I68" s="321">
        <v>100</v>
      </c>
      <c r="J68" s="322"/>
      <c r="K68" s="321">
        <v>100</v>
      </c>
      <c r="L68" s="295"/>
      <c r="M68" s="295">
        <v>2</v>
      </c>
      <c r="N68" s="295">
        <v>1</v>
      </c>
      <c r="O68" s="323"/>
      <c r="P68" s="323">
        <v>833.32</v>
      </c>
      <c r="Q68" s="323">
        <v>416.82</v>
      </c>
      <c r="R68" s="295"/>
      <c r="S68" s="295">
        <v>3</v>
      </c>
      <c r="T68" s="295">
        <v>2</v>
      </c>
      <c r="U68" s="324"/>
      <c r="V68" s="324">
        <v>1249.98</v>
      </c>
      <c r="W68" s="324">
        <v>833.32</v>
      </c>
      <c r="X68" s="295">
        <v>2</v>
      </c>
      <c r="Y68" s="295">
        <v>3</v>
      </c>
      <c r="Z68" s="295">
        <v>2</v>
      </c>
      <c r="AA68" s="324">
        <v>833.32</v>
      </c>
      <c r="AB68" s="324">
        <v>1249.98</v>
      </c>
      <c r="AC68" s="324">
        <v>833.32</v>
      </c>
      <c r="AD68" s="295">
        <v>3</v>
      </c>
      <c r="AE68" s="295">
        <v>3</v>
      </c>
      <c r="AF68" s="295">
        <v>3</v>
      </c>
      <c r="AG68" s="324">
        <v>1249.98</v>
      </c>
      <c r="AH68" s="324">
        <v>1249.98</v>
      </c>
      <c r="AI68" s="324">
        <v>1249.98</v>
      </c>
      <c r="AJ68" s="346">
        <f>SUM(O68,P68,Q68,U68,V68,W68,AA68,AB68,AC68,AG68,AH68,AI68)</f>
        <v>9999.9999999999982</v>
      </c>
      <c r="AK68" s="324">
        <v>5000</v>
      </c>
      <c r="AL68" s="324"/>
      <c r="AM68" s="324">
        <v>5000</v>
      </c>
      <c r="AN68" s="324"/>
      <c r="AO68" s="324"/>
      <c r="AP68" s="325" t="s">
        <v>1069</v>
      </c>
      <c r="AQ68" s="325" t="s">
        <v>1262</v>
      </c>
      <c r="AR68" s="325"/>
    </row>
    <row r="69" spans="1:44" ht="123.75" customHeight="1">
      <c r="A69" s="316" t="s">
        <v>138</v>
      </c>
      <c r="B69" s="316" t="s">
        <v>139</v>
      </c>
      <c r="C69" s="316" t="s">
        <v>1263</v>
      </c>
      <c r="D69" s="317" t="s">
        <v>1264</v>
      </c>
      <c r="E69" s="318"/>
      <c r="F69" s="317"/>
      <c r="G69" s="317"/>
      <c r="H69" s="319"/>
      <c r="I69" s="318">
        <v>1</v>
      </c>
      <c r="J69" s="318">
        <v>1</v>
      </c>
      <c r="K69" s="318"/>
      <c r="L69" s="318"/>
      <c r="M69" s="318"/>
      <c r="N69" s="318"/>
      <c r="O69" s="339"/>
      <c r="P69" s="339"/>
      <c r="Q69" s="339">
        <f>SUM(Q70:Q72)</f>
        <v>9877.5</v>
      </c>
      <c r="R69" s="318"/>
      <c r="S69" s="318"/>
      <c r="T69" s="318"/>
      <c r="U69" s="339">
        <f t="shared" ref="U69:W69" si="47">SUM(U70:U72)</f>
        <v>15000</v>
      </c>
      <c r="V69" s="339"/>
      <c r="W69" s="339">
        <f t="shared" si="47"/>
        <v>9877.5</v>
      </c>
      <c r="X69" s="318"/>
      <c r="Y69" s="318"/>
      <c r="Z69" s="318"/>
      <c r="AA69" s="339"/>
      <c r="AB69" s="339"/>
      <c r="AC69" s="339">
        <f t="shared" ref="AC69" si="48">SUM(AC70:AC72)</f>
        <v>9877.5</v>
      </c>
      <c r="AD69" s="318"/>
      <c r="AE69" s="318"/>
      <c r="AF69" s="318"/>
      <c r="AG69" s="339">
        <f t="shared" ref="AG69:AM69" si="49">SUM(AG70:AG72)</f>
        <v>0</v>
      </c>
      <c r="AH69" s="339"/>
      <c r="AI69" s="339">
        <f t="shared" si="49"/>
        <v>33577.5</v>
      </c>
      <c r="AJ69" s="339">
        <f t="shared" si="49"/>
        <v>78210</v>
      </c>
      <c r="AK69" s="339">
        <f t="shared" si="49"/>
        <v>34150</v>
      </c>
      <c r="AL69" s="339"/>
      <c r="AM69" s="339">
        <f t="shared" si="49"/>
        <v>44060</v>
      </c>
      <c r="AN69" s="339"/>
      <c r="AO69" s="339"/>
      <c r="AP69" s="337"/>
      <c r="AQ69" s="337"/>
      <c r="AR69" s="317"/>
    </row>
    <row r="70" spans="1:44" ht="86.25" customHeight="1">
      <c r="A70" s="327" t="s">
        <v>138</v>
      </c>
      <c r="B70" s="327" t="s">
        <v>139</v>
      </c>
      <c r="C70" s="327" t="s">
        <v>1265</v>
      </c>
      <c r="D70" s="325" t="s">
        <v>1266</v>
      </c>
      <c r="E70" s="326">
        <f>SUM(L70,M70,N70,R70,S70,T70,X70,Y70,Z70,AD70,AE70,AF70)</f>
        <v>1</v>
      </c>
      <c r="F70" s="338" t="s">
        <v>455</v>
      </c>
      <c r="G70" s="335" t="s">
        <v>1267</v>
      </c>
      <c r="H70" s="335" t="s">
        <v>1068</v>
      </c>
      <c r="I70" s="321">
        <v>30</v>
      </c>
      <c r="J70" s="322"/>
      <c r="K70" s="321">
        <v>30</v>
      </c>
      <c r="L70" s="294"/>
      <c r="M70" s="294"/>
      <c r="N70" s="294"/>
      <c r="O70" s="323"/>
      <c r="P70" s="323"/>
      <c r="Q70" s="323"/>
      <c r="R70" s="294"/>
      <c r="S70" s="294"/>
      <c r="T70" s="294"/>
      <c r="U70" s="324"/>
      <c r="V70" s="324"/>
      <c r="W70" s="324"/>
      <c r="X70" s="294"/>
      <c r="Y70" s="294"/>
      <c r="Z70" s="294"/>
      <c r="AA70" s="324"/>
      <c r="AB70" s="324"/>
      <c r="AC70" s="324"/>
      <c r="AD70" s="294"/>
      <c r="AE70" s="294"/>
      <c r="AF70" s="294">
        <v>1</v>
      </c>
      <c r="AG70" s="324"/>
      <c r="AH70" s="324"/>
      <c r="AI70" s="324">
        <v>23700</v>
      </c>
      <c r="AJ70" s="346">
        <f t="shared" ref="AJ70:AJ72" si="50">SUM(O70,P70,Q70,U70,V70,W70,AA70,AB70,AC70,AG70,AH70,AI70)</f>
        <v>23700</v>
      </c>
      <c r="AK70" s="324">
        <v>11000</v>
      </c>
      <c r="AL70" s="324"/>
      <c r="AM70" s="324">
        <v>12700</v>
      </c>
      <c r="AN70" s="324"/>
      <c r="AO70" s="324"/>
      <c r="AP70" s="325" t="s">
        <v>1170</v>
      </c>
      <c r="AQ70" s="325" t="s">
        <v>1070</v>
      </c>
      <c r="AR70" s="325"/>
    </row>
    <row r="71" spans="1:44" ht="62.25" customHeight="1">
      <c r="A71" s="327" t="s">
        <v>138</v>
      </c>
      <c r="B71" s="327" t="s">
        <v>139</v>
      </c>
      <c r="C71" s="327" t="s">
        <v>1268</v>
      </c>
      <c r="D71" s="325" t="s">
        <v>1269</v>
      </c>
      <c r="E71" s="326">
        <f>MAX(L71,M71,N71,R71,S71,T71,X71,Y71,Z71,AD71,AE71,AF71)</f>
        <v>24</v>
      </c>
      <c r="F71" s="338" t="s">
        <v>239</v>
      </c>
      <c r="G71" s="335" t="s">
        <v>1270</v>
      </c>
      <c r="H71" s="335" t="s">
        <v>1068</v>
      </c>
      <c r="I71" s="321">
        <v>51</v>
      </c>
      <c r="J71" s="322"/>
      <c r="K71" s="321">
        <v>51</v>
      </c>
      <c r="L71" s="294"/>
      <c r="M71" s="294"/>
      <c r="N71" s="294">
        <v>24</v>
      </c>
      <c r="O71" s="323"/>
      <c r="P71" s="323"/>
      <c r="Q71" s="323">
        <v>9877.5</v>
      </c>
      <c r="R71" s="294"/>
      <c r="S71" s="294"/>
      <c r="T71" s="294">
        <v>24</v>
      </c>
      <c r="U71" s="324"/>
      <c r="V71" s="324"/>
      <c r="W71" s="324">
        <v>9877.5</v>
      </c>
      <c r="X71" s="294"/>
      <c r="Y71" s="294"/>
      <c r="Z71" s="294">
        <v>24</v>
      </c>
      <c r="AA71" s="324"/>
      <c r="AB71" s="324"/>
      <c r="AC71" s="324">
        <v>9877.5</v>
      </c>
      <c r="AD71" s="294"/>
      <c r="AE71" s="294"/>
      <c r="AF71" s="294">
        <v>24</v>
      </c>
      <c r="AG71" s="324"/>
      <c r="AH71" s="324"/>
      <c r="AI71" s="324">
        <v>9877.5</v>
      </c>
      <c r="AJ71" s="346">
        <f t="shared" si="50"/>
        <v>39510</v>
      </c>
      <c r="AK71" s="324">
        <v>18150</v>
      </c>
      <c r="AL71" s="324"/>
      <c r="AM71" s="324">
        <v>21360</v>
      </c>
      <c r="AN71" s="324"/>
      <c r="AO71" s="324"/>
      <c r="AP71" s="325" t="s">
        <v>1170</v>
      </c>
      <c r="AQ71" s="325" t="s">
        <v>1070</v>
      </c>
      <c r="AR71" s="325" t="s">
        <v>1071</v>
      </c>
    </row>
    <row r="72" spans="1:44" ht="105" customHeight="1">
      <c r="A72" s="327" t="s">
        <v>138</v>
      </c>
      <c r="B72" s="327" t="s">
        <v>139</v>
      </c>
      <c r="C72" s="327" t="s">
        <v>1271</v>
      </c>
      <c r="D72" s="325" t="s">
        <v>1272</v>
      </c>
      <c r="E72" s="326">
        <f>SUM(L72,M72,N72,R72,S72,T72,X72,Y72,Z72,AD72,AE72,AF72)</f>
        <v>5</v>
      </c>
      <c r="F72" s="338" t="s">
        <v>1273</v>
      </c>
      <c r="G72" s="343" t="s">
        <v>1274</v>
      </c>
      <c r="H72" s="344" t="s">
        <v>1275</v>
      </c>
      <c r="I72" s="321">
        <v>19</v>
      </c>
      <c r="J72" s="322"/>
      <c r="K72" s="321">
        <v>19</v>
      </c>
      <c r="L72" s="295"/>
      <c r="M72" s="295"/>
      <c r="N72" s="295"/>
      <c r="O72" s="323"/>
      <c r="P72" s="323"/>
      <c r="Q72" s="323"/>
      <c r="R72" s="295"/>
      <c r="S72" s="295">
        <v>5</v>
      </c>
      <c r="T72" s="295"/>
      <c r="U72" s="324">
        <v>15000</v>
      </c>
      <c r="V72" s="324"/>
      <c r="W72" s="324"/>
      <c r="X72" s="295"/>
      <c r="Y72" s="295"/>
      <c r="Z72" s="295"/>
      <c r="AA72" s="324"/>
      <c r="AB72" s="324"/>
      <c r="AC72" s="324"/>
      <c r="AD72" s="295"/>
      <c r="AE72" s="295"/>
      <c r="AF72" s="295"/>
      <c r="AG72" s="324"/>
      <c r="AH72" s="324"/>
      <c r="AI72" s="324"/>
      <c r="AJ72" s="346">
        <f t="shared" si="50"/>
        <v>15000</v>
      </c>
      <c r="AK72" s="324">
        <v>5000</v>
      </c>
      <c r="AL72" s="324"/>
      <c r="AM72" s="324">
        <v>10000</v>
      </c>
      <c r="AN72" s="324"/>
      <c r="AO72" s="324"/>
      <c r="AP72" s="325" t="s">
        <v>1276</v>
      </c>
      <c r="AQ72" s="325" t="s">
        <v>1096</v>
      </c>
      <c r="AR72" s="325"/>
    </row>
    <row r="73" spans="1:44" ht="63.75" customHeight="1">
      <c r="A73" s="316" t="s">
        <v>138</v>
      </c>
      <c r="B73" s="316" t="s">
        <v>139</v>
      </c>
      <c r="C73" s="316" t="s">
        <v>1277</v>
      </c>
      <c r="D73" s="317" t="s">
        <v>1278</v>
      </c>
      <c r="E73" s="318"/>
      <c r="F73" s="317"/>
      <c r="G73" s="317"/>
      <c r="H73" s="319"/>
      <c r="I73" s="318">
        <v>6</v>
      </c>
      <c r="J73" s="318">
        <v>6</v>
      </c>
      <c r="K73" s="318"/>
      <c r="L73" s="345"/>
      <c r="M73" s="345"/>
      <c r="N73" s="345"/>
      <c r="O73" s="320">
        <f>SUM(O74:O87)</f>
        <v>17682.580000000002</v>
      </c>
      <c r="P73" s="320">
        <f t="shared" ref="P73:Q73" si="51">SUM(P74:P87)</f>
        <v>35228.810000000005</v>
      </c>
      <c r="Q73" s="320">
        <f t="shared" si="51"/>
        <v>40812.80000000001</v>
      </c>
      <c r="R73" s="345"/>
      <c r="S73" s="345"/>
      <c r="T73" s="345"/>
      <c r="U73" s="320">
        <f t="shared" ref="U73:W73" si="52">SUM(U74:U87)</f>
        <v>31299.25</v>
      </c>
      <c r="V73" s="320">
        <f t="shared" si="52"/>
        <v>94316.81</v>
      </c>
      <c r="W73" s="320">
        <f t="shared" si="52"/>
        <v>35228.810000000005</v>
      </c>
      <c r="X73" s="345"/>
      <c r="Y73" s="345"/>
      <c r="Z73" s="345"/>
      <c r="AA73" s="320">
        <f t="shared" ref="AA73:AC73" si="53">SUM(AA74:AA87)</f>
        <v>40812.810000000005</v>
      </c>
      <c r="AB73" s="320">
        <f t="shared" si="53"/>
        <v>31299.21</v>
      </c>
      <c r="AC73" s="320">
        <f t="shared" si="53"/>
        <v>40812.810000000005</v>
      </c>
      <c r="AD73" s="345"/>
      <c r="AE73" s="345"/>
      <c r="AF73" s="345"/>
      <c r="AG73" s="320">
        <f t="shared" ref="AG73:AM73" si="54">SUM(AG74:AG87)</f>
        <v>35228.850000000006</v>
      </c>
      <c r="AH73" s="320">
        <f t="shared" si="54"/>
        <v>40812.86</v>
      </c>
      <c r="AI73" s="320">
        <f t="shared" si="54"/>
        <v>31305.760000000002</v>
      </c>
      <c r="AJ73" s="320">
        <f t="shared" si="54"/>
        <v>474841.35999999993</v>
      </c>
      <c r="AK73" s="320">
        <f t="shared" si="54"/>
        <v>201082.62000000002</v>
      </c>
      <c r="AL73" s="320"/>
      <c r="AM73" s="320">
        <f t="shared" si="54"/>
        <v>273758.74</v>
      </c>
      <c r="AN73" s="320"/>
      <c r="AO73" s="320"/>
      <c r="AP73" s="317"/>
      <c r="AQ73" s="317"/>
      <c r="AR73" s="317"/>
    </row>
    <row r="74" spans="1:44" ht="42" customHeight="1">
      <c r="A74" s="1044" t="s">
        <v>138</v>
      </c>
      <c r="B74" s="1044" t="s">
        <v>139</v>
      </c>
      <c r="C74" s="1044" t="s">
        <v>1279</v>
      </c>
      <c r="D74" s="1046" t="s">
        <v>1280</v>
      </c>
      <c r="E74" s="326">
        <f t="shared" ref="E74:E84" si="55">SUM(L74,M74,N74,R74,S74,T74,X74,Y74,Z74,AD74,AE74,AF74)</f>
        <v>750</v>
      </c>
      <c r="F74" s="338" t="s">
        <v>131</v>
      </c>
      <c r="G74" s="1048" t="s">
        <v>1281</v>
      </c>
      <c r="H74" s="1034" t="s">
        <v>1282</v>
      </c>
      <c r="I74" s="1029">
        <v>11</v>
      </c>
      <c r="J74" s="322"/>
      <c r="K74" s="1029">
        <v>11</v>
      </c>
      <c r="L74" s="347"/>
      <c r="M74" s="347"/>
      <c r="N74" s="347"/>
      <c r="O74" s="334"/>
      <c r="P74" s="334"/>
      <c r="Q74" s="334"/>
      <c r="R74" s="347"/>
      <c r="S74" s="347">
        <v>750</v>
      </c>
      <c r="T74" s="347"/>
      <c r="U74" s="346"/>
      <c r="V74" s="346">
        <v>48640</v>
      </c>
      <c r="W74" s="346"/>
      <c r="X74" s="347"/>
      <c r="Y74" s="347"/>
      <c r="Z74" s="347"/>
      <c r="AA74" s="346"/>
      <c r="AB74" s="346"/>
      <c r="AC74" s="346"/>
      <c r="AD74" s="347"/>
      <c r="AE74" s="347"/>
      <c r="AF74" s="347"/>
      <c r="AG74" s="346"/>
      <c r="AH74" s="346"/>
      <c r="AI74" s="346"/>
      <c r="AJ74" s="346">
        <f t="shared" ref="AJ74:AJ87" si="56">SUM(O74,P74,Q74,U74,V74,W74,AA74,AB74,AC74,AG74,AH74,AI74)</f>
        <v>48640</v>
      </c>
      <c r="AK74" s="346">
        <v>22280</v>
      </c>
      <c r="AL74" s="346"/>
      <c r="AM74" s="346">
        <v>26360</v>
      </c>
      <c r="AN74" s="346"/>
      <c r="AO74" s="346"/>
      <c r="AP74" s="1036" t="s">
        <v>1283</v>
      </c>
      <c r="AQ74" s="325" t="s">
        <v>1070</v>
      </c>
      <c r="AR74" s="325"/>
    </row>
    <row r="75" spans="1:44" ht="42" customHeight="1">
      <c r="A75" s="1045"/>
      <c r="B75" s="1045"/>
      <c r="C75" s="1045"/>
      <c r="D75" s="1047"/>
      <c r="E75" s="326">
        <f t="shared" si="55"/>
        <v>75</v>
      </c>
      <c r="F75" s="338" t="s">
        <v>134</v>
      </c>
      <c r="G75" s="1049"/>
      <c r="H75" s="1035"/>
      <c r="I75" s="1031"/>
      <c r="J75" s="322"/>
      <c r="K75" s="1031"/>
      <c r="L75" s="347"/>
      <c r="M75" s="347"/>
      <c r="N75" s="347"/>
      <c r="O75" s="334"/>
      <c r="P75" s="334"/>
      <c r="Q75" s="334"/>
      <c r="R75" s="347"/>
      <c r="S75" s="347">
        <v>75</v>
      </c>
      <c r="T75" s="347"/>
      <c r="U75" s="346"/>
      <c r="V75" s="346">
        <v>4864</v>
      </c>
      <c r="W75" s="346"/>
      <c r="X75" s="347"/>
      <c r="Y75" s="347"/>
      <c r="Z75" s="347"/>
      <c r="AA75" s="346"/>
      <c r="AB75" s="346"/>
      <c r="AC75" s="346"/>
      <c r="AD75" s="347"/>
      <c r="AE75" s="347"/>
      <c r="AF75" s="347"/>
      <c r="AG75" s="346"/>
      <c r="AH75" s="346"/>
      <c r="AI75" s="346"/>
      <c r="AJ75" s="346">
        <f t="shared" si="56"/>
        <v>4864</v>
      </c>
      <c r="AK75" s="346">
        <v>2228</v>
      </c>
      <c r="AL75" s="346"/>
      <c r="AM75" s="346">
        <v>2636</v>
      </c>
      <c r="AN75" s="346"/>
      <c r="AO75" s="346"/>
      <c r="AP75" s="1037"/>
      <c r="AQ75" s="325" t="s">
        <v>1070</v>
      </c>
      <c r="AR75" s="325"/>
    </row>
    <row r="76" spans="1:44" ht="74.25" customHeight="1">
      <c r="A76" s="1044" t="s">
        <v>138</v>
      </c>
      <c r="B76" s="1044" t="s">
        <v>139</v>
      </c>
      <c r="C76" s="1044" t="s">
        <v>1284</v>
      </c>
      <c r="D76" s="1046" t="s">
        <v>1285</v>
      </c>
      <c r="E76" s="326">
        <f t="shared" si="55"/>
        <v>985</v>
      </c>
      <c r="F76" s="338" t="s">
        <v>131</v>
      </c>
      <c r="G76" s="1048" t="s">
        <v>1286</v>
      </c>
      <c r="H76" s="1034" t="s">
        <v>1287</v>
      </c>
      <c r="I76" s="1029">
        <v>18</v>
      </c>
      <c r="J76" s="322"/>
      <c r="K76" s="1029">
        <v>18</v>
      </c>
      <c r="L76" s="347"/>
      <c r="M76" s="347">
        <v>95</v>
      </c>
      <c r="N76" s="347">
        <v>95</v>
      </c>
      <c r="O76" s="334"/>
      <c r="P76" s="334">
        <v>7509.75</v>
      </c>
      <c r="Q76" s="334">
        <v>7509.75</v>
      </c>
      <c r="R76" s="347">
        <v>75</v>
      </c>
      <c r="S76" s="347">
        <v>95</v>
      </c>
      <c r="T76" s="347">
        <v>95</v>
      </c>
      <c r="U76" s="346">
        <v>5928.75</v>
      </c>
      <c r="V76" s="346">
        <v>7509.75</v>
      </c>
      <c r="W76" s="346">
        <v>7509.75</v>
      </c>
      <c r="X76" s="347">
        <v>95</v>
      </c>
      <c r="Y76" s="347">
        <v>75</v>
      </c>
      <c r="Z76" s="347">
        <v>95</v>
      </c>
      <c r="AA76" s="346">
        <v>7509.75</v>
      </c>
      <c r="AB76" s="346">
        <v>5928.75</v>
      </c>
      <c r="AC76" s="346">
        <v>7509.75</v>
      </c>
      <c r="AD76" s="347">
        <v>95</v>
      </c>
      <c r="AE76" s="347">
        <v>95</v>
      </c>
      <c r="AF76" s="347">
        <v>75</v>
      </c>
      <c r="AG76" s="346">
        <v>7509.75</v>
      </c>
      <c r="AH76" s="346">
        <v>7509.75</v>
      </c>
      <c r="AI76" s="346">
        <f>5928.75+4.3</f>
        <v>5933.05</v>
      </c>
      <c r="AJ76" s="346">
        <f t="shared" si="56"/>
        <v>77868.55</v>
      </c>
      <c r="AK76" s="346">
        <v>36582.9</v>
      </c>
      <c r="AL76" s="346"/>
      <c r="AM76" s="346">
        <v>41285.65</v>
      </c>
      <c r="AN76" s="346"/>
      <c r="AO76" s="346"/>
      <c r="AP76" s="741" t="s">
        <v>1283</v>
      </c>
      <c r="AQ76" s="325" t="s">
        <v>1070</v>
      </c>
      <c r="AR76" s="325"/>
    </row>
    <row r="77" spans="1:44" ht="70.5" customHeight="1">
      <c r="A77" s="1045"/>
      <c r="B77" s="1045"/>
      <c r="C77" s="1045"/>
      <c r="D77" s="1047"/>
      <c r="E77" s="326">
        <f t="shared" si="55"/>
        <v>92</v>
      </c>
      <c r="F77" s="338" t="s">
        <v>134</v>
      </c>
      <c r="G77" s="1049"/>
      <c r="H77" s="1035"/>
      <c r="I77" s="1031"/>
      <c r="J77" s="322"/>
      <c r="K77" s="1031"/>
      <c r="L77" s="347"/>
      <c r="M77" s="347">
        <v>10</v>
      </c>
      <c r="N77" s="347">
        <v>10</v>
      </c>
      <c r="O77" s="334"/>
      <c r="P77" s="334">
        <v>790.6</v>
      </c>
      <c r="Q77" s="334">
        <v>790.6</v>
      </c>
      <c r="R77" s="347">
        <v>4</v>
      </c>
      <c r="S77" s="347">
        <v>10</v>
      </c>
      <c r="T77" s="347">
        <v>10</v>
      </c>
      <c r="U77" s="346">
        <v>316.18</v>
      </c>
      <c r="V77" s="346">
        <v>790.6</v>
      </c>
      <c r="W77" s="346">
        <v>790.6</v>
      </c>
      <c r="X77" s="347">
        <v>10</v>
      </c>
      <c r="Y77" s="347">
        <v>4</v>
      </c>
      <c r="Z77" s="347">
        <v>10</v>
      </c>
      <c r="AA77" s="346">
        <v>790.6</v>
      </c>
      <c r="AB77" s="346">
        <v>316.14</v>
      </c>
      <c r="AC77" s="346">
        <v>790.6</v>
      </c>
      <c r="AD77" s="347">
        <v>10</v>
      </c>
      <c r="AE77" s="347">
        <v>10</v>
      </c>
      <c r="AF77" s="347">
        <v>4</v>
      </c>
      <c r="AG77" s="346">
        <v>790.6</v>
      </c>
      <c r="AH77" s="346">
        <v>790.6</v>
      </c>
      <c r="AI77" s="346">
        <v>316.10000000000002</v>
      </c>
      <c r="AJ77" s="346">
        <f t="shared" si="56"/>
        <v>7273.2200000000021</v>
      </c>
      <c r="AK77" s="346">
        <v>3417.1</v>
      </c>
      <c r="AL77" s="346"/>
      <c r="AM77" s="346">
        <v>3856.12</v>
      </c>
      <c r="AN77" s="346"/>
      <c r="AO77" s="346"/>
      <c r="AP77" s="741" t="s">
        <v>1283</v>
      </c>
      <c r="AQ77" s="325" t="s">
        <v>1070</v>
      </c>
      <c r="AR77" s="325"/>
    </row>
    <row r="78" spans="1:44" ht="38.25" customHeight="1">
      <c r="A78" s="1044" t="s">
        <v>138</v>
      </c>
      <c r="B78" s="1044" t="s">
        <v>139</v>
      </c>
      <c r="C78" s="1044" t="s">
        <v>1288</v>
      </c>
      <c r="D78" s="1046" t="s">
        <v>1289</v>
      </c>
      <c r="E78" s="326">
        <f t="shared" si="55"/>
        <v>985</v>
      </c>
      <c r="F78" s="338" t="s">
        <v>131</v>
      </c>
      <c r="G78" s="1048" t="s">
        <v>1290</v>
      </c>
      <c r="H78" s="1034" t="s">
        <v>1287</v>
      </c>
      <c r="I78" s="1029">
        <v>17</v>
      </c>
      <c r="J78" s="322"/>
      <c r="K78" s="1029">
        <v>17</v>
      </c>
      <c r="L78" s="347"/>
      <c r="M78" s="347">
        <v>95</v>
      </c>
      <c r="N78" s="347">
        <v>95</v>
      </c>
      <c r="O78" s="334"/>
      <c r="P78" s="334">
        <v>5918.5</v>
      </c>
      <c r="Q78" s="334">
        <v>5918.5</v>
      </c>
      <c r="R78" s="347">
        <v>75</v>
      </c>
      <c r="S78" s="347">
        <v>95</v>
      </c>
      <c r="T78" s="347">
        <v>95</v>
      </c>
      <c r="U78" s="346">
        <v>4672.5</v>
      </c>
      <c r="V78" s="346">
        <v>5918.5</v>
      </c>
      <c r="W78" s="346">
        <v>5918.5</v>
      </c>
      <c r="X78" s="347">
        <v>95</v>
      </c>
      <c r="Y78" s="347">
        <v>75</v>
      </c>
      <c r="Z78" s="347">
        <v>95</v>
      </c>
      <c r="AA78" s="346">
        <v>5918.5</v>
      </c>
      <c r="AB78" s="346">
        <v>4672.5</v>
      </c>
      <c r="AC78" s="346">
        <v>5918.5</v>
      </c>
      <c r="AD78" s="347">
        <v>95</v>
      </c>
      <c r="AE78" s="347">
        <v>95</v>
      </c>
      <c r="AF78" s="347">
        <v>75</v>
      </c>
      <c r="AG78" s="346">
        <v>5918.5</v>
      </c>
      <c r="AH78" s="346">
        <v>5918.5</v>
      </c>
      <c r="AI78" s="346">
        <v>4675.08</v>
      </c>
      <c r="AJ78" s="346">
        <f t="shared" si="56"/>
        <v>61368.08</v>
      </c>
      <c r="AK78" s="346">
        <v>29067.35</v>
      </c>
      <c r="AL78" s="346"/>
      <c r="AM78" s="346">
        <v>32300.73</v>
      </c>
      <c r="AN78" s="346"/>
      <c r="AO78" s="346"/>
      <c r="AP78" s="1036" t="s">
        <v>1283</v>
      </c>
      <c r="AQ78" s="325" t="s">
        <v>1070</v>
      </c>
      <c r="AR78" s="325"/>
    </row>
    <row r="79" spans="1:44" ht="38.25" customHeight="1">
      <c r="A79" s="1050"/>
      <c r="B79" s="1050"/>
      <c r="C79" s="1050"/>
      <c r="D79" s="1051"/>
      <c r="E79" s="326">
        <f t="shared" si="55"/>
        <v>92</v>
      </c>
      <c r="F79" s="338" t="s">
        <v>134</v>
      </c>
      <c r="G79" s="1052"/>
      <c r="H79" s="1054"/>
      <c r="I79" s="1030"/>
      <c r="J79" s="322"/>
      <c r="K79" s="1030"/>
      <c r="L79" s="347"/>
      <c r="M79" s="347">
        <v>10</v>
      </c>
      <c r="N79" s="347">
        <v>10</v>
      </c>
      <c r="O79" s="334"/>
      <c r="P79" s="334">
        <v>624.09999999999991</v>
      </c>
      <c r="Q79" s="334">
        <v>624.09999999999991</v>
      </c>
      <c r="R79" s="347">
        <v>4</v>
      </c>
      <c r="S79" s="347">
        <v>10</v>
      </c>
      <c r="T79" s="347">
        <v>10</v>
      </c>
      <c r="U79" s="346">
        <v>249.64</v>
      </c>
      <c r="V79" s="346">
        <v>624.09999999999991</v>
      </c>
      <c r="W79" s="346">
        <v>624.09999999999991</v>
      </c>
      <c r="X79" s="347">
        <v>10</v>
      </c>
      <c r="Y79" s="347">
        <v>4</v>
      </c>
      <c r="Z79" s="347">
        <v>10</v>
      </c>
      <c r="AA79" s="346">
        <v>624.09999999999991</v>
      </c>
      <c r="AB79" s="346">
        <v>249.64</v>
      </c>
      <c r="AC79" s="346">
        <v>624.09999999999991</v>
      </c>
      <c r="AD79" s="347">
        <v>10</v>
      </c>
      <c r="AE79" s="347">
        <v>10</v>
      </c>
      <c r="AF79" s="347">
        <v>4</v>
      </c>
      <c r="AG79" s="346">
        <v>624.09999999999991</v>
      </c>
      <c r="AH79" s="346">
        <v>624.09999999999991</v>
      </c>
      <c r="AI79" s="346">
        <v>249.29</v>
      </c>
      <c r="AJ79" s="346">
        <f t="shared" si="56"/>
        <v>5741.37</v>
      </c>
      <c r="AK79" s="346">
        <v>2724.45</v>
      </c>
      <c r="AL79" s="346"/>
      <c r="AM79" s="346">
        <v>3016.92</v>
      </c>
      <c r="AN79" s="346"/>
      <c r="AO79" s="346"/>
      <c r="AP79" s="1055"/>
      <c r="AQ79" s="325" t="s">
        <v>1070</v>
      </c>
      <c r="AR79" s="325"/>
    </row>
    <row r="80" spans="1:44" ht="38.25" customHeight="1">
      <c r="A80" s="1045"/>
      <c r="B80" s="1045"/>
      <c r="C80" s="1045"/>
      <c r="D80" s="1047"/>
      <c r="E80" s="326">
        <f t="shared" si="55"/>
        <v>134</v>
      </c>
      <c r="F80" s="338" t="s">
        <v>196</v>
      </c>
      <c r="G80" s="1049"/>
      <c r="H80" s="1035"/>
      <c r="I80" s="1031"/>
      <c r="J80" s="322"/>
      <c r="K80" s="1031"/>
      <c r="L80" s="347"/>
      <c r="M80" s="347">
        <v>13</v>
      </c>
      <c r="N80" s="347">
        <v>13</v>
      </c>
      <c r="O80" s="334"/>
      <c r="P80" s="334">
        <v>1099.28</v>
      </c>
      <c r="Q80" s="334">
        <v>1099.28</v>
      </c>
      <c r="R80" s="347">
        <v>10</v>
      </c>
      <c r="S80" s="347">
        <v>13</v>
      </c>
      <c r="T80" s="347">
        <v>13</v>
      </c>
      <c r="U80" s="346">
        <v>845.6</v>
      </c>
      <c r="V80" s="346">
        <v>1099.28</v>
      </c>
      <c r="W80" s="346">
        <v>1099.28</v>
      </c>
      <c r="X80" s="347">
        <v>13</v>
      </c>
      <c r="Y80" s="347">
        <v>10</v>
      </c>
      <c r="Z80" s="347">
        <v>13</v>
      </c>
      <c r="AA80" s="346">
        <v>1099.28</v>
      </c>
      <c r="AB80" s="346">
        <v>845.6</v>
      </c>
      <c r="AC80" s="346">
        <v>1099.28</v>
      </c>
      <c r="AD80" s="347">
        <v>13</v>
      </c>
      <c r="AE80" s="347">
        <v>13</v>
      </c>
      <c r="AF80" s="347">
        <v>10</v>
      </c>
      <c r="AG80" s="346">
        <v>1099.28</v>
      </c>
      <c r="AH80" s="346">
        <v>1099.28</v>
      </c>
      <c r="AI80" s="346">
        <v>845.64</v>
      </c>
      <c r="AJ80" s="346">
        <f t="shared" si="56"/>
        <v>11331.08</v>
      </c>
      <c r="AK80" s="346">
        <v>4690</v>
      </c>
      <c r="AL80" s="346"/>
      <c r="AM80" s="346">
        <v>6641.08</v>
      </c>
      <c r="AN80" s="346"/>
      <c r="AO80" s="346"/>
      <c r="AP80" s="1037"/>
      <c r="AQ80" s="325" t="s">
        <v>1070</v>
      </c>
      <c r="AR80" s="325"/>
    </row>
    <row r="81" spans="1:44" ht="135" customHeight="1">
      <c r="A81" s="327" t="s">
        <v>138</v>
      </c>
      <c r="B81" s="327" t="s">
        <v>139</v>
      </c>
      <c r="C81" s="327" t="s">
        <v>1291</v>
      </c>
      <c r="D81" s="325" t="s">
        <v>1292</v>
      </c>
      <c r="E81" s="326">
        <f t="shared" si="55"/>
        <v>1150</v>
      </c>
      <c r="F81" s="338" t="s">
        <v>171</v>
      </c>
      <c r="G81" s="335" t="s">
        <v>1293</v>
      </c>
      <c r="H81" s="709" t="s">
        <v>1294</v>
      </c>
      <c r="I81" s="321">
        <v>8</v>
      </c>
      <c r="J81" s="322"/>
      <c r="K81" s="321">
        <v>8</v>
      </c>
      <c r="L81" s="347">
        <v>50</v>
      </c>
      <c r="M81" s="347">
        <f>50+50</f>
        <v>100</v>
      </c>
      <c r="N81" s="347">
        <v>100</v>
      </c>
      <c r="O81" s="334">
        <v>1613</v>
      </c>
      <c r="P81" s="334">
        <v>3217</v>
      </c>
      <c r="Q81" s="334">
        <v>3217</v>
      </c>
      <c r="R81" s="347">
        <v>100</v>
      </c>
      <c r="S81" s="347">
        <v>100</v>
      </c>
      <c r="T81" s="347">
        <v>100</v>
      </c>
      <c r="U81" s="346">
        <v>3217</v>
      </c>
      <c r="V81" s="346">
        <v>3217</v>
      </c>
      <c r="W81" s="346">
        <v>3217</v>
      </c>
      <c r="X81" s="347">
        <v>100</v>
      </c>
      <c r="Y81" s="347">
        <v>100</v>
      </c>
      <c r="Z81" s="347">
        <v>100</v>
      </c>
      <c r="AA81" s="346">
        <v>3217</v>
      </c>
      <c r="AB81" s="346">
        <v>3217</v>
      </c>
      <c r="AC81" s="346">
        <v>3217</v>
      </c>
      <c r="AD81" s="347">
        <v>100</v>
      </c>
      <c r="AE81" s="347">
        <v>100</v>
      </c>
      <c r="AF81" s="347">
        <v>100</v>
      </c>
      <c r="AG81" s="346">
        <v>3217</v>
      </c>
      <c r="AH81" s="346">
        <v>3217</v>
      </c>
      <c r="AI81" s="346">
        <v>3217</v>
      </c>
      <c r="AJ81" s="346">
        <f t="shared" si="56"/>
        <v>37000</v>
      </c>
      <c r="AK81" s="346">
        <v>19000</v>
      </c>
      <c r="AL81" s="346"/>
      <c r="AM81" s="346">
        <v>18000</v>
      </c>
      <c r="AN81" s="346"/>
      <c r="AO81" s="346"/>
      <c r="AP81" s="342" t="s">
        <v>1069</v>
      </c>
      <c r="AQ81" s="325" t="s">
        <v>1295</v>
      </c>
      <c r="AR81" s="325"/>
    </row>
    <row r="82" spans="1:44" ht="39" customHeight="1">
      <c r="A82" s="1044" t="s">
        <v>138</v>
      </c>
      <c r="B82" s="1044" t="s">
        <v>139</v>
      </c>
      <c r="C82" s="1044" t="s">
        <v>1296</v>
      </c>
      <c r="D82" s="1046" t="s">
        <v>1297</v>
      </c>
      <c r="E82" s="326">
        <f t="shared" si="55"/>
        <v>240</v>
      </c>
      <c r="F82" s="338" t="s">
        <v>131</v>
      </c>
      <c r="G82" s="1048" t="s">
        <v>1298</v>
      </c>
      <c r="H82" s="1034" t="s">
        <v>1299</v>
      </c>
      <c r="I82" s="1029">
        <v>40</v>
      </c>
      <c r="J82" s="322"/>
      <c r="K82" s="1029">
        <v>40</v>
      </c>
      <c r="L82" s="347">
        <v>20</v>
      </c>
      <c r="M82" s="347">
        <v>20</v>
      </c>
      <c r="N82" s="347">
        <v>20</v>
      </c>
      <c r="O82" s="334">
        <v>8034.79</v>
      </c>
      <c r="P82" s="334">
        <v>8034.79</v>
      </c>
      <c r="Q82" s="334">
        <v>8034.79</v>
      </c>
      <c r="R82" s="347">
        <v>20</v>
      </c>
      <c r="S82" s="347">
        <v>20</v>
      </c>
      <c r="T82" s="347">
        <v>20</v>
      </c>
      <c r="U82" s="346">
        <v>8034.79</v>
      </c>
      <c r="V82" s="346">
        <v>8034.79</v>
      </c>
      <c r="W82" s="346">
        <v>8034.79</v>
      </c>
      <c r="X82" s="347">
        <v>20</v>
      </c>
      <c r="Y82" s="347">
        <v>20</v>
      </c>
      <c r="Z82" s="347">
        <v>20</v>
      </c>
      <c r="AA82" s="346">
        <v>8034.79</v>
      </c>
      <c r="AB82" s="346">
        <v>8034.79</v>
      </c>
      <c r="AC82" s="346">
        <v>8034.79</v>
      </c>
      <c r="AD82" s="347">
        <v>20</v>
      </c>
      <c r="AE82" s="347">
        <v>20</v>
      </c>
      <c r="AF82" s="347">
        <v>20</v>
      </c>
      <c r="AG82" s="346">
        <v>8034.81</v>
      </c>
      <c r="AH82" s="346">
        <v>8034.81</v>
      </c>
      <c r="AI82" s="346">
        <v>8034.8</v>
      </c>
      <c r="AJ82" s="346">
        <f t="shared" si="56"/>
        <v>96417.53</v>
      </c>
      <c r="AK82" s="346">
        <v>36586.410000000003</v>
      </c>
      <c r="AL82" s="346"/>
      <c r="AM82" s="346">
        <v>59831.12</v>
      </c>
      <c r="AN82" s="346"/>
      <c r="AO82" s="346"/>
      <c r="AP82" s="1036" t="s">
        <v>1283</v>
      </c>
      <c r="AQ82" s="325" t="s">
        <v>1076</v>
      </c>
      <c r="AR82" s="325"/>
    </row>
    <row r="83" spans="1:44" ht="39" customHeight="1">
      <c r="A83" s="1050"/>
      <c r="B83" s="1050"/>
      <c r="C83" s="1050"/>
      <c r="D83" s="1051"/>
      <c r="E83" s="326">
        <f t="shared" si="55"/>
        <v>120</v>
      </c>
      <c r="F83" s="338" t="s">
        <v>134</v>
      </c>
      <c r="G83" s="1052"/>
      <c r="H83" s="1054"/>
      <c r="I83" s="1030"/>
      <c r="J83" s="322"/>
      <c r="K83" s="1030"/>
      <c r="L83" s="347">
        <v>10</v>
      </c>
      <c r="M83" s="347">
        <v>10</v>
      </c>
      <c r="N83" s="347">
        <v>10</v>
      </c>
      <c r="O83" s="334">
        <v>6144.25</v>
      </c>
      <c r="P83" s="334">
        <v>6144.25</v>
      </c>
      <c r="Q83" s="334">
        <v>6144.25</v>
      </c>
      <c r="R83" s="347">
        <v>10</v>
      </c>
      <c r="S83" s="347">
        <v>10</v>
      </c>
      <c r="T83" s="347">
        <v>10</v>
      </c>
      <c r="U83" s="346">
        <v>6144.25</v>
      </c>
      <c r="V83" s="346">
        <v>6144.25</v>
      </c>
      <c r="W83" s="346">
        <v>6144.25</v>
      </c>
      <c r="X83" s="347">
        <v>10</v>
      </c>
      <c r="Y83" s="347">
        <v>10</v>
      </c>
      <c r="Z83" s="347">
        <v>10</v>
      </c>
      <c r="AA83" s="346">
        <v>6144.25</v>
      </c>
      <c r="AB83" s="346">
        <v>6144.25</v>
      </c>
      <c r="AC83" s="346">
        <v>6144.25</v>
      </c>
      <c r="AD83" s="347">
        <v>10</v>
      </c>
      <c r="AE83" s="347">
        <v>10</v>
      </c>
      <c r="AF83" s="347">
        <v>10</v>
      </c>
      <c r="AG83" s="346">
        <v>6144.27</v>
      </c>
      <c r="AH83" s="346">
        <v>6144.27</v>
      </c>
      <c r="AI83" s="346">
        <v>6144.26</v>
      </c>
      <c r="AJ83" s="346">
        <f t="shared" si="56"/>
        <v>73731.05</v>
      </c>
      <c r="AK83" s="346">
        <v>27977.84</v>
      </c>
      <c r="AL83" s="346"/>
      <c r="AM83" s="346">
        <v>45753.21</v>
      </c>
      <c r="AN83" s="346"/>
      <c r="AO83" s="346"/>
      <c r="AP83" s="1055"/>
      <c r="AQ83" s="325" t="s">
        <v>1076</v>
      </c>
      <c r="AR83" s="325"/>
    </row>
    <row r="84" spans="1:44" ht="39" customHeight="1">
      <c r="A84" s="1045"/>
      <c r="B84" s="1045"/>
      <c r="C84" s="1045"/>
      <c r="D84" s="1047"/>
      <c r="E84" s="326">
        <f t="shared" si="55"/>
        <v>24</v>
      </c>
      <c r="F84" s="338" t="s">
        <v>196</v>
      </c>
      <c r="G84" s="1049"/>
      <c r="H84" s="1035"/>
      <c r="I84" s="1031"/>
      <c r="J84" s="322"/>
      <c r="K84" s="1031"/>
      <c r="L84" s="347">
        <v>2</v>
      </c>
      <c r="M84" s="347">
        <v>2</v>
      </c>
      <c r="N84" s="347">
        <v>2</v>
      </c>
      <c r="O84" s="334">
        <v>1890.54</v>
      </c>
      <c r="P84" s="334">
        <v>1890.54</v>
      </c>
      <c r="Q84" s="334">
        <v>1890.54</v>
      </c>
      <c r="R84" s="347">
        <v>2</v>
      </c>
      <c r="S84" s="347">
        <v>2</v>
      </c>
      <c r="T84" s="347">
        <v>2</v>
      </c>
      <c r="U84" s="346">
        <v>1890.54</v>
      </c>
      <c r="V84" s="346">
        <v>1890.54</v>
      </c>
      <c r="W84" s="346">
        <v>1890.54</v>
      </c>
      <c r="X84" s="347">
        <v>2</v>
      </c>
      <c r="Y84" s="347">
        <v>2</v>
      </c>
      <c r="Z84" s="347">
        <v>2</v>
      </c>
      <c r="AA84" s="346">
        <v>1890.54</v>
      </c>
      <c r="AB84" s="346">
        <v>1890.54</v>
      </c>
      <c r="AC84" s="346">
        <v>1890.54</v>
      </c>
      <c r="AD84" s="347">
        <v>2</v>
      </c>
      <c r="AE84" s="347">
        <v>2</v>
      </c>
      <c r="AF84" s="347">
        <v>2</v>
      </c>
      <c r="AG84" s="346">
        <v>1890.54</v>
      </c>
      <c r="AH84" s="346">
        <v>1890.54</v>
      </c>
      <c r="AI84" s="346">
        <v>1890.54</v>
      </c>
      <c r="AJ84" s="346">
        <f t="shared" si="56"/>
        <v>22686.480000000007</v>
      </c>
      <c r="AK84" s="346">
        <v>8608.57</v>
      </c>
      <c r="AL84" s="346"/>
      <c r="AM84" s="346">
        <v>14077.91</v>
      </c>
      <c r="AN84" s="346"/>
      <c r="AO84" s="346"/>
      <c r="AP84" s="1037"/>
      <c r="AQ84" s="325" t="s">
        <v>1076</v>
      </c>
      <c r="AR84" s="325"/>
    </row>
    <row r="85" spans="1:44" ht="38.25" customHeight="1">
      <c r="A85" s="1044" t="s">
        <v>138</v>
      </c>
      <c r="B85" s="1044" t="s">
        <v>139</v>
      </c>
      <c r="C85" s="1044" t="s">
        <v>1300</v>
      </c>
      <c r="D85" s="1046" t="s">
        <v>1301</v>
      </c>
      <c r="E85" s="326">
        <f>MAX(L85,M85,N85,R85,S85,T85,X85,Y85,Z85,AD85,AE85,AF85)</f>
        <v>65</v>
      </c>
      <c r="F85" s="338" t="s">
        <v>131</v>
      </c>
      <c r="G85" s="1048" t="s">
        <v>1302</v>
      </c>
      <c r="H85" s="1034" t="s">
        <v>1303</v>
      </c>
      <c r="I85" s="1029">
        <v>6</v>
      </c>
      <c r="J85" s="322"/>
      <c r="K85" s="1029">
        <v>6</v>
      </c>
      <c r="L85" s="347"/>
      <c r="M85" s="347"/>
      <c r="N85" s="347">
        <v>65</v>
      </c>
      <c r="O85" s="334"/>
      <c r="P85" s="334"/>
      <c r="Q85" s="334">
        <v>2950</v>
      </c>
      <c r="R85" s="347"/>
      <c r="S85" s="347">
        <v>65</v>
      </c>
      <c r="T85" s="347"/>
      <c r="U85" s="346"/>
      <c r="V85" s="346">
        <v>2950</v>
      </c>
      <c r="W85" s="346"/>
      <c r="X85" s="347">
        <v>65</v>
      </c>
      <c r="Y85" s="347"/>
      <c r="Z85" s="347">
        <v>65</v>
      </c>
      <c r="AA85" s="346">
        <v>2950</v>
      </c>
      <c r="AB85" s="346"/>
      <c r="AC85" s="346">
        <v>2950</v>
      </c>
      <c r="AD85" s="347"/>
      <c r="AE85" s="347">
        <v>65</v>
      </c>
      <c r="AF85" s="347"/>
      <c r="AG85" s="346"/>
      <c r="AH85" s="346">
        <v>2950</v>
      </c>
      <c r="AI85" s="346"/>
      <c r="AJ85" s="346">
        <f t="shared" si="56"/>
        <v>14750</v>
      </c>
      <c r="AK85" s="346">
        <v>4750</v>
      </c>
      <c r="AL85" s="346"/>
      <c r="AM85" s="346">
        <v>10000</v>
      </c>
      <c r="AN85" s="346"/>
      <c r="AO85" s="346"/>
      <c r="AP85" s="1036" t="s">
        <v>1304</v>
      </c>
      <c r="AQ85" s="325" t="s">
        <v>1070</v>
      </c>
      <c r="AR85" s="1046" t="s">
        <v>1071</v>
      </c>
    </row>
    <row r="86" spans="1:44" ht="38.25" customHeight="1">
      <c r="A86" s="1050"/>
      <c r="B86" s="1050"/>
      <c r="C86" s="1050"/>
      <c r="D86" s="1051"/>
      <c r="E86" s="326">
        <f>MAX(L86,M86,N86,R86,S86,T86,X86,Y86,Z86,AD86,AE86,AF86)</f>
        <v>10</v>
      </c>
      <c r="F86" s="338" t="s">
        <v>134</v>
      </c>
      <c r="G86" s="1056"/>
      <c r="H86" s="1054"/>
      <c r="I86" s="1030"/>
      <c r="J86" s="322"/>
      <c r="K86" s="1030"/>
      <c r="L86" s="347"/>
      <c r="M86" s="347"/>
      <c r="N86" s="347">
        <v>10</v>
      </c>
      <c r="O86" s="334"/>
      <c r="P86" s="334"/>
      <c r="Q86" s="334">
        <v>431.69</v>
      </c>
      <c r="R86" s="347"/>
      <c r="S86" s="347">
        <v>10</v>
      </c>
      <c r="T86" s="347"/>
      <c r="U86" s="346"/>
      <c r="V86" s="346">
        <v>431.69</v>
      </c>
      <c r="W86" s="346"/>
      <c r="X86" s="347">
        <v>10</v>
      </c>
      <c r="Y86" s="347"/>
      <c r="Z86" s="347">
        <v>10</v>
      </c>
      <c r="AA86" s="346">
        <v>431.69</v>
      </c>
      <c r="AB86" s="346"/>
      <c r="AC86" s="346">
        <v>431.69</v>
      </c>
      <c r="AD86" s="347"/>
      <c r="AE86" s="347">
        <v>10</v>
      </c>
      <c r="AF86" s="347"/>
      <c r="AG86" s="346"/>
      <c r="AH86" s="346">
        <v>431.7</v>
      </c>
      <c r="AI86" s="346"/>
      <c r="AJ86" s="346">
        <f t="shared" si="56"/>
        <v>2158.46</v>
      </c>
      <c r="AK86" s="346">
        <v>620</v>
      </c>
      <c r="AL86" s="346"/>
      <c r="AM86" s="346">
        <v>1538.46</v>
      </c>
      <c r="AN86" s="346"/>
      <c r="AO86" s="346"/>
      <c r="AP86" s="1055"/>
      <c r="AQ86" s="325" t="s">
        <v>1070</v>
      </c>
      <c r="AR86" s="1047"/>
    </row>
    <row r="87" spans="1:44" ht="38.25" customHeight="1">
      <c r="A87" s="1045"/>
      <c r="B87" s="1045"/>
      <c r="C87" s="1045"/>
      <c r="D87" s="1047"/>
      <c r="E87" s="326">
        <f>SUM(L87,M87,N87,R87,S87,T87,X87,Y87,Z87,AD87,AE87,AF87)</f>
        <v>30</v>
      </c>
      <c r="F87" s="338" t="s">
        <v>196</v>
      </c>
      <c r="G87" s="1057"/>
      <c r="H87" s="1035"/>
      <c r="I87" s="1031"/>
      <c r="J87" s="322"/>
      <c r="K87" s="1031"/>
      <c r="L87" s="347"/>
      <c r="M87" s="347"/>
      <c r="N87" s="347">
        <v>6</v>
      </c>
      <c r="O87" s="334"/>
      <c r="P87" s="334"/>
      <c r="Q87" s="334">
        <v>2202.3000000000002</v>
      </c>
      <c r="R87" s="347"/>
      <c r="S87" s="347">
        <v>6</v>
      </c>
      <c r="T87" s="347"/>
      <c r="U87" s="346"/>
      <c r="V87" s="346">
        <v>2202.31</v>
      </c>
      <c r="W87" s="346"/>
      <c r="X87" s="347">
        <v>6</v>
      </c>
      <c r="Y87" s="347"/>
      <c r="Z87" s="347">
        <v>6</v>
      </c>
      <c r="AA87" s="346">
        <v>2202.31</v>
      </c>
      <c r="AB87" s="346"/>
      <c r="AC87" s="346">
        <v>2202.31</v>
      </c>
      <c r="AD87" s="347"/>
      <c r="AE87" s="347">
        <v>6</v>
      </c>
      <c r="AF87" s="347"/>
      <c r="AG87" s="346"/>
      <c r="AH87" s="346">
        <v>2202.31</v>
      </c>
      <c r="AI87" s="346"/>
      <c r="AJ87" s="346">
        <f t="shared" si="56"/>
        <v>11011.539999999999</v>
      </c>
      <c r="AK87" s="346">
        <v>2550</v>
      </c>
      <c r="AL87" s="346"/>
      <c r="AM87" s="346">
        <v>8461.5400000000009</v>
      </c>
      <c r="AN87" s="346"/>
      <c r="AO87" s="346"/>
      <c r="AP87" s="1037"/>
      <c r="AQ87" s="325" t="s">
        <v>1070</v>
      </c>
      <c r="AR87" s="325"/>
    </row>
    <row r="88" spans="1:44">
      <c r="A88" s="742"/>
      <c r="B88" s="742"/>
      <c r="C88" s="742"/>
      <c r="D88" s="742" t="s">
        <v>156</v>
      </c>
      <c r="E88" s="743"/>
      <c r="F88" s="744"/>
      <c r="G88" s="745"/>
      <c r="H88" s="746"/>
      <c r="I88" s="747"/>
      <c r="J88" s="743">
        <f>SUM(J10,J37,J47,J50,J53,J56,J61,J64,J67,J69,J73)</f>
        <v>100</v>
      </c>
      <c r="K88" s="747"/>
      <c r="L88" s="748"/>
      <c r="M88" s="748"/>
      <c r="N88" s="748"/>
      <c r="O88" s="749">
        <f>SUM(O10,O37,O47,O50,O53,O56,O61,O64,O67,O69,O73)</f>
        <v>262286.27111482795</v>
      </c>
      <c r="P88" s="749">
        <f t="shared" ref="P88:Q88" si="57">SUM(P10,P37,P47,P50,P53,P56,P61,P64,P67,P69,P73)</f>
        <v>377104.43997478456</v>
      </c>
      <c r="Q88" s="749">
        <f t="shared" si="57"/>
        <v>441646.81997478456</v>
      </c>
      <c r="R88" s="748"/>
      <c r="S88" s="748"/>
      <c r="T88" s="748"/>
      <c r="U88" s="749">
        <f t="shared" ref="U88:W88" si="58">SUM(U10,U37,U47,U50,U53,U56,U61,U64,U67,U69,U73)</f>
        <v>383161.59521317086</v>
      </c>
      <c r="V88" s="749">
        <f t="shared" si="58"/>
        <v>399702.62251757184</v>
      </c>
      <c r="W88" s="749">
        <f t="shared" si="58"/>
        <v>392907.66251757188</v>
      </c>
      <c r="X88" s="748"/>
      <c r="Y88" s="748"/>
      <c r="Z88" s="748"/>
      <c r="AA88" s="749">
        <f t="shared" ref="AA88:AC88" si="59">SUM(AA10,AA37,AA47,AA50,AA53,AA56,AA61,AA64,AA67,AA69,AA73)</f>
        <v>995515.00519822922</v>
      </c>
      <c r="AB88" s="749">
        <f t="shared" si="59"/>
        <v>748015.49702114868</v>
      </c>
      <c r="AC88" s="749">
        <f t="shared" si="59"/>
        <v>838467.42702114873</v>
      </c>
      <c r="AD88" s="748"/>
      <c r="AE88" s="748"/>
      <c r="AF88" s="748"/>
      <c r="AG88" s="749">
        <f t="shared" ref="AG88:AO88" si="60">SUM(AG10,AG37,AG47,AG50,AG53,AG56,AG61,AG64,AG67,AG69,AG73)</f>
        <v>831898.78596980392</v>
      </c>
      <c r="AH88" s="749">
        <f t="shared" si="60"/>
        <v>487469.25596980395</v>
      </c>
      <c r="AI88" s="749">
        <f t="shared" si="60"/>
        <v>1598447.8375071541</v>
      </c>
      <c r="AJ88" s="749">
        <f t="shared" si="60"/>
        <v>7756623.2199999997</v>
      </c>
      <c r="AK88" s="749">
        <f t="shared" si="60"/>
        <v>2120620.02</v>
      </c>
      <c r="AL88" s="749"/>
      <c r="AM88" s="749">
        <f t="shared" si="60"/>
        <v>2921919.9600000009</v>
      </c>
      <c r="AN88" s="749"/>
      <c r="AO88" s="749">
        <f t="shared" si="60"/>
        <v>2714083.24</v>
      </c>
      <c r="AP88" s="750"/>
      <c r="AQ88" s="751"/>
      <c r="AR88" s="751"/>
    </row>
    <row r="90" spans="1:44">
      <c r="AJ90" s="351" t="s">
        <v>1305</v>
      </c>
      <c r="AK90" s="350">
        <f>AK54+AK55</f>
        <v>57728.06</v>
      </c>
      <c r="AM90" s="350">
        <f>AM54+AM55</f>
        <v>59001.979999999996</v>
      </c>
      <c r="AR90" s="350"/>
    </row>
    <row r="91" spans="1:44">
      <c r="AJ91" s="351" t="s">
        <v>1306</v>
      </c>
      <c r="AK91" s="350">
        <f>AK24+AK25+AK26+AK27+AK38+AK42+AK43+AK45+AK46+AK51+AK52+AK44</f>
        <v>220972.28999999998</v>
      </c>
      <c r="AM91" s="350">
        <f>AM24+AM25+AM26+AM27+AM38+AM42+AM43+AM45+AM46+AM51+AM52+AM44</f>
        <v>224053.94999999998</v>
      </c>
    </row>
    <row r="92" spans="1:44">
      <c r="AJ92" s="351" t="s">
        <v>1307</v>
      </c>
      <c r="AK92" s="350">
        <f>AK20+AK30+AK31+AK32+AK33+AK34+AK35+AK36+AK48+AK49+AK59+AK60+AK68+AK72+AK81</f>
        <v>249645.16999999998</v>
      </c>
      <c r="AM92" s="350">
        <f>AM20+AM30+AM31+AM32+AM33+AM34+AM35+AM36+AM48+AM49+AM59+AM60+AM68+AM72+AM81</f>
        <v>454882.75</v>
      </c>
    </row>
    <row r="93" spans="1:44">
      <c r="AJ93" s="351" t="s">
        <v>1308</v>
      </c>
      <c r="AK93" s="350">
        <f>AK66</f>
        <v>86400.93</v>
      </c>
      <c r="AM93" s="350">
        <f>AM66</f>
        <v>277830.78000000003</v>
      </c>
    </row>
    <row r="94" spans="1:44">
      <c r="AJ94" s="351" t="s">
        <v>1309</v>
      </c>
      <c r="AK94" s="350">
        <f>AK17+AK16+AK15+AK14</f>
        <v>381774.15</v>
      </c>
      <c r="AM94" s="350">
        <f>AM17+AM16+AM15+AM14</f>
        <v>382715.52</v>
      </c>
    </row>
    <row r="95" spans="1:44">
      <c r="AJ95" s="351" t="s">
        <v>1310</v>
      </c>
      <c r="AK95" s="350">
        <f>AK18+AK19</f>
        <v>201857.03999999998</v>
      </c>
      <c r="AM95" s="350">
        <f>AM18+AM19</f>
        <v>597834.77</v>
      </c>
    </row>
    <row r="96" spans="1:44">
      <c r="AJ96" s="351" t="s">
        <v>1311</v>
      </c>
      <c r="AK96" s="350">
        <f>AK13+AK28+AK29+AK82+AK83+AK84</f>
        <v>451502.21000000008</v>
      </c>
      <c r="AM96" s="350">
        <f>AM13+AM28+AM29+AM82+AM83+AM84</f>
        <v>636717.5</v>
      </c>
    </row>
    <row r="97" spans="36:39">
      <c r="AJ97" s="351" t="s">
        <v>1312</v>
      </c>
      <c r="AK97" s="350">
        <f>AK11+AK12+AK21+AK22+AK23+AK57+AK58+AK70+AK71+AK74+AK75+AK76+AK77+AK78+AK79+AK80+AK85+AK86+AK87</f>
        <v>249645.17</v>
      </c>
      <c r="AM97" s="350">
        <f>AM11+AM12+AM21+AM22+AM23+AM57+AM58+AM70+AM71+AM74+AM75+AM76+AM77+AM78+AM79+AM80+AM85+AM86+AM87</f>
        <v>269882.71000000002</v>
      </c>
    </row>
    <row r="98" spans="36:39">
      <c r="AJ98" s="352" t="s">
        <v>1313</v>
      </c>
      <c r="AK98" s="352">
        <f>SUBTOTAL(9,AK90:AK97)</f>
        <v>1899525.02</v>
      </c>
      <c r="AL98" s="352"/>
      <c r="AM98" s="352">
        <f>SUBTOTAL(9,AM90:AM97)</f>
        <v>2902919.96</v>
      </c>
    </row>
  </sheetData>
  <autoFilter ref="AQ1:AQ88"/>
  <mergeCells count="149">
    <mergeCell ref="I85:I87"/>
    <mergeCell ref="K85:K87"/>
    <mergeCell ref="AP85:AP87"/>
    <mergeCell ref="AR85:AR86"/>
    <mergeCell ref="A85:A87"/>
    <mergeCell ref="B85:B87"/>
    <mergeCell ref="C85:C87"/>
    <mergeCell ref="D85:D87"/>
    <mergeCell ref="G85:G87"/>
    <mergeCell ref="H85:H87"/>
    <mergeCell ref="A82:A84"/>
    <mergeCell ref="B82:B84"/>
    <mergeCell ref="C82:C84"/>
    <mergeCell ref="D82:D84"/>
    <mergeCell ref="G82:G84"/>
    <mergeCell ref="H82:H84"/>
    <mergeCell ref="I82:I84"/>
    <mergeCell ref="K82:K84"/>
    <mergeCell ref="AP82:AP84"/>
    <mergeCell ref="A78:A80"/>
    <mergeCell ref="B78:B80"/>
    <mergeCell ref="C78:C80"/>
    <mergeCell ref="D78:D80"/>
    <mergeCell ref="G78:G80"/>
    <mergeCell ref="H78:H80"/>
    <mergeCell ref="I78:I80"/>
    <mergeCell ref="K78:K80"/>
    <mergeCell ref="AP78:AP80"/>
    <mergeCell ref="I74:I75"/>
    <mergeCell ref="K74:K75"/>
    <mergeCell ref="AP74:AP75"/>
    <mergeCell ref="A76:A77"/>
    <mergeCell ref="B76:B77"/>
    <mergeCell ref="C76:C77"/>
    <mergeCell ref="D76:D77"/>
    <mergeCell ref="G76:G77"/>
    <mergeCell ref="H76:H77"/>
    <mergeCell ref="I76:I77"/>
    <mergeCell ref="A74:A75"/>
    <mergeCell ref="B74:B75"/>
    <mergeCell ref="C74:C75"/>
    <mergeCell ref="D74:D75"/>
    <mergeCell ref="G74:G75"/>
    <mergeCell ref="H74:H75"/>
    <mergeCell ref="K76:K77"/>
    <mergeCell ref="A62:A63"/>
    <mergeCell ref="B62:B63"/>
    <mergeCell ref="C62:C63"/>
    <mergeCell ref="D62:D63"/>
    <mergeCell ref="I62:I63"/>
    <mergeCell ref="K62:K63"/>
    <mergeCell ref="K57:K58"/>
    <mergeCell ref="A59:A60"/>
    <mergeCell ref="B59:B60"/>
    <mergeCell ref="C59:C60"/>
    <mergeCell ref="D59:D60"/>
    <mergeCell ref="G59:G60"/>
    <mergeCell ref="I59:I60"/>
    <mergeCell ref="K59:K60"/>
    <mergeCell ref="G21:G23"/>
    <mergeCell ref="H21:H23"/>
    <mergeCell ref="I44:I46"/>
    <mergeCell ref="K44:K46"/>
    <mergeCell ref="AP44:AP46"/>
    <mergeCell ref="A57:A58"/>
    <mergeCell ref="B57:B58"/>
    <mergeCell ref="C57:C58"/>
    <mergeCell ref="D57:D58"/>
    <mergeCell ref="G57:G58"/>
    <mergeCell ref="H57:H58"/>
    <mergeCell ref="I57:I58"/>
    <mergeCell ref="A44:A46"/>
    <mergeCell ref="B44:B46"/>
    <mergeCell ref="C44:C46"/>
    <mergeCell ref="D44:D46"/>
    <mergeCell ref="G44:G46"/>
    <mergeCell ref="H44:H46"/>
    <mergeCell ref="L7:Q7"/>
    <mergeCell ref="R7:W7"/>
    <mergeCell ref="X7:AC7"/>
    <mergeCell ref="AP30:AP31"/>
    <mergeCell ref="A39:A40"/>
    <mergeCell ref="B39:B40"/>
    <mergeCell ref="C39:C40"/>
    <mergeCell ref="D39:D40"/>
    <mergeCell ref="I39:I40"/>
    <mergeCell ref="K39:K40"/>
    <mergeCell ref="I21:I23"/>
    <mergeCell ref="K21:K23"/>
    <mergeCell ref="A30:A31"/>
    <mergeCell ref="B30:B31"/>
    <mergeCell ref="C30:C31"/>
    <mergeCell ref="D30:D31"/>
    <mergeCell ref="G30:G31"/>
    <mergeCell ref="H30:H31"/>
    <mergeCell ref="I30:I31"/>
    <mergeCell ref="K30:K31"/>
    <mergeCell ref="A21:A23"/>
    <mergeCell ref="B21:B23"/>
    <mergeCell ref="C21:C23"/>
    <mergeCell ref="D21:D23"/>
    <mergeCell ref="A13:A19"/>
    <mergeCell ref="B13:B19"/>
    <mergeCell ref="C13:C19"/>
    <mergeCell ref="D13:D19"/>
    <mergeCell ref="I13:I19"/>
    <mergeCell ref="K13:K19"/>
    <mergeCell ref="AK6:AO6"/>
    <mergeCell ref="AP6:AP9"/>
    <mergeCell ref="AQ6:AQ9"/>
    <mergeCell ref="AG8:AI8"/>
    <mergeCell ref="A11:A12"/>
    <mergeCell ref="B11:B12"/>
    <mergeCell ref="C11:C12"/>
    <mergeCell ref="D11:D12"/>
    <mergeCell ref="G11:G12"/>
    <mergeCell ref="H11:H12"/>
    <mergeCell ref="I11:I12"/>
    <mergeCell ref="K11:K12"/>
    <mergeCell ref="A7:A9"/>
    <mergeCell ref="B7:B9"/>
    <mergeCell ref="C7:C9"/>
    <mergeCell ref="K6:K9"/>
    <mergeCell ref="L6:AJ6"/>
    <mergeCell ref="U8:W8"/>
    <mergeCell ref="AR6:AR9"/>
    <mergeCell ref="AD7:AI7"/>
    <mergeCell ref="AJ7:AJ9"/>
    <mergeCell ref="AK7:AK9"/>
    <mergeCell ref="AL7:AL9"/>
    <mergeCell ref="A1:AR1"/>
    <mergeCell ref="A2:AR2"/>
    <mergeCell ref="A6:C6"/>
    <mergeCell ref="D6:D9"/>
    <mergeCell ref="E6:E9"/>
    <mergeCell ref="F6:F9"/>
    <mergeCell ref="G6:G9"/>
    <mergeCell ref="H6:H9"/>
    <mergeCell ref="I6:I9"/>
    <mergeCell ref="J6:J9"/>
    <mergeCell ref="AM7:AM9"/>
    <mergeCell ref="AN7:AN9"/>
    <mergeCell ref="AO7:AO9"/>
    <mergeCell ref="L8:N8"/>
    <mergeCell ref="O8:Q8"/>
    <mergeCell ref="R8:T8"/>
    <mergeCell ref="X8:Z8"/>
    <mergeCell ref="AA8:AC8"/>
    <mergeCell ref="AD8:AF8"/>
  </mergeCells>
  <printOptions horizontalCentered="1"/>
  <pageMargins left="0.98425196850393704" right="0.78740157480314965" top="0.98425196850393704" bottom="0.78740157480314965" header="0.31496062992125984" footer="0.31496062992125984"/>
  <pageSetup paperSize="5" scale="23" fitToHeight="2" orientation="landscape" r:id="rId1"/>
  <headerFooter alignWithMargins="0">
    <oddFooter>Página &amp;P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FF00"/>
  </sheetPr>
  <dimension ref="A1:AT51"/>
  <sheetViews>
    <sheetView view="pageBreakPreview" topLeftCell="AH42" zoomScale="83" zoomScaleNormal="87" zoomScaleSheetLayoutView="83" workbookViewId="0">
      <selection activeCell="AQ48" sqref="AQ48"/>
    </sheetView>
  </sheetViews>
  <sheetFormatPr baseColWidth="10" defaultColWidth="0.28515625" defaultRowHeight="15.75"/>
  <cols>
    <col min="1" max="1" width="6.5703125" style="383" customWidth="1"/>
    <col min="2" max="2" width="10.5703125" style="383" bestFit="1" customWidth="1"/>
    <col min="3" max="3" width="18.5703125" style="765" bestFit="1" customWidth="1"/>
    <col min="4" max="4" width="37.140625" style="383" customWidth="1"/>
    <col min="5" max="5" width="6.7109375" style="383" bestFit="1" customWidth="1"/>
    <col min="6" max="6" width="13.28515625" style="383" bestFit="1" customWidth="1"/>
    <col min="7" max="7" width="18.42578125" style="383" customWidth="1"/>
    <col min="8" max="8" width="16.42578125" style="383" customWidth="1"/>
    <col min="9" max="9" width="11.7109375" style="383" bestFit="1" customWidth="1"/>
    <col min="10" max="11" width="11.85546875" style="383" bestFit="1" customWidth="1"/>
    <col min="12" max="12" width="5" style="765" bestFit="1" customWidth="1"/>
    <col min="13" max="13" width="4.85546875" style="765" customWidth="1"/>
    <col min="14" max="14" width="5" style="765" bestFit="1" customWidth="1"/>
    <col min="15" max="17" width="9.140625" style="766" bestFit="1" customWidth="1"/>
    <col min="18" max="20" width="5" style="767" bestFit="1" customWidth="1"/>
    <col min="21" max="21" width="10.42578125" style="766" bestFit="1" customWidth="1"/>
    <col min="22" max="22" width="9.140625" style="766" bestFit="1" customWidth="1"/>
    <col min="23" max="23" width="12" style="766" bestFit="1" customWidth="1"/>
    <col min="24" max="26" width="5" style="383" bestFit="1" customWidth="1"/>
    <col min="27" max="29" width="10.42578125" style="766" bestFit="1" customWidth="1"/>
    <col min="30" max="31" width="5" style="383" bestFit="1" customWidth="1"/>
    <col min="32" max="32" width="3.7109375" style="383" bestFit="1" customWidth="1"/>
    <col min="33" max="34" width="10.140625" style="766" bestFit="1" customWidth="1"/>
    <col min="35" max="35" width="9.140625" style="766" customWidth="1"/>
    <col min="36" max="36" width="12" style="768" bestFit="1" customWidth="1"/>
    <col min="37" max="37" width="13.42578125" style="769" customWidth="1"/>
    <col min="38" max="38" width="10.28515625" style="383" bestFit="1" customWidth="1"/>
    <col min="39" max="39" width="10.140625" style="383" customWidth="1"/>
    <col min="40" max="40" width="12.42578125" style="383" bestFit="1" customWidth="1"/>
    <col min="41" max="41" width="11.140625" style="383" bestFit="1" customWidth="1"/>
    <col min="42" max="42" width="24.28515625" style="383" customWidth="1"/>
    <col min="43" max="43" width="17.7109375" style="765" customWidth="1"/>
    <col min="44" max="44" width="18.5703125" style="383" customWidth="1"/>
    <col min="45" max="183" width="11.42578125" style="383" customWidth="1"/>
    <col min="184" max="184" width="0" style="383" hidden="1" customWidth="1"/>
    <col min="185" max="16384" width="0.28515625" style="383"/>
  </cols>
  <sheetData>
    <row r="1" spans="1:44" ht="18.75" customHeight="1">
      <c r="A1" s="1097" t="s">
        <v>0</v>
      </c>
      <c r="B1" s="1097"/>
      <c r="C1" s="1097"/>
      <c r="D1" s="1097"/>
      <c r="E1" s="1097"/>
      <c r="F1" s="1097"/>
      <c r="G1" s="1097"/>
      <c r="H1" s="1097"/>
      <c r="I1" s="1097"/>
      <c r="J1" s="1097"/>
      <c r="K1" s="1097"/>
      <c r="L1" s="1097"/>
      <c r="M1" s="1097"/>
      <c r="N1" s="1097"/>
      <c r="O1" s="1097"/>
      <c r="P1" s="1097"/>
      <c r="Q1" s="1097"/>
      <c r="R1" s="1097"/>
      <c r="S1" s="1097"/>
      <c r="T1" s="1097"/>
      <c r="U1" s="1097"/>
      <c r="V1" s="1097"/>
      <c r="W1" s="1097"/>
      <c r="X1" s="1097"/>
      <c r="Y1" s="1097"/>
      <c r="Z1" s="1097"/>
      <c r="AA1" s="1097"/>
      <c r="AB1" s="1097"/>
      <c r="AC1" s="1097"/>
      <c r="AD1" s="1097"/>
      <c r="AE1" s="1097"/>
      <c r="AF1" s="1097"/>
      <c r="AG1" s="1097"/>
      <c r="AH1" s="1097"/>
      <c r="AI1" s="1097"/>
      <c r="AJ1" s="1097"/>
      <c r="AK1" s="1097"/>
      <c r="AL1" s="1097"/>
      <c r="AM1" s="1097"/>
      <c r="AN1" s="1097"/>
      <c r="AO1" s="1097"/>
      <c r="AP1" s="1097"/>
      <c r="AQ1" s="1097"/>
      <c r="AR1" s="1097"/>
    </row>
    <row r="2" spans="1:44" ht="18.75" customHeight="1">
      <c r="A2" s="1097" t="s">
        <v>1</v>
      </c>
      <c r="B2" s="1097"/>
      <c r="C2" s="1097"/>
      <c r="D2" s="1097"/>
      <c r="E2" s="1097"/>
      <c r="F2" s="1097"/>
      <c r="G2" s="1097"/>
      <c r="H2" s="1097"/>
      <c r="I2" s="1097"/>
      <c r="J2" s="1097"/>
      <c r="K2" s="1097"/>
      <c r="L2" s="1097"/>
      <c r="M2" s="1097"/>
      <c r="N2" s="1097"/>
      <c r="O2" s="1097"/>
      <c r="P2" s="1097"/>
      <c r="Q2" s="1097"/>
      <c r="R2" s="1097"/>
      <c r="S2" s="1097"/>
      <c r="T2" s="1097"/>
      <c r="U2" s="1097"/>
      <c r="V2" s="1097"/>
      <c r="W2" s="1097"/>
      <c r="X2" s="1097"/>
      <c r="Y2" s="1097"/>
      <c r="Z2" s="1097"/>
      <c r="AA2" s="1097"/>
      <c r="AB2" s="1097"/>
      <c r="AC2" s="1097"/>
      <c r="AD2" s="1097"/>
      <c r="AE2" s="1097"/>
      <c r="AF2" s="1097"/>
      <c r="AG2" s="1097"/>
      <c r="AH2" s="1097"/>
      <c r="AI2" s="1097"/>
      <c r="AJ2" s="1097"/>
      <c r="AK2" s="1097"/>
      <c r="AL2" s="1097"/>
      <c r="AM2" s="1097"/>
      <c r="AN2" s="1097"/>
      <c r="AO2" s="1097"/>
      <c r="AP2" s="1097"/>
      <c r="AQ2" s="1097"/>
      <c r="AR2" s="1097"/>
    </row>
    <row r="3" spans="1:44" ht="18.75" customHeight="1">
      <c r="A3" s="357"/>
      <c r="B3" s="357"/>
      <c r="C3" s="358"/>
      <c r="D3" s="754" t="s">
        <v>158</v>
      </c>
      <c r="E3" s="754"/>
      <c r="F3" s="754"/>
      <c r="G3" s="754"/>
      <c r="H3" s="754"/>
      <c r="I3" s="754"/>
      <c r="J3" s="754"/>
      <c r="K3" s="754"/>
      <c r="L3" s="755"/>
      <c r="M3" s="755"/>
      <c r="N3" s="755"/>
      <c r="O3" s="756"/>
      <c r="P3" s="756"/>
      <c r="Q3" s="756"/>
      <c r="R3" s="754"/>
      <c r="S3" s="754"/>
      <c r="T3" s="754"/>
      <c r="U3" s="756"/>
      <c r="V3" s="756"/>
      <c r="W3" s="756"/>
      <c r="X3" s="754"/>
      <c r="Y3" s="754"/>
      <c r="Z3" s="754"/>
      <c r="AA3" s="756"/>
      <c r="AB3" s="756"/>
      <c r="AC3" s="756"/>
      <c r="AD3" s="754"/>
      <c r="AE3" s="754"/>
      <c r="AF3" s="754"/>
      <c r="AG3" s="756"/>
      <c r="AH3" s="756"/>
      <c r="AI3" s="756"/>
      <c r="AJ3" s="754"/>
      <c r="AK3" s="755"/>
      <c r="AL3" s="754"/>
      <c r="AM3" s="754"/>
      <c r="AN3" s="754"/>
      <c r="AO3" s="754"/>
      <c r="AP3" s="754"/>
      <c r="AQ3" s="755"/>
      <c r="AR3" s="754"/>
    </row>
    <row r="4" spans="1:44" ht="18.75" customHeight="1">
      <c r="A4" s="357"/>
      <c r="B4" s="357"/>
      <c r="C4" s="358"/>
      <c r="D4" s="754" t="s">
        <v>1314</v>
      </c>
      <c r="E4" s="754"/>
      <c r="F4" s="754"/>
      <c r="G4" s="754"/>
      <c r="H4" s="754"/>
      <c r="I4" s="754"/>
      <c r="J4" s="754"/>
      <c r="K4" s="754"/>
      <c r="L4" s="755"/>
      <c r="M4" s="755"/>
      <c r="N4" s="755"/>
      <c r="O4" s="756"/>
      <c r="P4" s="756"/>
      <c r="Q4" s="756"/>
      <c r="R4" s="754"/>
      <c r="S4" s="754"/>
      <c r="T4" s="754"/>
      <c r="U4" s="756"/>
      <c r="V4" s="756"/>
      <c r="W4" s="756"/>
      <c r="X4" s="754"/>
      <c r="Y4" s="754"/>
      <c r="Z4" s="754"/>
      <c r="AA4" s="756"/>
      <c r="AB4" s="756"/>
      <c r="AC4" s="756"/>
      <c r="AD4" s="754"/>
      <c r="AE4" s="754"/>
      <c r="AF4" s="754"/>
      <c r="AG4" s="756"/>
      <c r="AH4" s="756"/>
      <c r="AI4" s="756"/>
      <c r="AJ4" s="754"/>
      <c r="AK4" s="755"/>
      <c r="AL4" s="754"/>
      <c r="AM4" s="754"/>
      <c r="AN4" s="754"/>
      <c r="AO4" s="754"/>
      <c r="AP4" s="754"/>
      <c r="AQ4" s="755"/>
      <c r="AR4" s="754"/>
    </row>
    <row r="5" spans="1:44" ht="18.75" customHeight="1">
      <c r="A5" s="357"/>
      <c r="B5" s="357"/>
      <c r="C5" s="358"/>
      <c r="D5" s="754" t="s">
        <v>160</v>
      </c>
      <c r="E5" s="754"/>
      <c r="F5" s="754"/>
      <c r="G5" s="357"/>
      <c r="H5" s="357"/>
      <c r="I5" s="357"/>
      <c r="J5" s="357"/>
      <c r="K5" s="359"/>
      <c r="L5" s="710"/>
      <c r="M5" s="710"/>
      <c r="N5" s="710"/>
      <c r="O5" s="360"/>
      <c r="P5" s="360"/>
      <c r="Q5" s="360"/>
      <c r="R5" s="359"/>
      <c r="S5" s="359"/>
      <c r="T5" s="359"/>
      <c r="U5" s="360"/>
      <c r="V5" s="360"/>
      <c r="W5" s="360"/>
      <c r="X5" s="359"/>
      <c r="Y5" s="359"/>
      <c r="Z5" s="359"/>
      <c r="AA5" s="360"/>
      <c r="AB5" s="360"/>
      <c r="AC5" s="360"/>
      <c r="AD5" s="359"/>
      <c r="AE5" s="359"/>
      <c r="AF5" s="359"/>
      <c r="AG5" s="360"/>
      <c r="AH5" s="360"/>
      <c r="AI5" s="360"/>
      <c r="AJ5" s="359"/>
      <c r="AK5" s="710"/>
      <c r="AL5" s="359"/>
      <c r="AM5" s="359"/>
      <c r="AN5" s="359"/>
      <c r="AO5" s="359"/>
      <c r="AP5" s="359"/>
      <c r="AQ5" s="710"/>
      <c r="AR5" s="359"/>
    </row>
    <row r="6" spans="1:44" s="757" customFormat="1" ht="20.25" customHeight="1">
      <c r="A6" s="1092" t="s">
        <v>5</v>
      </c>
      <c r="B6" s="1092"/>
      <c r="C6" s="1092"/>
      <c r="D6" s="1098" t="s">
        <v>6</v>
      </c>
      <c r="E6" s="1098" t="s">
        <v>1315</v>
      </c>
      <c r="F6" s="1092" t="s">
        <v>1316</v>
      </c>
      <c r="G6" s="1092" t="s">
        <v>1317</v>
      </c>
      <c r="H6" s="1092" t="s">
        <v>1318</v>
      </c>
      <c r="I6" s="1092" t="s">
        <v>11</v>
      </c>
      <c r="J6" s="1092" t="s">
        <v>12</v>
      </c>
      <c r="K6" s="1092" t="s">
        <v>13</v>
      </c>
      <c r="L6" s="1093" t="s">
        <v>14</v>
      </c>
      <c r="M6" s="1094"/>
      <c r="N6" s="1094"/>
      <c r="O6" s="1094"/>
      <c r="P6" s="1094"/>
      <c r="Q6" s="1094"/>
      <c r="R6" s="1094"/>
      <c r="S6" s="1094"/>
      <c r="T6" s="1094"/>
      <c r="U6" s="1094"/>
      <c r="V6" s="1094"/>
      <c r="W6" s="1094"/>
      <c r="X6" s="1094"/>
      <c r="Y6" s="1094"/>
      <c r="Z6" s="1094"/>
      <c r="AA6" s="1094"/>
      <c r="AB6" s="1094"/>
      <c r="AC6" s="1094"/>
      <c r="AD6" s="1094"/>
      <c r="AE6" s="1094"/>
      <c r="AF6" s="1094"/>
      <c r="AG6" s="1094"/>
      <c r="AH6" s="1094"/>
      <c r="AI6" s="1094"/>
      <c r="AJ6" s="1095"/>
      <c r="AK6" s="1092" t="s">
        <v>15</v>
      </c>
      <c r="AL6" s="1092"/>
      <c r="AM6" s="1092"/>
      <c r="AN6" s="1092"/>
      <c r="AO6" s="1092"/>
      <c r="AP6" s="1092" t="s">
        <v>1319</v>
      </c>
      <c r="AQ6" s="1092" t="s">
        <v>17</v>
      </c>
      <c r="AR6" s="1092" t="s">
        <v>18</v>
      </c>
    </row>
    <row r="7" spans="1:44" s="757" customFormat="1" ht="16.5" customHeight="1">
      <c r="A7" s="1092" t="s">
        <v>20</v>
      </c>
      <c r="B7" s="1092" t="s">
        <v>21</v>
      </c>
      <c r="C7" s="1092" t="s">
        <v>22</v>
      </c>
      <c r="D7" s="1098"/>
      <c r="E7" s="1098"/>
      <c r="F7" s="1092"/>
      <c r="G7" s="1092"/>
      <c r="H7" s="1092"/>
      <c r="I7" s="1092"/>
      <c r="J7" s="1092"/>
      <c r="K7" s="1092"/>
      <c r="L7" s="1096" t="s">
        <v>23</v>
      </c>
      <c r="M7" s="1096"/>
      <c r="N7" s="1096"/>
      <c r="O7" s="1096"/>
      <c r="P7" s="1096"/>
      <c r="Q7" s="1096"/>
      <c r="R7" s="1096" t="s">
        <v>24</v>
      </c>
      <c r="S7" s="1096"/>
      <c r="T7" s="1096"/>
      <c r="U7" s="1096"/>
      <c r="V7" s="1096"/>
      <c r="W7" s="1096"/>
      <c r="X7" s="1096" t="s">
        <v>25</v>
      </c>
      <c r="Y7" s="1096"/>
      <c r="Z7" s="1096"/>
      <c r="AA7" s="1096"/>
      <c r="AB7" s="1096"/>
      <c r="AC7" s="1096"/>
      <c r="AD7" s="1096" t="s">
        <v>26</v>
      </c>
      <c r="AE7" s="1096"/>
      <c r="AF7" s="1096"/>
      <c r="AG7" s="1096"/>
      <c r="AH7" s="1096"/>
      <c r="AI7" s="1096"/>
      <c r="AJ7" s="1098" t="s">
        <v>162</v>
      </c>
      <c r="AK7" s="1092" t="s">
        <v>1320</v>
      </c>
      <c r="AL7" s="1092" t="s">
        <v>1321</v>
      </c>
      <c r="AM7" s="1092" t="s">
        <v>30</v>
      </c>
      <c r="AN7" s="1092" t="s">
        <v>31</v>
      </c>
      <c r="AO7" s="1092" t="s">
        <v>1322</v>
      </c>
      <c r="AP7" s="1092"/>
      <c r="AQ7" s="1092"/>
      <c r="AR7" s="1092"/>
    </row>
    <row r="8" spans="1:44" s="757" customFormat="1" ht="19.5" customHeight="1">
      <c r="A8" s="1092"/>
      <c r="B8" s="1092"/>
      <c r="C8" s="1092"/>
      <c r="D8" s="1098"/>
      <c r="E8" s="1098"/>
      <c r="F8" s="1092"/>
      <c r="G8" s="1092"/>
      <c r="H8" s="1092"/>
      <c r="I8" s="1092"/>
      <c r="J8" s="1092"/>
      <c r="K8" s="1092"/>
      <c r="L8" s="1096" t="s">
        <v>33</v>
      </c>
      <c r="M8" s="1096"/>
      <c r="N8" s="1096"/>
      <c r="O8" s="1091" t="s">
        <v>34</v>
      </c>
      <c r="P8" s="1091"/>
      <c r="Q8" s="1091"/>
      <c r="R8" s="1096" t="s">
        <v>33</v>
      </c>
      <c r="S8" s="1096"/>
      <c r="T8" s="1096"/>
      <c r="U8" s="1091" t="s">
        <v>34</v>
      </c>
      <c r="V8" s="1091"/>
      <c r="W8" s="1091"/>
      <c r="X8" s="1096" t="s">
        <v>33</v>
      </c>
      <c r="Y8" s="1096"/>
      <c r="Z8" s="1096"/>
      <c r="AA8" s="1091" t="s">
        <v>34</v>
      </c>
      <c r="AB8" s="1091"/>
      <c r="AC8" s="1091"/>
      <c r="AD8" s="1096" t="s">
        <v>33</v>
      </c>
      <c r="AE8" s="1096"/>
      <c r="AF8" s="1096"/>
      <c r="AG8" s="1091" t="s">
        <v>34</v>
      </c>
      <c r="AH8" s="1091"/>
      <c r="AI8" s="1091"/>
      <c r="AJ8" s="1098"/>
      <c r="AK8" s="1092"/>
      <c r="AL8" s="1092"/>
      <c r="AM8" s="1092"/>
      <c r="AN8" s="1092"/>
      <c r="AO8" s="1092"/>
      <c r="AP8" s="1092"/>
      <c r="AQ8" s="1092"/>
      <c r="AR8" s="1092"/>
    </row>
    <row r="9" spans="1:44" s="757" customFormat="1" ht="13.5" customHeight="1">
      <c r="A9" s="1092"/>
      <c r="B9" s="1092"/>
      <c r="C9" s="1092"/>
      <c r="D9" s="1098"/>
      <c r="E9" s="1098"/>
      <c r="F9" s="1092"/>
      <c r="G9" s="1092"/>
      <c r="H9" s="1092"/>
      <c r="I9" s="1092"/>
      <c r="J9" s="1092"/>
      <c r="K9" s="1092"/>
      <c r="L9" s="361" t="s">
        <v>35</v>
      </c>
      <c r="M9" s="361" t="s">
        <v>36</v>
      </c>
      <c r="N9" s="361" t="s">
        <v>37</v>
      </c>
      <c r="O9" s="711" t="s">
        <v>35</v>
      </c>
      <c r="P9" s="711" t="s">
        <v>36</v>
      </c>
      <c r="Q9" s="711" t="s">
        <v>37</v>
      </c>
      <c r="R9" s="361" t="s">
        <v>38</v>
      </c>
      <c r="S9" s="361" t="s">
        <v>37</v>
      </c>
      <c r="T9" s="361" t="s">
        <v>39</v>
      </c>
      <c r="U9" s="711" t="s">
        <v>38</v>
      </c>
      <c r="V9" s="711" t="s">
        <v>37</v>
      </c>
      <c r="W9" s="711" t="s">
        <v>39</v>
      </c>
      <c r="X9" s="361" t="s">
        <v>39</v>
      </c>
      <c r="Y9" s="361" t="s">
        <v>38</v>
      </c>
      <c r="Z9" s="361" t="s">
        <v>40</v>
      </c>
      <c r="AA9" s="711" t="s">
        <v>39</v>
      </c>
      <c r="AB9" s="711" t="s">
        <v>38</v>
      </c>
      <c r="AC9" s="711" t="s">
        <v>40</v>
      </c>
      <c r="AD9" s="361" t="s">
        <v>41</v>
      </c>
      <c r="AE9" s="361" t="s">
        <v>42</v>
      </c>
      <c r="AF9" s="361" t="s">
        <v>43</v>
      </c>
      <c r="AG9" s="711" t="s">
        <v>41</v>
      </c>
      <c r="AH9" s="711" t="s">
        <v>42</v>
      </c>
      <c r="AI9" s="711" t="s">
        <v>43</v>
      </c>
      <c r="AJ9" s="1098"/>
      <c r="AK9" s="1092"/>
      <c r="AL9" s="1092"/>
      <c r="AM9" s="1092"/>
      <c r="AN9" s="1092"/>
      <c r="AO9" s="1092"/>
      <c r="AP9" s="1092"/>
      <c r="AQ9" s="1092"/>
      <c r="AR9" s="1092"/>
    </row>
    <row r="10" spans="1:44" ht="47.25">
      <c r="A10" s="362" t="s">
        <v>44</v>
      </c>
      <c r="B10" s="362" t="s">
        <v>45</v>
      </c>
      <c r="C10" s="362" t="s">
        <v>1323</v>
      </c>
      <c r="D10" s="363" t="s">
        <v>1324</v>
      </c>
      <c r="E10" s="752"/>
      <c r="F10" s="752"/>
      <c r="G10" s="753"/>
      <c r="H10" s="753"/>
      <c r="I10" s="364">
        <v>5</v>
      </c>
      <c r="J10" s="364">
        <f>AJ10/AJ$47*100</f>
        <v>5.316593186711299</v>
      </c>
      <c r="K10" s="364"/>
      <c r="L10" s="365"/>
      <c r="M10" s="384"/>
      <c r="N10" s="384"/>
      <c r="O10" s="366">
        <f>SUM(O11:O13)</f>
        <v>49000</v>
      </c>
      <c r="P10" s="366">
        <f>SUM(P11:P13)</f>
        <v>49000</v>
      </c>
      <c r="Q10" s="366"/>
      <c r="R10" s="384"/>
      <c r="S10" s="384"/>
      <c r="T10" s="384"/>
      <c r="U10" s="366">
        <f>SUM(U11:U13)</f>
        <v>49000</v>
      </c>
      <c r="V10" s="366">
        <f>SUM(V11:V13)</f>
        <v>49000</v>
      </c>
      <c r="W10" s="366">
        <f>SUM(W11:W13)</f>
        <v>34000</v>
      </c>
      <c r="X10" s="384"/>
      <c r="Y10" s="384"/>
      <c r="Z10" s="384"/>
      <c r="AA10" s="366">
        <f>SUM(AA11:AA13)</f>
        <v>49000</v>
      </c>
      <c r="AB10" s="366">
        <f>SUM(AB11:AB13)</f>
        <v>59000</v>
      </c>
      <c r="AC10" s="366">
        <f>SUM(AC11:AC13)</f>
        <v>49000</v>
      </c>
      <c r="AD10" s="384"/>
      <c r="AE10" s="384"/>
      <c r="AF10" s="384"/>
      <c r="AG10" s="366">
        <f>SUM(AG11:AG13)</f>
        <v>49000</v>
      </c>
      <c r="AH10" s="366">
        <f>SUM(AH11:AH13)</f>
        <v>50000</v>
      </c>
      <c r="AI10" s="366">
        <f>SUM(AI11:AI13)</f>
        <v>49000</v>
      </c>
      <c r="AJ10" s="366">
        <f>SUM(AJ11:AJ13)</f>
        <v>535000</v>
      </c>
      <c r="AK10" s="366">
        <f>SUM(AK11:AK13)</f>
        <v>535000</v>
      </c>
      <c r="AL10" s="366"/>
      <c r="AM10" s="384"/>
      <c r="AN10" s="366"/>
      <c r="AO10" s="384"/>
      <c r="AP10" s="363"/>
      <c r="AQ10" s="363"/>
      <c r="AR10" s="363"/>
    </row>
    <row r="11" spans="1:44" s="405" customFormat="1" ht="63">
      <c r="A11" s="367" t="s">
        <v>44</v>
      </c>
      <c r="B11" s="367" t="s">
        <v>45</v>
      </c>
      <c r="C11" s="367" t="s">
        <v>1325</v>
      </c>
      <c r="D11" s="368" t="s">
        <v>1326</v>
      </c>
      <c r="E11" s="369">
        <f>L11+M11+N11+R11+S11+T11+X11+Y11+Z11+AD11+AE11+AF11</f>
        <v>850</v>
      </c>
      <c r="F11" s="379" t="s">
        <v>423</v>
      </c>
      <c r="G11" s="370" t="s">
        <v>1327</v>
      </c>
      <c r="H11" s="370" t="s">
        <v>1328</v>
      </c>
      <c r="I11" s="369">
        <v>49</v>
      </c>
      <c r="J11" s="1058"/>
      <c r="K11" s="369">
        <v>49</v>
      </c>
      <c r="L11" s="371">
        <v>100</v>
      </c>
      <c r="M11" s="371">
        <v>75</v>
      </c>
      <c r="N11" s="371"/>
      <c r="O11" s="372">
        <v>25000</v>
      </c>
      <c r="P11" s="372">
        <v>25000</v>
      </c>
      <c r="Q11" s="373"/>
      <c r="R11" s="371">
        <v>100</v>
      </c>
      <c r="S11" s="371">
        <v>75</v>
      </c>
      <c r="T11" s="371">
        <v>50</v>
      </c>
      <c r="U11" s="372">
        <v>25000</v>
      </c>
      <c r="V11" s="372">
        <v>25000</v>
      </c>
      <c r="W11" s="372">
        <v>10000</v>
      </c>
      <c r="X11" s="371">
        <v>75</v>
      </c>
      <c r="Y11" s="371">
        <v>50</v>
      </c>
      <c r="Z11" s="371">
        <v>50</v>
      </c>
      <c r="AA11" s="372">
        <v>25000</v>
      </c>
      <c r="AB11" s="372">
        <v>25000</v>
      </c>
      <c r="AC11" s="372">
        <v>25000</v>
      </c>
      <c r="AD11" s="371">
        <v>100</v>
      </c>
      <c r="AE11" s="371">
        <v>100</v>
      </c>
      <c r="AF11" s="371">
        <v>75</v>
      </c>
      <c r="AG11" s="372">
        <v>25000</v>
      </c>
      <c r="AH11" s="372">
        <v>25000</v>
      </c>
      <c r="AI11" s="372">
        <v>25000</v>
      </c>
      <c r="AJ11" s="372">
        <f>O11+P11+Q11+U11+V11+W11+AA11+AB11+AC11+AG11+AH11+AI11</f>
        <v>260000</v>
      </c>
      <c r="AK11" s="374">
        <f>AJ11</f>
        <v>260000</v>
      </c>
      <c r="AL11" s="375"/>
      <c r="AM11" s="375"/>
      <c r="AN11" s="375"/>
      <c r="AO11" s="375"/>
      <c r="AP11" s="370" t="s">
        <v>1069</v>
      </c>
      <c r="AQ11" s="370" t="s">
        <v>1329</v>
      </c>
      <c r="AR11" s="368"/>
    </row>
    <row r="12" spans="1:44" s="405" customFormat="1" ht="47.25" customHeight="1">
      <c r="A12" s="367" t="s">
        <v>44</v>
      </c>
      <c r="B12" s="367" t="s">
        <v>45</v>
      </c>
      <c r="C12" s="367" t="s">
        <v>1330</v>
      </c>
      <c r="D12" s="368" t="s">
        <v>1331</v>
      </c>
      <c r="E12" s="369">
        <v>1</v>
      </c>
      <c r="F12" s="376" t="s">
        <v>171</v>
      </c>
      <c r="G12" s="377" t="s">
        <v>1332</v>
      </c>
      <c r="H12" s="370" t="s">
        <v>1333</v>
      </c>
      <c r="I12" s="369">
        <v>2</v>
      </c>
      <c r="J12" s="1059"/>
      <c r="K12" s="369">
        <v>2</v>
      </c>
      <c r="L12" s="371"/>
      <c r="M12" s="371"/>
      <c r="N12" s="371"/>
      <c r="O12" s="372"/>
      <c r="P12" s="372"/>
      <c r="Q12" s="372"/>
      <c r="R12" s="371"/>
      <c r="S12" s="371"/>
      <c r="T12" s="371"/>
      <c r="U12" s="372"/>
      <c r="V12" s="372"/>
      <c r="W12" s="372"/>
      <c r="X12" s="371"/>
      <c r="Y12" s="371">
        <v>1</v>
      </c>
      <c r="Z12" s="371"/>
      <c r="AA12" s="372"/>
      <c r="AB12" s="372">
        <v>10000</v>
      </c>
      <c r="AC12" s="372"/>
      <c r="AD12" s="371"/>
      <c r="AE12" s="371"/>
      <c r="AF12" s="371"/>
      <c r="AG12" s="372"/>
      <c r="AH12" s="372"/>
      <c r="AI12" s="372"/>
      <c r="AJ12" s="372">
        <f>O12+P12+Q12+U12+V12+W12+AA12+AB12+AC12+AG12+AH12+AI12</f>
        <v>10000</v>
      </c>
      <c r="AK12" s="374">
        <f>AJ12</f>
        <v>10000</v>
      </c>
      <c r="AL12" s="375"/>
      <c r="AM12" s="375"/>
      <c r="AN12" s="375"/>
      <c r="AO12" s="375"/>
      <c r="AP12" s="370" t="s">
        <v>1069</v>
      </c>
      <c r="AQ12" s="370" t="s">
        <v>1329</v>
      </c>
      <c r="AR12" s="368"/>
    </row>
    <row r="13" spans="1:44" s="405" customFormat="1" ht="63">
      <c r="A13" s="367" t="s">
        <v>44</v>
      </c>
      <c r="B13" s="367" t="s">
        <v>45</v>
      </c>
      <c r="C13" s="367" t="s">
        <v>1334</v>
      </c>
      <c r="D13" s="368" t="s">
        <v>1335</v>
      </c>
      <c r="E13" s="369">
        <f>L13+M13+N13+R13+S13+T13+X13+Y13+Z13+AD13+AE13+AF13</f>
        <v>350</v>
      </c>
      <c r="F13" s="379" t="s">
        <v>87</v>
      </c>
      <c r="G13" s="370" t="s">
        <v>1336</v>
      </c>
      <c r="H13" s="370" t="s">
        <v>1337</v>
      </c>
      <c r="I13" s="369">
        <v>49</v>
      </c>
      <c r="J13" s="1060"/>
      <c r="K13" s="369">
        <v>49</v>
      </c>
      <c r="L13" s="371">
        <v>30</v>
      </c>
      <c r="M13" s="371">
        <v>40</v>
      </c>
      <c r="N13" s="371"/>
      <c r="O13" s="372">
        <v>24000</v>
      </c>
      <c r="P13" s="372">
        <v>24000</v>
      </c>
      <c r="Q13" s="372"/>
      <c r="R13" s="371">
        <v>40</v>
      </c>
      <c r="S13" s="371">
        <v>40</v>
      </c>
      <c r="T13" s="371">
        <v>25</v>
      </c>
      <c r="U13" s="372">
        <v>24000</v>
      </c>
      <c r="V13" s="372">
        <v>24000</v>
      </c>
      <c r="W13" s="372">
        <v>24000</v>
      </c>
      <c r="X13" s="371">
        <v>25</v>
      </c>
      <c r="Y13" s="371">
        <v>25</v>
      </c>
      <c r="Z13" s="371">
        <v>25</v>
      </c>
      <c r="AA13" s="372">
        <v>24000</v>
      </c>
      <c r="AB13" s="372">
        <v>24000</v>
      </c>
      <c r="AC13" s="372">
        <v>24000</v>
      </c>
      <c r="AD13" s="371">
        <v>30</v>
      </c>
      <c r="AE13" s="371">
        <v>40</v>
      </c>
      <c r="AF13" s="371">
        <v>30</v>
      </c>
      <c r="AG13" s="372">
        <v>24000</v>
      </c>
      <c r="AH13" s="372">
        <v>25000</v>
      </c>
      <c r="AI13" s="372">
        <v>24000</v>
      </c>
      <c r="AJ13" s="372">
        <f>O13+P13+Q13+U13+V13+W13+AA13+AB13+AC13+AG13+AH13+AI13</f>
        <v>265000</v>
      </c>
      <c r="AK13" s="374">
        <f>AJ13</f>
        <v>265000</v>
      </c>
      <c r="AL13" s="375"/>
      <c r="AM13" s="375"/>
      <c r="AN13" s="375"/>
      <c r="AO13" s="375"/>
      <c r="AP13" s="370" t="s">
        <v>1069</v>
      </c>
      <c r="AQ13" s="370" t="s">
        <v>1329</v>
      </c>
      <c r="AR13" s="368"/>
    </row>
    <row r="14" spans="1:44" ht="31.5">
      <c r="A14" s="362" t="s">
        <v>44</v>
      </c>
      <c r="B14" s="362" t="s">
        <v>497</v>
      </c>
      <c r="C14" s="362" t="s">
        <v>1338</v>
      </c>
      <c r="D14" s="363" t="s">
        <v>1339</v>
      </c>
      <c r="E14" s="752"/>
      <c r="F14" s="752"/>
      <c r="G14" s="753"/>
      <c r="H14" s="753"/>
      <c r="I14" s="364">
        <v>18</v>
      </c>
      <c r="J14" s="364">
        <v>18</v>
      </c>
      <c r="K14" s="364"/>
      <c r="L14" s="365"/>
      <c r="M14" s="384"/>
      <c r="N14" s="384"/>
      <c r="O14" s="366">
        <f>SUM(O15:O18)</f>
        <v>15000</v>
      </c>
      <c r="P14" s="366">
        <f>SUM(P15:P18)</f>
        <v>135000</v>
      </c>
      <c r="Q14" s="366">
        <f>SUM(Q15:Q18)</f>
        <v>153220</v>
      </c>
      <c r="R14" s="384"/>
      <c r="S14" s="384"/>
      <c r="T14" s="384"/>
      <c r="U14" s="366">
        <f>SUM(U15:U18)</f>
        <v>212500</v>
      </c>
      <c r="V14" s="366">
        <f>SUM(V15:V18)</f>
        <v>197500</v>
      </c>
      <c r="W14" s="366">
        <f>SUM(W15:W18)</f>
        <v>202500</v>
      </c>
      <c r="X14" s="384"/>
      <c r="Y14" s="384"/>
      <c r="Z14" s="384"/>
      <c r="AA14" s="366">
        <f>SUM(AA15:AA18)</f>
        <v>202000</v>
      </c>
      <c r="AB14" s="366">
        <f>SUM(AB15:AB18)</f>
        <v>202000</v>
      </c>
      <c r="AC14" s="366">
        <f>SUM(AC15:AC18)</f>
        <v>174500</v>
      </c>
      <c r="AD14" s="384"/>
      <c r="AE14" s="384"/>
      <c r="AF14" s="366"/>
      <c r="AG14" s="366">
        <f t="shared" ref="AG14:AO14" si="0">SUM(AG15:AG18)</f>
        <v>139500</v>
      </c>
      <c r="AH14" s="366">
        <f t="shared" si="0"/>
        <v>137500</v>
      </c>
      <c r="AI14" s="366">
        <f t="shared" si="0"/>
        <v>12500</v>
      </c>
      <c r="AJ14" s="366">
        <f t="shared" si="0"/>
        <v>1783720</v>
      </c>
      <c r="AK14" s="366">
        <f t="shared" si="0"/>
        <v>373720</v>
      </c>
      <c r="AL14" s="366">
        <f t="shared" si="0"/>
        <v>0</v>
      </c>
      <c r="AM14" s="366">
        <f t="shared" si="0"/>
        <v>0</v>
      </c>
      <c r="AN14" s="366">
        <f t="shared" si="0"/>
        <v>0</v>
      </c>
      <c r="AO14" s="366">
        <f t="shared" si="0"/>
        <v>1410000</v>
      </c>
      <c r="AP14" s="363"/>
      <c r="AQ14" s="363"/>
      <c r="AR14" s="363"/>
    </row>
    <row r="15" spans="1:44" ht="157.5">
      <c r="A15" s="367" t="s">
        <v>44</v>
      </c>
      <c r="B15" s="367" t="s">
        <v>497</v>
      </c>
      <c r="C15" s="367" t="s">
        <v>1340</v>
      </c>
      <c r="D15" s="368" t="s">
        <v>1341</v>
      </c>
      <c r="E15" s="378">
        <f>L15+M15+N15+R15+S15+T15+X15+Y56+Z15+Z15+AD15+AE15+AF15</f>
        <v>600</v>
      </c>
      <c r="F15" s="379" t="s">
        <v>423</v>
      </c>
      <c r="G15" s="370" t="s">
        <v>1342</v>
      </c>
      <c r="H15" s="370" t="s">
        <v>1343</v>
      </c>
      <c r="I15" s="369">
        <f>AJ15/AJ$14*100</f>
        <v>84.863095104612825</v>
      </c>
      <c r="J15" s="1058"/>
      <c r="K15" s="369">
        <v>85</v>
      </c>
      <c r="L15" s="371"/>
      <c r="M15" s="371">
        <f>20+20</f>
        <v>40</v>
      </c>
      <c r="N15" s="371">
        <f>40+25</f>
        <v>65</v>
      </c>
      <c r="O15" s="372"/>
      <c r="P15" s="372">
        <f>100000+25000</f>
        <v>125000</v>
      </c>
      <c r="Q15" s="372">
        <f>100000+25720</f>
        <v>125720</v>
      </c>
      <c r="R15" s="371">
        <f>60+20</f>
        <v>80</v>
      </c>
      <c r="S15" s="371">
        <f>60+20</f>
        <v>80</v>
      </c>
      <c r="T15" s="371">
        <f>60+15</f>
        <v>75</v>
      </c>
      <c r="U15" s="372">
        <f>155000+20000</f>
        <v>175000</v>
      </c>
      <c r="V15" s="372">
        <f>155000+20000</f>
        <v>175000</v>
      </c>
      <c r="W15" s="372">
        <f>155000+20000</f>
        <v>175000</v>
      </c>
      <c r="X15" s="371">
        <v>60</v>
      </c>
      <c r="Y15" s="371">
        <v>60</v>
      </c>
      <c r="Z15" s="371">
        <v>60</v>
      </c>
      <c r="AA15" s="372">
        <v>162000</v>
      </c>
      <c r="AB15" s="372">
        <v>162000</v>
      </c>
      <c r="AC15" s="372">
        <v>162000</v>
      </c>
      <c r="AD15" s="371">
        <v>60</v>
      </c>
      <c r="AE15" s="371">
        <v>20</v>
      </c>
      <c r="AF15" s="371"/>
      <c r="AG15" s="372">
        <f>107000+20000</f>
        <v>127000</v>
      </c>
      <c r="AH15" s="372">
        <f>105000+20000</f>
        <v>125000</v>
      </c>
      <c r="AI15" s="372"/>
      <c r="AJ15" s="372">
        <f>O15+P15+Q15+U15+V15+W15+AA15+AB15+AC15+AG15+AH15+AI15</f>
        <v>1513720</v>
      </c>
      <c r="AK15" s="374">
        <f>AJ15-AO15</f>
        <v>103720</v>
      </c>
      <c r="AL15" s="380"/>
      <c r="AM15" s="381"/>
      <c r="AN15" s="382"/>
      <c r="AO15" s="372">
        <v>1410000</v>
      </c>
      <c r="AP15" s="368" t="s">
        <v>1344</v>
      </c>
      <c r="AQ15" s="368" t="s">
        <v>1345</v>
      </c>
      <c r="AR15" s="368" t="s">
        <v>1346</v>
      </c>
    </row>
    <row r="16" spans="1:44" s="405" customFormat="1" ht="63">
      <c r="A16" s="367" t="s">
        <v>44</v>
      </c>
      <c r="B16" s="367" t="s">
        <v>497</v>
      </c>
      <c r="C16" s="367" t="s">
        <v>1347</v>
      </c>
      <c r="D16" s="368" t="s">
        <v>1348</v>
      </c>
      <c r="E16" s="369">
        <f>L16+M16+N16+R16+S16+T16+X16+Y16+Z16+AD16+AE16+AF16</f>
        <v>500</v>
      </c>
      <c r="F16" s="379" t="s">
        <v>205</v>
      </c>
      <c r="G16" s="370" t="s">
        <v>1349</v>
      </c>
      <c r="H16" s="370" t="s">
        <v>1350</v>
      </c>
      <c r="I16" s="369">
        <f>AJ16/AJ$14*100</f>
        <v>6.7275132868387422</v>
      </c>
      <c r="J16" s="1059"/>
      <c r="K16" s="369">
        <v>7</v>
      </c>
      <c r="L16" s="371">
        <v>50</v>
      </c>
      <c r="M16" s="371">
        <v>100</v>
      </c>
      <c r="N16" s="371">
        <v>100</v>
      </c>
      <c r="O16" s="372">
        <v>15000</v>
      </c>
      <c r="P16" s="372">
        <v>10000</v>
      </c>
      <c r="Q16" s="372">
        <v>15000</v>
      </c>
      <c r="R16" s="371">
        <v>25</v>
      </c>
      <c r="S16" s="371">
        <v>25</v>
      </c>
      <c r="T16" s="371">
        <v>25</v>
      </c>
      <c r="U16" s="372">
        <v>15000</v>
      </c>
      <c r="V16" s="372">
        <v>10000</v>
      </c>
      <c r="W16" s="372">
        <v>15000</v>
      </c>
      <c r="X16" s="371">
        <v>75</v>
      </c>
      <c r="Y16" s="371">
        <v>100</v>
      </c>
      <c r="Z16" s="371"/>
      <c r="AA16" s="372">
        <v>20000</v>
      </c>
      <c r="AB16" s="372">
        <v>20000</v>
      </c>
      <c r="AC16" s="372"/>
      <c r="AD16" s="371"/>
      <c r="AE16" s="371"/>
      <c r="AF16" s="371"/>
      <c r="AG16" s="372"/>
      <c r="AH16" s="372"/>
      <c r="AI16" s="372"/>
      <c r="AJ16" s="372">
        <f t="shared" ref="AJ16:AJ18" si="1">O16+P16+Q16+U16+V16+W16+AA16+AB16+AC16+AG16+AH16+AI16</f>
        <v>120000</v>
      </c>
      <c r="AK16" s="374">
        <v>120000</v>
      </c>
      <c r="AL16" s="381"/>
      <c r="AM16" s="381"/>
      <c r="AN16" s="381"/>
      <c r="AO16" s="381"/>
      <c r="AP16" s="368" t="s">
        <v>1069</v>
      </c>
      <c r="AQ16" s="368" t="s">
        <v>1351</v>
      </c>
      <c r="AR16" s="368"/>
    </row>
    <row r="17" spans="1:44" s="405" customFormat="1" ht="28.5" customHeight="1">
      <c r="A17" s="1072" t="s">
        <v>44</v>
      </c>
      <c r="B17" s="1072" t="s">
        <v>497</v>
      </c>
      <c r="C17" s="1072" t="s">
        <v>1352</v>
      </c>
      <c r="D17" s="1078" t="s">
        <v>1353</v>
      </c>
      <c r="E17" s="369">
        <f>L17+M17+N17+R17+S17+T17+X17+Y17+Z17+AD17+AE17+AF17</f>
        <v>380</v>
      </c>
      <c r="F17" s="379" t="s">
        <v>131</v>
      </c>
      <c r="G17" s="1070" t="s">
        <v>1354</v>
      </c>
      <c r="H17" s="1070" t="s">
        <v>1355</v>
      </c>
      <c r="I17" s="1058">
        <f>SUM(AJ17:AJ18)/AJ14*100</f>
        <v>8.409391608548427</v>
      </c>
      <c r="J17" s="1059"/>
      <c r="K17" s="1058">
        <v>8</v>
      </c>
      <c r="L17" s="371"/>
      <c r="M17" s="371"/>
      <c r="N17" s="369">
        <v>40</v>
      </c>
      <c r="O17" s="372"/>
      <c r="P17" s="372"/>
      <c r="Q17" s="372">
        <v>7500</v>
      </c>
      <c r="R17" s="369">
        <v>40</v>
      </c>
      <c r="S17" s="369">
        <v>40</v>
      </c>
      <c r="T17" s="369">
        <v>40</v>
      </c>
      <c r="U17" s="372">
        <v>7500</v>
      </c>
      <c r="V17" s="372">
        <v>7500</v>
      </c>
      <c r="W17" s="372">
        <v>7500</v>
      </c>
      <c r="X17" s="369">
        <v>50</v>
      </c>
      <c r="Y17" s="369">
        <v>50</v>
      </c>
      <c r="Z17" s="369">
        <v>40</v>
      </c>
      <c r="AA17" s="372">
        <v>15000</v>
      </c>
      <c r="AB17" s="372">
        <v>15000</v>
      </c>
      <c r="AC17" s="372">
        <v>7500</v>
      </c>
      <c r="AD17" s="369">
        <v>30</v>
      </c>
      <c r="AE17" s="369">
        <v>30</v>
      </c>
      <c r="AF17" s="369">
        <v>20</v>
      </c>
      <c r="AG17" s="372">
        <v>7500</v>
      </c>
      <c r="AH17" s="372">
        <v>7500</v>
      </c>
      <c r="AI17" s="372">
        <v>7500</v>
      </c>
      <c r="AJ17" s="372">
        <f t="shared" si="1"/>
        <v>90000</v>
      </c>
      <c r="AK17" s="374">
        <f>AJ17</f>
        <v>90000</v>
      </c>
      <c r="AL17" s="375"/>
      <c r="AM17" s="375"/>
      <c r="AN17" s="375"/>
      <c r="AO17" s="375"/>
      <c r="AP17" s="368" t="s">
        <v>1069</v>
      </c>
      <c r="AQ17" s="368" t="s">
        <v>1351</v>
      </c>
      <c r="AR17" s="1080"/>
    </row>
    <row r="18" spans="1:44" s="405" customFormat="1" ht="28.5" customHeight="1">
      <c r="A18" s="1074"/>
      <c r="B18" s="1074"/>
      <c r="C18" s="1074"/>
      <c r="D18" s="1079"/>
      <c r="E18" s="369">
        <f>L18+M18+N18+R18+S18+T18+X18+Y18+Z18+AD18+AE18+AF18</f>
        <v>60</v>
      </c>
      <c r="F18" s="379" t="s">
        <v>134</v>
      </c>
      <c r="G18" s="1071"/>
      <c r="H18" s="1071"/>
      <c r="I18" s="1060"/>
      <c r="J18" s="1060"/>
      <c r="K18" s="1060"/>
      <c r="L18" s="371"/>
      <c r="M18" s="371"/>
      <c r="N18" s="369">
        <v>5</v>
      </c>
      <c r="O18" s="372"/>
      <c r="P18" s="372"/>
      <c r="Q18" s="372">
        <v>5000</v>
      </c>
      <c r="R18" s="369">
        <v>15</v>
      </c>
      <c r="S18" s="369">
        <v>5</v>
      </c>
      <c r="T18" s="369">
        <v>5</v>
      </c>
      <c r="U18" s="372">
        <v>15000</v>
      </c>
      <c r="V18" s="372">
        <v>5000</v>
      </c>
      <c r="W18" s="372">
        <v>5000</v>
      </c>
      <c r="X18" s="369">
        <v>5</v>
      </c>
      <c r="Y18" s="369">
        <v>5</v>
      </c>
      <c r="Z18" s="369">
        <v>5</v>
      </c>
      <c r="AA18" s="372">
        <v>5000</v>
      </c>
      <c r="AB18" s="372">
        <v>5000</v>
      </c>
      <c r="AC18" s="372">
        <v>5000</v>
      </c>
      <c r="AD18" s="369">
        <v>5</v>
      </c>
      <c r="AE18" s="369">
        <v>5</v>
      </c>
      <c r="AF18" s="369">
        <v>5</v>
      </c>
      <c r="AG18" s="372">
        <v>5000</v>
      </c>
      <c r="AH18" s="372">
        <v>5000</v>
      </c>
      <c r="AI18" s="372">
        <v>5000</v>
      </c>
      <c r="AJ18" s="372">
        <f t="shared" si="1"/>
        <v>60000</v>
      </c>
      <c r="AK18" s="374">
        <f>AJ18</f>
        <v>60000</v>
      </c>
      <c r="AL18" s="375"/>
      <c r="AM18" s="375"/>
      <c r="AN18" s="375"/>
      <c r="AO18" s="375"/>
      <c r="AP18" s="368" t="s">
        <v>1069</v>
      </c>
      <c r="AQ18" s="368" t="s">
        <v>1351</v>
      </c>
      <c r="AR18" s="1081"/>
    </row>
    <row r="19" spans="1:44" ht="47.25">
      <c r="A19" s="362" t="s">
        <v>44</v>
      </c>
      <c r="B19" s="362" t="s">
        <v>497</v>
      </c>
      <c r="C19" s="362" t="s">
        <v>1356</v>
      </c>
      <c r="D19" s="363" t="s">
        <v>1357</v>
      </c>
      <c r="E19" s="752"/>
      <c r="F19" s="752"/>
      <c r="G19" s="753"/>
      <c r="H19" s="753"/>
      <c r="I19" s="364">
        <v>59</v>
      </c>
      <c r="J19" s="364">
        <v>60</v>
      </c>
      <c r="K19" s="364"/>
      <c r="L19" s="365"/>
      <c r="M19" s="365"/>
      <c r="N19" s="365"/>
      <c r="O19" s="366">
        <f>SUM(O20:O27)</f>
        <v>100000</v>
      </c>
      <c r="P19" s="366">
        <f t="shared" ref="P19:Q19" si="2">SUM(P20:P27)</f>
        <v>109500</v>
      </c>
      <c r="Q19" s="366">
        <f t="shared" si="2"/>
        <v>109500</v>
      </c>
      <c r="R19" s="384"/>
      <c r="S19" s="384"/>
      <c r="T19" s="384"/>
      <c r="U19" s="366">
        <f t="shared" ref="U19:W19" si="3">SUM(U20:U27)</f>
        <v>644230</v>
      </c>
      <c r="V19" s="366">
        <f t="shared" si="3"/>
        <v>403500</v>
      </c>
      <c r="W19" s="366">
        <f t="shared" si="3"/>
        <v>456000</v>
      </c>
      <c r="X19" s="384"/>
      <c r="Y19" s="384"/>
      <c r="Z19" s="384"/>
      <c r="AA19" s="366">
        <f t="shared" ref="AA19:AC19" si="4">SUM(AA20:AA27)</f>
        <v>838000</v>
      </c>
      <c r="AB19" s="366">
        <f t="shared" si="4"/>
        <v>716000</v>
      </c>
      <c r="AC19" s="366">
        <f t="shared" si="4"/>
        <v>870000</v>
      </c>
      <c r="AD19" s="384"/>
      <c r="AE19" s="384"/>
      <c r="AF19" s="384"/>
      <c r="AG19" s="366">
        <f t="shared" ref="AG19:AK19" si="5">SUM(AG20:AG27)</f>
        <v>665500</v>
      </c>
      <c r="AH19" s="366">
        <f t="shared" si="5"/>
        <v>768700</v>
      </c>
      <c r="AI19" s="366">
        <f t="shared" si="5"/>
        <v>363500</v>
      </c>
      <c r="AJ19" s="366">
        <f t="shared" si="5"/>
        <v>6044430</v>
      </c>
      <c r="AK19" s="366">
        <f t="shared" si="5"/>
        <v>294000</v>
      </c>
      <c r="AL19" s="366"/>
      <c r="AM19" s="384"/>
      <c r="AN19" s="366"/>
      <c r="AO19" s="366">
        <f>SUM(AO20:AO27)</f>
        <v>5750430</v>
      </c>
      <c r="AP19" s="363" t="s">
        <v>1358</v>
      </c>
      <c r="AQ19" s="363"/>
      <c r="AR19" s="363"/>
    </row>
    <row r="20" spans="1:44" ht="72.75" customHeight="1">
      <c r="A20" s="1080" t="s">
        <v>44</v>
      </c>
      <c r="B20" s="1080" t="s">
        <v>497</v>
      </c>
      <c r="C20" s="1072" t="s">
        <v>1359</v>
      </c>
      <c r="D20" s="1078" t="s">
        <v>1360</v>
      </c>
      <c r="E20" s="369">
        <f t="shared" ref="E20:E26" si="6">L20+M20+N20+R20+S20+T20+X20+Y20+Z20+AD20+AE20+AF20</f>
        <v>250</v>
      </c>
      <c r="F20" s="385" t="s">
        <v>131</v>
      </c>
      <c r="G20" s="1086" t="s">
        <v>1361</v>
      </c>
      <c r="H20" s="1086" t="s">
        <v>1355</v>
      </c>
      <c r="I20" s="1058">
        <f>SUM(AJ20:AJ21)/AJ19*100</f>
        <v>1.3979812819405635</v>
      </c>
      <c r="J20" s="1058"/>
      <c r="K20" s="1058">
        <v>1</v>
      </c>
      <c r="L20" s="372"/>
      <c r="M20" s="372">
        <v>20</v>
      </c>
      <c r="N20" s="372">
        <v>20</v>
      </c>
      <c r="O20" s="372"/>
      <c r="P20" s="372">
        <v>3500</v>
      </c>
      <c r="Q20" s="372">
        <v>3500</v>
      </c>
      <c r="R20" s="372">
        <v>20</v>
      </c>
      <c r="S20" s="372">
        <v>25</v>
      </c>
      <c r="T20" s="372">
        <v>25</v>
      </c>
      <c r="U20" s="372">
        <v>3500</v>
      </c>
      <c r="V20" s="372">
        <v>5000</v>
      </c>
      <c r="W20" s="372">
        <v>7500</v>
      </c>
      <c r="X20" s="372">
        <v>25</v>
      </c>
      <c r="Y20" s="372">
        <v>25</v>
      </c>
      <c r="Z20" s="372">
        <v>20</v>
      </c>
      <c r="AA20" s="372">
        <v>7500</v>
      </c>
      <c r="AB20" s="372">
        <v>7500</v>
      </c>
      <c r="AC20" s="372">
        <v>7500</v>
      </c>
      <c r="AD20" s="372">
        <v>25</v>
      </c>
      <c r="AE20" s="372">
        <v>25</v>
      </c>
      <c r="AF20" s="372">
        <v>20</v>
      </c>
      <c r="AG20" s="372">
        <v>7500</v>
      </c>
      <c r="AH20" s="372">
        <v>7500</v>
      </c>
      <c r="AI20" s="372">
        <v>7500</v>
      </c>
      <c r="AJ20" s="372">
        <f t="shared" ref="AJ20:AJ27" si="7">O20+P20+Q20+U20+V20+W20+AA20+AB20+AC20+AG20+AH20+AI20</f>
        <v>68000</v>
      </c>
      <c r="AK20" s="374">
        <f>AJ20</f>
        <v>68000</v>
      </c>
      <c r="AL20" s="375"/>
      <c r="AM20" s="375"/>
      <c r="AN20" s="375"/>
      <c r="AO20" s="375"/>
      <c r="AP20" s="1078" t="s">
        <v>1362</v>
      </c>
      <c r="AQ20" s="368" t="s">
        <v>1351</v>
      </c>
      <c r="AR20" s="368"/>
    </row>
    <row r="21" spans="1:44" ht="72.75" customHeight="1">
      <c r="A21" s="1081"/>
      <c r="B21" s="1081"/>
      <c r="C21" s="1074"/>
      <c r="D21" s="1079"/>
      <c r="E21" s="369">
        <f t="shared" si="6"/>
        <v>50</v>
      </c>
      <c r="F21" s="385" t="s">
        <v>134</v>
      </c>
      <c r="G21" s="1087"/>
      <c r="H21" s="1087"/>
      <c r="I21" s="1060"/>
      <c r="J21" s="1059"/>
      <c r="K21" s="1060"/>
      <c r="L21" s="372"/>
      <c r="M21" s="372">
        <v>2</v>
      </c>
      <c r="N21" s="372">
        <v>5</v>
      </c>
      <c r="O21" s="372"/>
      <c r="P21" s="372">
        <v>1500</v>
      </c>
      <c r="Q21" s="372">
        <v>1500</v>
      </c>
      <c r="R21" s="372">
        <v>3</v>
      </c>
      <c r="S21" s="372">
        <v>5</v>
      </c>
      <c r="T21" s="372">
        <v>5</v>
      </c>
      <c r="U21" s="372">
        <v>1500</v>
      </c>
      <c r="V21" s="372">
        <v>1500</v>
      </c>
      <c r="W21" s="372">
        <v>1500</v>
      </c>
      <c r="X21" s="372">
        <v>5</v>
      </c>
      <c r="Y21" s="372">
        <v>5</v>
      </c>
      <c r="Z21" s="372">
        <v>5</v>
      </c>
      <c r="AA21" s="372">
        <v>1500</v>
      </c>
      <c r="AB21" s="372">
        <v>1500</v>
      </c>
      <c r="AC21" s="372">
        <v>1500</v>
      </c>
      <c r="AD21" s="372">
        <v>5</v>
      </c>
      <c r="AE21" s="372">
        <v>5</v>
      </c>
      <c r="AF21" s="372">
        <v>5</v>
      </c>
      <c r="AG21" s="372">
        <v>1500</v>
      </c>
      <c r="AH21" s="372">
        <v>1500</v>
      </c>
      <c r="AI21" s="372">
        <v>1500</v>
      </c>
      <c r="AJ21" s="372">
        <f t="shared" si="7"/>
        <v>16500</v>
      </c>
      <c r="AK21" s="374">
        <f>AJ21</f>
        <v>16500</v>
      </c>
      <c r="AL21" s="375"/>
      <c r="AM21" s="386"/>
      <c r="AN21" s="386"/>
      <c r="AO21" s="375"/>
      <c r="AP21" s="1079"/>
      <c r="AQ21" s="368" t="s">
        <v>1351</v>
      </c>
      <c r="AR21" s="368"/>
    </row>
    <row r="22" spans="1:44" ht="110.25">
      <c r="A22" s="1072" t="s">
        <v>44</v>
      </c>
      <c r="B22" s="1072" t="s">
        <v>497</v>
      </c>
      <c r="C22" s="1072" t="s">
        <v>1363</v>
      </c>
      <c r="D22" s="1088" t="s">
        <v>1364</v>
      </c>
      <c r="E22" s="369">
        <f t="shared" si="6"/>
        <v>830</v>
      </c>
      <c r="F22" s="379" t="s">
        <v>423</v>
      </c>
      <c r="G22" s="370" t="s">
        <v>1365</v>
      </c>
      <c r="H22" s="370" t="s">
        <v>1366</v>
      </c>
      <c r="I22" s="1068">
        <f>SUM(AJ22:AJ24)/AJ19*100</f>
        <v>95.880504861500597</v>
      </c>
      <c r="J22" s="1059"/>
      <c r="K22" s="1068">
        <v>96</v>
      </c>
      <c r="L22" s="387"/>
      <c r="M22" s="387"/>
      <c r="N22" s="387"/>
      <c r="O22" s="388"/>
      <c r="P22" s="388"/>
      <c r="Q22" s="388"/>
      <c r="R22" s="389">
        <v>50</v>
      </c>
      <c r="S22" s="389">
        <v>100</v>
      </c>
      <c r="T22" s="389">
        <v>100</v>
      </c>
      <c r="U22" s="388">
        <f>15000+419730</f>
        <v>434730</v>
      </c>
      <c r="V22" s="388">
        <f>15000+127500</f>
        <v>142500</v>
      </c>
      <c r="W22" s="388">
        <f>15000+177500</f>
        <v>192500</v>
      </c>
      <c r="X22" s="371">
        <f>100</f>
        <v>100</v>
      </c>
      <c r="Y22" s="371">
        <f>150</f>
        <v>150</v>
      </c>
      <c r="Z22" s="371">
        <f>150</f>
        <v>150</v>
      </c>
      <c r="AA22" s="372">
        <f>15000+109500</f>
        <v>124500</v>
      </c>
      <c r="AB22" s="372">
        <f>15000+87500</f>
        <v>102500</v>
      </c>
      <c r="AC22" s="372">
        <f>15000+77500</f>
        <v>92500</v>
      </c>
      <c r="AD22" s="371">
        <v>80</v>
      </c>
      <c r="AE22" s="371">
        <v>100</v>
      </c>
      <c r="AF22" s="389"/>
      <c r="AG22" s="372">
        <f>15000+87000</f>
        <v>102000</v>
      </c>
      <c r="AH22" s="372">
        <v>205200</v>
      </c>
      <c r="AI22" s="388"/>
      <c r="AJ22" s="372">
        <f t="shared" si="7"/>
        <v>1396430</v>
      </c>
      <c r="AK22" s="374">
        <f>AJ22-AO22</f>
        <v>135000</v>
      </c>
      <c r="AL22" s="374"/>
      <c r="AM22" s="374"/>
      <c r="AN22" s="390"/>
      <c r="AO22" s="390">
        <f>1261430</f>
        <v>1261430</v>
      </c>
      <c r="AP22" s="391" t="s">
        <v>1367</v>
      </c>
      <c r="AQ22" s="368" t="s">
        <v>1345</v>
      </c>
      <c r="AR22" s="368" t="s">
        <v>1368</v>
      </c>
    </row>
    <row r="23" spans="1:44" ht="94.5">
      <c r="A23" s="1073"/>
      <c r="B23" s="1073"/>
      <c r="C23" s="1073"/>
      <c r="D23" s="1089"/>
      <c r="E23" s="369">
        <f t="shared" si="6"/>
        <v>350</v>
      </c>
      <c r="F23" s="379" t="s">
        <v>423</v>
      </c>
      <c r="G23" s="392" t="s">
        <v>1369</v>
      </c>
      <c r="H23" s="392" t="s">
        <v>1366</v>
      </c>
      <c r="I23" s="1077"/>
      <c r="J23" s="1059"/>
      <c r="K23" s="1077"/>
      <c r="L23" s="367"/>
      <c r="M23" s="367"/>
      <c r="N23" s="367"/>
      <c r="O23" s="372"/>
      <c r="P23" s="372"/>
      <c r="Q23" s="372"/>
      <c r="R23" s="371"/>
      <c r="S23" s="371"/>
      <c r="T23" s="371"/>
      <c r="U23" s="372"/>
      <c r="V23" s="372"/>
      <c r="W23" s="372"/>
      <c r="X23" s="371">
        <v>50</v>
      </c>
      <c r="Y23" s="371">
        <v>100</v>
      </c>
      <c r="Z23" s="371">
        <v>100</v>
      </c>
      <c r="AA23" s="372">
        <v>350000</v>
      </c>
      <c r="AB23" s="372">
        <v>250000</v>
      </c>
      <c r="AC23" s="372">
        <v>250000</v>
      </c>
      <c r="AD23" s="371">
        <v>50</v>
      </c>
      <c r="AE23" s="371">
        <v>50</v>
      </c>
      <c r="AF23" s="371"/>
      <c r="AG23" s="372">
        <v>150000</v>
      </c>
      <c r="AH23" s="372">
        <v>150000</v>
      </c>
      <c r="AI23" s="372"/>
      <c r="AJ23" s="372">
        <f t="shared" si="7"/>
        <v>1150000</v>
      </c>
      <c r="AK23" s="374"/>
      <c r="AL23" s="374"/>
      <c r="AM23" s="374"/>
      <c r="AN23" s="386"/>
      <c r="AO23" s="386">
        <f>AJ23</f>
        <v>1150000</v>
      </c>
      <c r="AP23" s="393" t="s">
        <v>1370</v>
      </c>
      <c r="AQ23" s="368" t="s">
        <v>1345</v>
      </c>
      <c r="AR23" s="368" t="s">
        <v>1371</v>
      </c>
    </row>
    <row r="24" spans="1:44" ht="63">
      <c r="A24" s="1074"/>
      <c r="B24" s="1074"/>
      <c r="C24" s="1074"/>
      <c r="D24" s="1090"/>
      <c r="E24" s="378">
        <f t="shared" si="6"/>
        <v>1200</v>
      </c>
      <c r="F24" s="379" t="s">
        <v>423</v>
      </c>
      <c r="G24" s="392" t="s">
        <v>1372</v>
      </c>
      <c r="H24" s="370" t="s">
        <v>1366</v>
      </c>
      <c r="I24" s="1069"/>
      <c r="J24" s="1059"/>
      <c r="K24" s="1069"/>
      <c r="L24" s="394">
        <v>70</v>
      </c>
      <c r="M24" s="394">
        <v>100</v>
      </c>
      <c r="N24" s="394">
        <v>100</v>
      </c>
      <c r="O24" s="395">
        <v>100000</v>
      </c>
      <c r="P24" s="395">
        <v>100000</v>
      </c>
      <c r="Q24" s="395">
        <v>100000</v>
      </c>
      <c r="R24" s="396">
        <v>50</v>
      </c>
      <c r="S24" s="396">
        <v>100</v>
      </c>
      <c r="T24" s="396">
        <v>100</v>
      </c>
      <c r="U24" s="395">
        <v>200000</v>
      </c>
      <c r="V24" s="395">
        <v>250000</v>
      </c>
      <c r="W24" s="395">
        <v>250000</v>
      </c>
      <c r="X24" s="396">
        <v>100</v>
      </c>
      <c r="Y24" s="396">
        <v>150</v>
      </c>
      <c r="Z24" s="396">
        <v>150</v>
      </c>
      <c r="AA24" s="395">
        <v>350000</v>
      </c>
      <c r="AB24" s="395">
        <v>350000</v>
      </c>
      <c r="AC24" s="395">
        <v>399000</v>
      </c>
      <c r="AD24" s="396">
        <v>125</v>
      </c>
      <c r="AE24" s="396">
        <v>100</v>
      </c>
      <c r="AF24" s="396">
        <v>55</v>
      </c>
      <c r="AG24" s="397">
        <v>400000</v>
      </c>
      <c r="AH24" s="397">
        <v>400000</v>
      </c>
      <c r="AI24" s="397">
        <v>350000</v>
      </c>
      <c r="AJ24" s="397">
        <f t="shared" si="7"/>
        <v>3249000</v>
      </c>
      <c r="AK24" s="398"/>
      <c r="AL24" s="399"/>
      <c r="AM24" s="399"/>
      <c r="AN24" s="399"/>
      <c r="AO24" s="386">
        <f>AJ24</f>
        <v>3249000</v>
      </c>
      <c r="AP24" s="393" t="s">
        <v>1373</v>
      </c>
      <c r="AQ24" s="368" t="s">
        <v>1345</v>
      </c>
      <c r="AR24" s="367"/>
    </row>
    <row r="25" spans="1:44" ht="46.5" customHeight="1">
      <c r="A25" s="1080" t="s">
        <v>44</v>
      </c>
      <c r="B25" s="1080" t="s">
        <v>497</v>
      </c>
      <c r="C25" s="1080" t="s">
        <v>1374</v>
      </c>
      <c r="D25" s="1083" t="s">
        <v>1375</v>
      </c>
      <c r="E25" s="369">
        <f t="shared" si="6"/>
        <v>250</v>
      </c>
      <c r="F25" s="400" t="s">
        <v>131</v>
      </c>
      <c r="G25" s="1070" t="s">
        <v>1376</v>
      </c>
      <c r="H25" s="1070" t="s">
        <v>1350</v>
      </c>
      <c r="I25" s="1068">
        <f>SUM(AJ25:AJ27)/AJ19*100</f>
        <v>2.7215138565588486</v>
      </c>
      <c r="J25" s="1059"/>
      <c r="K25" s="1068">
        <v>3</v>
      </c>
      <c r="L25" s="372"/>
      <c r="M25" s="372">
        <v>20</v>
      </c>
      <c r="N25" s="372">
        <v>20</v>
      </c>
      <c r="O25" s="372"/>
      <c r="P25" s="372">
        <v>3000</v>
      </c>
      <c r="Q25" s="372">
        <v>3000</v>
      </c>
      <c r="R25" s="372">
        <v>20</v>
      </c>
      <c r="S25" s="372">
        <v>25</v>
      </c>
      <c r="T25" s="372">
        <v>25</v>
      </c>
      <c r="U25" s="388">
        <v>3000</v>
      </c>
      <c r="V25" s="388">
        <v>3000</v>
      </c>
      <c r="W25" s="388">
        <v>3000</v>
      </c>
      <c r="X25" s="372">
        <v>25</v>
      </c>
      <c r="Y25" s="372">
        <v>25</v>
      </c>
      <c r="Z25" s="372">
        <v>20</v>
      </c>
      <c r="AA25" s="388">
        <v>3000</v>
      </c>
      <c r="AB25" s="388">
        <v>3000</v>
      </c>
      <c r="AC25" s="388">
        <v>3000</v>
      </c>
      <c r="AD25" s="372">
        <v>25</v>
      </c>
      <c r="AE25" s="372">
        <v>25</v>
      </c>
      <c r="AF25" s="372">
        <v>20</v>
      </c>
      <c r="AG25" s="388">
        <v>3000</v>
      </c>
      <c r="AH25" s="388">
        <v>3000</v>
      </c>
      <c r="AI25" s="388">
        <v>3000</v>
      </c>
      <c r="AJ25" s="372">
        <f t="shared" si="7"/>
        <v>33000</v>
      </c>
      <c r="AK25" s="374">
        <f>AJ25</f>
        <v>33000</v>
      </c>
      <c r="AL25" s="374"/>
      <c r="AM25" s="374"/>
      <c r="AN25" s="386"/>
      <c r="AO25" s="386"/>
      <c r="AP25" s="1078" t="s">
        <v>1362</v>
      </c>
      <c r="AQ25" s="368" t="s">
        <v>1351</v>
      </c>
      <c r="AR25" s="425"/>
    </row>
    <row r="26" spans="1:44" ht="46.5" customHeight="1">
      <c r="A26" s="1082"/>
      <c r="B26" s="1082"/>
      <c r="C26" s="1082"/>
      <c r="D26" s="1084"/>
      <c r="E26" s="401">
        <f t="shared" si="6"/>
        <v>50</v>
      </c>
      <c r="F26" s="400" t="s">
        <v>134</v>
      </c>
      <c r="G26" s="1071"/>
      <c r="H26" s="1071"/>
      <c r="I26" s="1077"/>
      <c r="J26" s="1059"/>
      <c r="K26" s="1077"/>
      <c r="L26" s="372"/>
      <c r="M26" s="372">
        <v>2</v>
      </c>
      <c r="N26" s="372">
        <v>5</v>
      </c>
      <c r="O26" s="372"/>
      <c r="P26" s="372">
        <v>1500</v>
      </c>
      <c r="Q26" s="372">
        <v>1500</v>
      </c>
      <c r="R26" s="372">
        <v>3</v>
      </c>
      <c r="S26" s="372">
        <v>5</v>
      </c>
      <c r="T26" s="372">
        <v>5</v>
      </c>
      <c r="U26" s="388">
        <v>1500</v>
      </c>
      <c r="V26" s="388">
        <v>1500</v>
      </c>
      <c r="W26" s="388">
        <v>1500</v>
      </c>
      <c r="X26" s="372">
        <v>5</v>
      </c>
      <c r="Y26" s="372">
        <v>5</v>
      </c>
      <c r="Z26" s="372">
        <v>5</v>
      </c>
      <c r="AA26" s="388">
        <v>1500</v>
      </c>
      <c r="AB26" s="388">
        <v>1500</v>
      </c>
      <c r="AC26" s="388">
        <v>1500</v>
      </c>
      <c r="AD26" s="372">
        <v>5</v>
      </c>
      <c r="AE26" s="372">
        <v>5</v>
      </c>
      <c r="AF26" s="372">
        <v>5</v>
      </c>
      <c r="AG26" s="388">
        <v>1500</v>
      </c>
      <c r="AH26" s="388">
        <v>1500</v>
      </c>
      <c r="AI26" s="388">
        <v>1500</v>
      </c>
      <c r="AJ26" s="372">
        <f t="shared" si="7"/>
        <v>16500</v>
      </c>
      <c r="AK26" s="374">
        <f>AJ26</f>
        <v>16500</v>
      </c>
      <c r="AL26" s="374"/>
      <c r="AM26" s="374"/>
      <c r="AN26" s="386"/>
      <c r="AO26" s="386"/>
      <c r="AP26" s="1079"/>
      <c r="AQ26" s="368" t="s">
        <v>1351</v>
      </c>
      <c r="AR26" s="425"/>
    </row>
    <row r="27" spans="1:44" s="405" customFormat="1" ht="63">
      <c r="A27" s="1081"/>
      <c r="B27" s="1081"/>
      <c r="C27" s="1081"/>
      <c r="D27" s="1085"/>
      <c r="E27" s="369">
        <v>1</v>
      </c>
      <c r="F27" s="379" t="s">
        <v>1377</v>
      </c>
      <c r="G27" s="714" t="s">
        <v>1378</v>
      </c>
      <c r="H27" s="714" t="s">
        <v>133</v>
      </c>
      <c r="I27" s="1069"/>
      <c r="J27" s="1060"/>
      <c r="K27" s="1069"/>
      <c r="L27" s="372"/>
      <c r="M27" s="372"/>
      <c r="N27" s="372"/>
      <c r="O27" s="372"/>
      <c r="P27" s="372"/>
      <c r="Q27" s="372"/>
      <c r="R27" s="372"/>
      <c r="S27" s="372"/>
      <c r="T27" s="372"/>
      <c r="U27" s="372"/>
      <c r="V27" s="372"/>
      <c r="W27" s="372"/>
      <c r="X27" s="372"/>
      <c r="Y27" s="372"/>
      <c r="Z27" s="372">
        <v>1</v>
      </c>
      <c r="AA27" s="372"/>
      <c r="AB27" s="372"/>
      <c r="AC27" s="372">
        <v>115000</v>
      </c>
      <c r="AD27" s="372"/>
      <c r="AE27" s="372"/>
      <c r="AF27" s="372"/>
      <c r="AG27" s="372"/>
      <c r="AH27" s="372"/>
      <c r="AI27" s="372"/>
      <c r="AJ27" s="372">
        <f t="shared" si="7"/>
        <v>115000</v>
      </c>
      <c r="AK27" s="374">
        <v>25000</v>
      </c>
      <c r="AL27" s="381"/>
      <c r="AM27" s="381"/>
      <c r="AN27" s="381"/>
      <c r="AO27" s="372">
        <v>90000</v>
      </c>
      <c r="AP27" s="402" t="s">
        <v>657</v>
      </c>
      <c r="AQ27" s="712" t="s">
        <v>1379</v>
      </c>
      <c r="AR27" s="368"/>
    </row>
    <row r="28" spans="1:44" s="405" customFormat="1" ht="34.5" customHeight="1">
      <c r="A28" s="403" t="s">
        <v>138</v>
      </c>
      <c r="B28" s="403" t="s">
        <v>1380</v>
      </c>
      <c r="C28" s="362" t="s">
        <v>1381</v>
      </c>
      <c r="D28" s="404" t="s">
        <v>1382</v>
      </c>
      <c r="E28" s="758"/>
      <c r="F28" s="759"/>
      <c r="G28" s="753"/>
      <c r="H28" s="753"/>
      <c r="I28" s="364">
        <v>1</v>
      </c>
      <c r="J28" s="364">
        <v>1</v>
      </c>
      <c r="K28" s="364"/>
      <c r="L28" s="366"/>
      <c r="M28" s="366"/>
      <c r="N28" s="384"/>
      <c r="O28" s="366"/>
      <c r="P28" s="366"/>
      <c r="Q28" s="366"/>
      <c r="R28" s="366"/>
      <c r="S28" s="366"/>
      <c r="T28" s="366"/>
      <c r="U28" s="366">
        <f>SUM(U29:U30)</f>
        <v>15000</v>
      </c>
      <c r="V28" s="366"/>
      <c r="W28" s="366">
        <f>SUM(W29:W30)</f>
        <v>20000</v>
      </c>
      <c r="X28" s="366"/>
      <c r="Y28" s="366"/>
      <c r="Z28" s="366"/>
      <c r="AA28" s="366"/>
      <c r="AB28" s="366"/>
      <c r="AC28" s="366"/>
      <c r="AD28" s="366"/>
      <c r="AE28" s="366"/>
      <c r="AF28" s="366"/>
      <c r="AG28" s="366"/>
      <c r="AH28" s="366"/>
      <c r="AI28" s="366"/>
      <c r="AJ28" s="366">
        <f t="shared" ref="AJ28:AK28" si="8">SUM(AJ29:AJ30)</f>
        <v>35000</v>
      </c>
      <c r="AK28" s="366">
        <f t="shared" si="8"/>
        <v>35000</v>
      </c>
      <c r="AL28" s="366"/>
      <c r="AM28" s="366"/>
      <c r="AN28" s="366"/>
      <c r="AO28" s="366"/>
      <c r="AP28" s="362" t="s">
        <v>1069</v>
      </c>
      <c r="AQ28" s="363"/>
      <c r="AR28" s="363"/>
    </row>
    <row r="29" spans="1:44" s="405" customFormat="1" ht="34.5" customHeight="1">
      <c r="A29" s="367" t="s">
        <v>138</v>
      </c>
      <c r="B29" s="367" t="s">
        <v>1380</v>
      </c>
      <c r="C29" s="367" t="s">
        <v>1383</v>
      </c>
      <c r="D29" s="368" t="s">
        <v>1384</v>
      </c>
      <c r="E29" s="369">
        <v>1</v>
      </c>
      <c r="F29" s="406" t="s">
        <v>375</v>
      </c>
      <c r="G29" s="407" t="s">
        <v>1385</v>
      </c>
      <c r="H29" s="370" t="s">
        <v>1386</v>
      </c>
      <c r="I29" s="378">
        <v>43</v>
      </c>
      <c r="J29" s="378"/>
      <c r="K29" s="378">
        <v>43</v>
      </c>
      <c r="L29" s="372"/>
      <c r="M29" s="372"/>
      <c r="N29" s="372"/>
      <c r="O29" s="372"/>
      <c r="P29" s="372"/>
      <c r="Q29" s="372"/>
      <c r="R29" s="372">
        <v>1</v>
      </c>
      <c r="S29" s="372"/>
      <c r="T29" s="372"/>
      <c r="U29" s="372">
        <v>15000</v>
      </c>
      <c r="V29" s="372"/>
      <c r="W29" s="372"/>
      <c r="X29" s="372"/>
      <c r="Y29" s="372"/>
      <c r="Z29" s="372"/>
      <c r="AA29" s="372"/>
      <c r="AB29" s="372"/>
      <c r="AC29" s="372"/>
      <c r="AD29" s="372"/>
      <c r="AE29" s="372"/>
      <c r="AF29" s="372"/>
      <c r="AG29" s="372"/>
      <c r="AH29" s="372"/>
      <c r="AI29" s="372"/>
      <c r="AJ29" s="372">
        <f>O29+P29+Q29+U29+V29+W29+AA29+AB29+AC29+AG29+AH29+AI29</f>
        <v>15000</v>
      </c>
      <c r="AK29" s="372">
        <f>AJ29</f>
        <v>15000</v>
      </c>
      <c r="AL29" s="372"/>
      <c r="AM29" s="372"/>
      <c r="AN29" s="372"/>
      <c r="AO29" s="372"/>
      <c r="AP29" s="379" t="s">
        <v>1069</v>
      </c>
      <c r="AQ29" s="370" t="s">
        <v>1329</v>
      </c>
      <c r="AR29" s="379"/>
    </row>
    <row r="30" spans="1:44" ht="47.25">
      <c r="A30" s="408" t="s">
        <v>138</v>
      </c>
      <c r="B30" s="408" t="s">
        <v>1380</v>
      </c>
      <c r="C30" s="408" t="s">
        <v>1387</v>
      </c>
      <c r="D30" s="409" t="s">
        <v>1388</v>
      </c>
      <c r="E30" s="369">
        <v>1</v>
      </c>
      <c r="F30" s="410" t="s">
        <v>1389</v>
      </c>
      <c r="G30" s="411" t="s">
        <v>1390</v>
      </c>
      <c r="H30" s="370" t="s">
        <v>1391</v>
      </c>
      <c r="I30" s="378">
        <f>AJ30/AJ28*100</f>
        <v>57.142857142857139</v>
      </c>
      <c r="J30" s="378"/>
      <c r="K30" s="378">
        <v>57</v>
      </c>
      <c r="L30" s="375"/>
      <c r="M30" s="375"/>
      <c r="N30" s="375"/>
      <c r="O30" s="372"/>
      <c r="P30" s="372"/>
      <c r="Q30" s="372"/>
      <c r="R30" s="412"/>
      <c r="S30" s="412"/>
      <c r="T30" s="412">
        <v>1</v>
      </c>
      <c r="U30" s="372"/>
      <c r="V30" s="372"/>
      <c r="W30" s="372">
        <v>20000</v>
      </c>
      <c r="X30" s="375"/>
      <c r="Y30" s="375"/>
      <c r="Z30" s="375"/>
      <c r="AA30" s="372"/>
      <c r="AB30" s="372"/>
      <c r="AC30" s="372"/>
      <c r="AD30" s="375"/>
      <c r="AE30" s="375"/>
      <c r="AF30" s="375"/>
      <c r="AG30" s="372"/>
      <c r="AH30" s="372"/>
      <c r="AI30" s="372"/>
      <c r="AJ30" s="372">
        <f>O30+P30+Q30+U30+V30+W30+AA30+AB30+AC30+AG30+AH30+AI30</f>
        <v>20000</v>
      </c>
      <c r="AK30" s="372">
        <f>AJ30</f>
        <v>20000</v>
      </c>
      <c r="AL30" s="372"/>
      <c r="AM30" s="372"/>
      <c r="AN30" s="372"/>
      <c r="AO30" s="372"/>
      <c r="AP30" s="367" t="s">
        <v>1069</v>
      </c>
      <c r="AQ30" s="370" t="s">
        <v>1329</v>
      </c>
      <c r="AR30" s="368" t="s">
        <v>1392</v>
      </c>
    </row>
    <row r="31" spans="1:44" ht="43.5" customHeight="1">
      <c r="A31" s="362" t="s">
        <v>138</v>
      </c>
      <c r="B31" s="362" t="s">
        <v>1393</v>
      </c>
      <c r="C31" s="362" t="s">
        <v>1394</v>
      </c>
      <c r="D31" s="363" t="s">
        <v>1395</v>
      </c>
      <c r="E31" s="758"/>
      <c r="F31" s="759"/>
      <c r="G31" s="753"/>
      <c r="H31" s="404"/>
      <c r="I31" s="364">
        <v>1</v>
      </c>
      <c r="J31" s="364">
        <v>1</v>
      </c>
      <c r="K31" s="364"/>
      <c r="L31" s="384"/>
      <c r="M31" s="384"/>
      <c r="N31" s="384"/>
      <c r="O31" s="366"/>
      <c r="P31" s="366"/>
      <c r="Q31" s="366"/>
      <c r="R31" s="366"/>
      <c r="S31" s="366"/>
      <c r="T31" s="366"/>
      <c r="U31" s="366"/>
      <c r="V31" s="366"/>
      <c r="W31" s="366"/>
      <c r="X31" s="366"/>
      <c r="Y31" s="366"/>
      <c r="Z31" s="366"/>
      <c r="AA31" s="366"/>
      <c r="AB31" s="366"/>
      <c r="AC31" s="366"/>
      <c r="AD31" s="366"/>
      <c r="AE31" s="366"/>
      <c r="AF31" s="366"/>
      <c r="AG31" s="366">
        <f>AG32+AG33</f>
        <v>38500</v>
      </c>
      <c r="AH31" s="366"/>
      <c r="AI31" s="366">
        <f>AI32+AI33</f>
        <v>38500</v>
      </c>
      <c r="AJ31" s="366">
        <f>SUM(AJ32:AJ33)</f>
        <v>77000</v>
      </c>
      <c r="AK31" s="366">
        <f>SUM(AK32:AK33)</f>
        <v>50000</v>
      </c>
      <c r="AL31" s="366"/>
      <c r="AM31" s="384"/>
      <c r="AN31" s="366"/>
      <c r="AO31" s="366">
        <f>SUM(AO32:AO33)</f>
        <v>27000</v>
      </c>
      <c r="AP31" s="362" t="s">
        <v>1069</v>
      </c>
      <c r="AQ31" s="363"/>
      <c r="AR31" s="363"/>
    </row>
    <row r="32" spans="1:44" ht="63">
      <c r="A32" s="1080" t="s">
        <v>138</v>
      </c>
      <c r="B32" s="1080" t="s">
        <v>1393</v>
      </c>
      <c r="C32" s="1080" t="s">
        <v>1396</v>
      </c>
      <c r="D32" s="1070" t="s">
        <v>1397</v>
      </c>
      <c r="E32" s="417">
        <v>1</v>
      </c>
      <c r="F32" s="410" t="s">
        <v>1389</v>
      </c>
      <c r="G32" s="760" t="s">
        <v>1398</v>
      </c>
      <c r="H32" s="416" t="s">
        <v>1399</v>
      </c>
      <c r="I32" s="1058">
        <v>100</v>
      </c>
      <c r="J32" s="1068"/>
      <c r="K32" s="1068">
        <v>100</v>
      </c>
      <c r="L32" s="373"/>
      <c r="M32" s="373"/>
      <c r="N32" s="373"/>
      <c r="O32" s="373"/>
      <c r="P32" s="373"/>
      <c r="Q32" s="373"/>
      <c r="R32" s="373"/>
      <c r="S32" s="373"/>
      <c r="T32" s="373"/>
      <c r="U32" s="373"/>
      <c r="V32" s="373"/>
      <c r="W32" s="373"/>
      <c r="X32" s="373"/>
      <c r="Y32" s="373"/>
      <c r="Z32" s="373"/>
      <c r="AA32" s="373"/>
      <c r="AB32" s="373"/>
      <c r="AC32" s="373"/>
      <c r="AD32" s="373">
        <v>1</v>
      </c>
      <c r="AE32" s="373"/>
      <c r="AF32" s="373"/>
      <c r="AG32" s="373">
        <f>25000+13500</f>
        <v>38500</v>
      </c>
      <c r="AH32" s="373"/>
      <c r="AI32" s="373"/>
      <c r="AJ32" s="373">
        <f>O32+P32+Q32+U32+V32+W32+AA32+AB32+AC32+AG32+AH32+AI32</f>
        <v>38500</v>
      </c>
      <c r="AK32" s="388">
        <v>25000</v>
      </c>
      <c r="AL32" s="373"/>
      <c r="AM32" s="373"/>
      <c r="AN32" s="373"/>
      <c r="AO32" s="373">
        <v>13500</v>
      </c>
      <c r="AP32" s="413" t="s">
        <v>1069</v>
      </c>
      <c r="AQ32" s="712" t="s">
        <v>1379</v>
      </c>
      <c r="AR32" s="416" t="s">
        <v>1400</v>
      </c>
    </row>
    <row r="33" spans="1:46" ht="63">
      <c r="A33" s="1081"/>
      <c r="B33" s="1081"/>
      <c r="C33" s="1081"/>
      <c r="D33" s="1071"/>
      <c r="E33" s="417">
        <v>1</v>
      </c>
      <c r="F33" s="413" t="s">
        <v>213</v>
      </c>
      <c r="G33" s="416" t="s">
        <v>1401</v>
      </c>
      <c r="H33" s="416" t="s">
        <v>1402</v>
      </c>
      <c r="I33" s="1060"/>
      <c r="J33" s="1069"/>
      <c r="K33" s="1069"/>
      <c r="L33" s="373"/>
      <c r="M33" s="373"/>
      <c r="N33" s="373"/>
      <c r="O33" s="373"/>
      <c r="P33" s="373"/>
      <c r="Q33" s="373"/>
      <c r="R33" s="373"/>
      <c r="S33" s="373"/>
      <c r="T33" s="373"/>
      <c r="U33" s="373"/>
      <c r="V33" s="373"/>
      <c r="W33" s="373"/>
      <c r="X33" s="373"/>
      <c r="Y33" s="373"/>
      <c r="Z33" s="373"/>
      <c r="AA33" s="373"/>
      <c r="AB33" s="373"/>
      <c r="AC33" s="373"/>
      <c r="AD33" s="373"/>
      <c r="AE33" s="373"/>
      <c r="AF33" s="373">
        <v>1</v>
      </c>
      <c r="AG33" s="373"/>
      <c r="AH33" s="373"/>
      <c r="AI33" s="373">
        <f>25000+13500</f>
        <v>38500</v>
      </c>
      <c r="AJ33" s="373">
        <f>O33+P33+Q33+U33+V33+W33+AA33+AB33+AC33+AG33+AH33+AI33</f>
        <v>38500</v>
      </c>
      <c r="AK33" s="388">
        <v>25000</v>
      </c>
      <c r="AL33" s="373"/>
      <c r="AM33" s="373"/>
      <c r="AN33" s="373"/>
      <c r="AO33" s="373">
        <v>13500</v>
      </c>
      <c r="AP33" s="413" t="s">
        <v>1069</v>
      </c>
      <c r="AQ33" s="712" t="s">
        <v>1379</v>
      </c>
      <c r="AR33" s="416" t="s">
        <v>1400</v>
      </c>
    </row>
    <row r="34" spans="1:46" s="762" customFormat="1" ht="31.5">
      <c r="A34" s="362" t="s">
        <v>138</v>
      </c>
      <c r="B34" s="362" t="s">
        <v>1403</v>
      </c>
      <c r="C34" s="362" t="s">
        <v>1404</v>
      </c>
      <c r="D34" s="363" t="s">
        <v>1405</v>
      </c>
      <c r="E34" s="758"/>
      <c r="F34" s="759"/>
      <c r="G34" s="759"/>
      <c r="H34" s="761"/>
      <c r="I34" s="364">
        <v>1</v>
      </c>
      <c r="J34" s="364">
        <v>1</v>
      </c>
      <c r="K34" s="364"/>
      <c r="L34" s="414"/>
      <c r="M34" s="414"/>
      <c r="N34" s="414"/>
      <c r="O34" s="366">
        <f>SUM(O35:O36)</f>
        <v>0</v>
      </c>
      <c r="P34" s="366">
        <f>SUM(P35:P36)</f>
        <v>5000</v>
      </c>
      <c r="Q34" s="366">
        <f>SUM(Q35:Q36)</f>
        <v>5000</v>
      </c>
      <c r="R34" s="415"/>
      <c r="S34" s="415"/>
      <c r="T34" s="415"/>
      <c r="U34" s="366">
        <f>SUM(U35:U36)</f>
        <v>5000</v>
      </c>
      <c r="V34" s="366">
        <f>SUM(V35:V36)</f>
        <v>5000</v>
      </c>
      <c r="W34" s="366">
        <f>SUM(W35:W36)</f>
        <v>26000</v>
      </c>
      <c r="X34" s="414"/>
      <c r="Y34" s="414"/>
      <c r="Z34" s="414"/>
      <c r="AA34" s="366">
        <f>SUM(AA35:AA36)</f>
        <v>5000</v>
      </c>
      <c r="AB34" s="366">
        <f>SUM(AB35:AB36)</f>
        <v>5000</v>
      </c>
      <c r="AC34" s="366">
        <f>SUM(AC35:AC36)</f>
        <v>5000</v>
      </c>
      <c r="AD34" s="414"/>
      <c r="AE34" s="414"/>
      <c r="AF34" s="414"/>
      <c r="AG34" s="366">
        <f>SUM(AG35:AG36)</f>
        <v>22500</v>
      </c>
      <c r="AH34" s="366">
        <f>SUM(AH35:AH36)</f>
        <v>10000</v>
      </c>
      <c r="AI34" s="366">
        <f>SUM(AI35:AI36)</f>
        <v>0</v>
      </c>
      <c r="AJ34" s="366">
        <f>SUM(AJ35:AJ36)</f>
        <v>93500</v>
      </c>
      <c r="AK34" s="366">
        <f>SUM(AK35:AK36)</f>
        <v>93500</v>
      </c>
      <c r="AL34" s="366"/>
      <c r="AM34" s="384"/>
      <c r="AN34" s="366"/>
      <c r="AO34" s="384"/>
      <c r="AP34" s="362" t="s">
        <v>1069</v>
      </c>
      <c r="AQ34" s="363"/>
      <c r="AR34" s="363"/>
    </row>
    <row r="35" spans="1:46" s="405" customFormat="1" ht="94.5">
      <c r="A35" s="408" t="s">
        <v>138</v>
      </c>
      <c r="B35" s="408" t="s">
        <v>1403</v>
      </c>
      <c r="C35" s="408" t="s">
        <v>1406</v>
      </c>
      <c r="D35" s="409" t="s">
        <v>1407</v>
      </c>
      <c r="E35" s="378">
        <f>L35+M35+N35+R35+S35+T35+X35+Y35+Z35+AD35+AE35+AF35</f>
        <v>50</v>
      </c>
      <c r="F35" s="408" t="s">
        <v>1408</v>
      </c>
      <c r="G35" s="416" t="s">
        <v>1409</v>
      </c>
      <c r="H35" s="1064" t="s">
        <v>1410</v>
      </c>
      <c r="I35" s="369">
        <f>AJ35/AJ$34*100</f>
        <v>58.82352941176471</v>
      </c>
      <c r="J35" s="1066"/>
      <c r="K35" s="417">
        <v>59</v>
      </c>
      <c r="L35" s="372"/>
      <c r="M35" s="372">
        <v>3</v>
      </c>
      <c r="N35" s="372">
        <v>5</v>
      </c>
      <c r="O35" s="372"/>
      <c r="P35" s="372">
        <v>5000</v>
      </c>
      <c r="Q35" s="372">
        <v>5000</v>
      </c>
      <c r="R35" s="372">
        <v>5</v>
      </c>
      <c r="S35" s="372">
        <v>5</v>
      </c>
      <c r="T35" s="372">
        <v>5</v>
      </c>
      <c r="U35" s="372">
        <v>5000</v>
      </c>
      <c r="V35" s="372">
        <v>5000</v>
      </c>
      <c r="W35" s="372">
        <v>5000</v>
      </c>
      <c r="X35" s="372">
        <v>7</v>
      </c>
      <c r="Y35" s="372">
        <v>5</v>
      </c>
      <c r="Z35" s="372">
        <v>5</v>
      </c>
      <c r="AA35" s="372">
        <v>5000</v>
      </c>
      <c r="AB35" s="372">
        <v>5000</v>
      </c>
      <c r="AC35" s="372">
        <v>5000</v>
      </c>
      <c r="AD35" s="372">
        <v>5</v>
      </c>
      <c r="AE35" s="372">
        <v>5</v>
      </c>
      <c r="AF35" s="372"/>
      <c r="AG35" s="372">
        <v>5000</v>
      </c>
      <c r="AH35" s="372">
        <v>10000</v>
      </c>
      <c r="AI35" s="372"/>
      <c r="AJ35" s="372">
        <f>O35+P35+Q35+U35+V35+W35+AA35+AB35+AC35+AG35+AH35+AI35</f>
        <v>55000</v>
      </c>
      <c r="AK35" s="418">
        <f>AJ35</f>
        <v>55000</v>
      </c>
      <c r="AL35" s="419"/>
      <c r="AM35" s="419"/>
      <c r="AN35" s="419"/>
      <c r="AO35" s="420"/>
      <c r="AP35" s="413" t="s">
        <v>1069</v>
      </c>
      <c r="AQ35" s="368" t="s">
        <v>1351</v>
      </c>
      <c r="AR35" s="409"/>
    </row>
    <row r="36" spans="1:46" ht="63">
      <c r="A36" s="408" t="s">
        <v>138</v>
      </c>
      <c r="B36" s="367" t="s">
        <v>1403</v>
      </c>
      <c r="C36" s="367" t="s">
        <v>1411</v>
      </c>
      <c r="D36" s="368" t="s">
        <v>1412</v>
      </c>
      <c r="E36" s="369">
        <v>2</v>
      </c>
      <c r="F36" s="713" t="s">
        <v>1408</v>
      </c>
      <c r="G36" s="370" t="s">
        <v>1413</v>
      </c>
      <c r="H36" s="1065"/>
      <c r="I36" s="369">
        <f>AJ36/AJ$34*100</f>
        <v>41.17647058823529</v>
      </c>
      <c r="J36" s="1067"/>
      <c r="K36" s="369">
        <v>41</v>
      </c>
      <c r="L36" s="369"/>
      <c r="M36" s="369"/>
      <c r="N36" s="369"/>
      <c r="O36" s="372"/>
      <c r="P36" s="372"/>
      <c r="Q36" s="372"/>
      <c r="R36" s="369"/>
      <c r="S36" s="369"/>
      <c r="T36" s="369">
        <v>1</v>
      </c>
      <c r="U36" s="372"/>
      <c r="V36" s="372"/>
      <c r="W36" s="372">
        <f>3500+3500+3500+10500</f>
        <v>21000</v>
      </c>
      <c r="X36" s="369"/>
      <c r="Y36" s="369"/>
      <c r="Z36" s="369"/>
      <c r="AA36" s="372"/>
      <c r="AB36" s="372"/>
      <c r="AC36" s="372"/>
      <c r="AD36" s="369">
        <v>1</v>
      </c>
      <c r="AE36" s="369"/>
      <c r="AF36" s="369"/>
      <c r="AG36" s="372">
        <f>3500+3500+3500+3500+3500</f>
        <v>17500</v>
      </c>
      <c r="AH36" s="372"/>
      <c r="AI36" s="372"/>
      <c r="AJ36" s="372">
        <f>O36+P36+Q36+U36+V36+W36+AA36+AB36+AC36+AG36+AH36+AI36</f>
        <v>38500</v>
      </c>
      <c r="AK36" s="374">
        <f>AJ36</f>
        <v>38500</v>
      </c>
      <c r="AL36" s="375"/>
      <c r="AM36" s="375"/>
      <c r="AN36" s="375"/>
      <c r="AO36" s="375"/>
      <c r="AP36" s="413" t="s">
        <v>1069</v>
      </c>
      <c r="AQ36" s="368" t="s">
        <v>1351</v>
      </c>
      <c r="AR36" s="368"/>
    </row>
    <row r="37" spans="1:46" ht="46.5" customHeight="1">
      <c r="A37" s="362" t="s">
        <v>138</v>
      </c>
      <c r="B37" s="362" t="s">
        <v>1403</v>
      </c>
      <c r="C37" s="362" t="s">
        <v>1414</v>
      </c>
      <c r="D37" s="363" t="s">
        <v>1415</v>
      </c>
      <c r="E37" s="752"/>
      <c r="F37" s="763"/>
      <c r="G37" s="761"/>
      <c r="H37" s="363"/>
      <c r="I37" s="364">
        <v>1</v>
      </c>
      <c r="J37" s="364">
        <v>1</v>
      </c>
      <c r="K37" s="364"/>
      <c r="L37" s="414"/>
      <c r="M37" s="414"/>
      <c r="N37" s="414"/>
      <c r="O37" s="384"/>
      <c r="P37" s="366">
        <f>P38+P39</f>
        <v>10000</v>
      </c>
      <c r="Q37" s="366">
        <f>Q38+Q39</f>
        <v>10000</v>
      </c>
      <c r="R37" s="415"/>
      <c r="S37" s="415"/>
      <c r="T37" s="415"/>
      <c r="U37" s="366">
        <f>U38+U39</f>
        <v>10000</v>
      </c>
      <c r="V37" s="366">
        <f>V38+V39</f>
        <v>10000</v>
      </c>
      <c r="W37" s="366">
        <f>W38+W39</f>
        <v>25000</v>
      </c>
      <c r="X37" s="414"/>
      <c r="Y37" s="414"/>
      <c r="Z37" s="414"/>
      <c r="AA37" s="366">
        <f>AA38+AA39</f>
        <v>10000</v>
      </c>
      <c r="AB37" s="366">
        <f>AB38+AB39</f>
        <v>10000</v>
      </c>
      <c r="AC37" s="366">
        <f>AC38+AC39</f>
        <v>25000</v>
      </c>
      <c r="AD37" s="414"/>
      <c r="AE37" s="414"/>
      <c r="AF37" s="414"/>
      <c r="AG37" s="366">
        <f>SUM(AG38:AG39)</f>
        <v>10000</v>
      </c>
      <c r="AH37" s="366">
        <f>SUM(AH38:AH39)</f>
        <v>10000</v>
      </c>
      <c r="AI37" s="366">
        <f>SUM(AI38:AI39)</f>
        <v>0</v>
      </c>
      <c r="AJ37" s="366">
        <f>SUM(AJ38:AJ39)</f>
        <v>130000</v>
      </c>
      <c r="AK37" s="366">
        <f>SUM(AK38:AK39)</f>
        <v>130000</v>
      </c>
      <c r="AL37" s="366"/>
      <c r="AM37" s="366"/>
      <c r="AN37" s="366"/>
      <c r="AO37" s="384"/>
      <c r="AP37" s="363"/>
      <c r="AQ37" s="421"/>
      <c r="AR37" s="363"/>
    </row>
    <row r="38" spans="1:46" s="405" customFormat="1" ht="78.75">
      <c r="A38" s="408" t="s">
        <v>138</v>
      </c>
      <c r="B38" s="408" t="s">
        <v>1403</v>
      </c>
      <c r="C38" s="367" t="s">
        <v>1416</v>
      </c>
      <c r="D38" s="368" t="s">
        <v>1417</v>
      </c>
      <c r="E38" s="369">
        <v>2</v>
      </c>
      <c r="F38" s="413" t="s">
        <v>213</v>
      </c>
      <c r="G38" s="416" t="s">
        <v>1418</v>
      </c>
      <c r="H38" s="416" t="s">
        <v>1419</v>
      </c>
      <c r="I38" s="369">
        <f>AJ38/AJ$37*100</f>
        <v>23.076923076923077</v>
      </c>
      <c r="J38" s="1068"/>
      <c r="K38" s="422">
        <v>23</v>
      </c>
      <c r="L38" s="423"/>
      <c r="M38" s="423"/>
      <c r="N38" s="423"/>
      <c r="O38" s="388"/>
      <c r="P38" s="388"/>
      <c r="Q38" s="388"/>
      <c r="R38" s="424"/>
      <c r="S38" s="424"/>
      <c r="T38" s="372">
        <v>1</v>
      </c>
      <c r="U38" s="372"/>
      <c r="V38" s="372"/>
      <c r="W38" s="372">
        <v>15000</v>
      </c>
      <c r="X38" s="372"/>
      <c r="Y38" s="372"/>
      <c r="Z38" s="372">
        <v>1</v>
      </c>
      <c r="AA38" s="372"/>
      <c r="AB38" s="372"/>
      <c r="AC38" s="372">
        <v>15000</v>
      </c>
      <c r="AD38" s="423"/>
      <c r="AE38" s="423"/>
      <c r="AF38" s="423"/>
      <c r="AG38" s="388"/>
      <c r="AH38" s="388"/>
      <c r="AI38" s="388"/>
      <c r="AJ38" s="372">
        <f>O38+P38+Q38+U38+V38+W38+AA38+AB38+AC38+AG38+AH38+AI38</f>
        <v>30000</v>
      </c>
      <c r="AK38" s="374">
        <f>AJ38</f>
        <v>30000</v>
      </c>
      <c r="AL38" s="423"/>
      <c r="AM38" s="374"/>
      <c r="AN38" s="423"/>
      <c r="AO38" s="423"/>
      <c r="AP38" s="413" t="s">
        <v>1069</v>
      </c>
      <c r="AQ38" s="368" t="s">
        <v>1420</v>
      </c>
      <c r="AR38" s="425"/>
    </row>
    <row r="39" spans="1:46" s="405" customFormat="1" ht="63">
      <c r="A39" s="367" t="s">
        <v>138</v>
      </c>
      <c r="B39" s="367" t="s">
        <v>1403</v>
      </c>
      <c r="C39" s="367" t="s">
        <v>1421</v>
      </c>
      <c r="D39" s="368" t="s">
        <v>1422</v>
      </c>
      <c r="E39" s="369">
        <f>L39+M39+N39+R39+S39+T39+Y39+Z39+X39+AD39+AE39+AF39</f>
        <v>25</v>
      </c>
      <c r="F39" s="379" t="s">
        <v>1423</v>
      </c>
      <c r="G39" s="416" t="s">
        <v>1424</v>
      </c>
      <c r="H39" s="370" t="s">
        <v>1425</v>
      </c>
      <c r="I39" s="369">
        <f>AJ39/AJ$37*100</f>
        <v>76.923076923076934</v>
      </c>
      <c r="J39" s="1069"/>
      <c r="K39" s="369">
        <v>77</v>
      </c>
      <c r="L39" s="372"/>
      <c r="M39" s="372">
        <v>2</v>
      </c>
      <c r="N39" s="372">
        <v>3</v>
      </c>
      <c r="O39" s="372"/>
      <c r="P39" s="372">
        <v>10000</v>
      </c>
      <c r="Q39" s="372">
        <v>10000</v>
      </c>
      <c r="R39" s="372">
        <v>3</v>
      </c>
      <c r="S39" s="372">
        <v>2</v>
      </c>
      <c r="T39" s="372">
        <v>2</v>
      </c>
      <c r="U39" s="372">
        <v>10000</v>
      </c>
      <c r="V39" s="372">
        <v>10000</v>
      </c>
      <c r="W39" s="372">
        <v>10000</v>
      </c>
      <c r="X39" s="372">
        <v>3</v>
      </c>
      <c r="Y39" s="372">
        <v>2</v>
      </c>
      <c r="Z39" s="372">
        <v>3</v>
      </c>
      <c r="AA39" s="372">
        <v>10000</v>
      </c>
      <c r="AB39" s="372">
        <v>10000</v>
      </c>
      <c r="AC39" s="372">
        <v>10000</v>
      </c>
      <c r="AD39" s="375">
        <v>3</v>
      </c>
      <c r="AE39" s="375">
        <v>2</v>
      </c>
      <c r="AF39" s="375"/>
      <c r="AG39" s="372">
        <v>10000</v>
      </c>
      <c r="AH39" s="372">
        <v>10000</v>
      </c>
      <c r="AI39" s="372"/>
      <c r="AJ39" s="372">
        <f>O39+P39+Q39+U39+V39+W39+AA39+AB39+AC39+AG39+AH39+AI39</f>
        <v>100000</v>
      </c>
      <c r="AK39" s="374">
        <f>AJ39</f>
        <v>100000</v>
      </c>
      <c r="AL39" s="375"/>
      <c r="AM39" s="374"/>
      <c r="AN39" s="375"/>
      <c r="AO39" s="375"/>
      <c r="AP39" s="413" t="s">
        <v>1069</v>
      </c>
      <c r="AQ39" s="368" t="s">
        <v>1420</v>
      </c>
      <c r="AR39" s="368"/>
    </row>
    <row r="40" spans="1:46" ht="46.5" customHeight="1">
      <c r="A40" s="362" t="s">
        <v>138</v>
      </c>
      <c r="B40" s="362" t="s">
        <v>1426</v>
      </c>
      <c r="C40" s="362" t="s">
        <v>1427</v>
      </c>
      <c r="D40" s="426" t="s">
        <v>1428</v>
      </c>
      <c r="E40" s="752"/>
      <c r="F40" s="763"/>
      <c r="G40" s="761"/>
      <c r="H40" s="363"/>
      <c r="I40" s="364">
        <v>1</v>
      </c>
      <c r="J40" s="364"/>
      <c r="K40" s="364"/>
      <c r="L40" s="414"/>
      <c r="M40" s="414"/>
      <c r="N40" s="414"/>
      <c r="O40" s="384"/>
      <c r="P40" s="366"/>
      <c r="Q40" s="366"/>
      <c r="R40" s="415"/>
      <c r="S40" s="415"/>
      <c r="T40" s="415"/>
      <c r="U40" s="366">
        <f>SUM(U41:U42)</f>
        <v>25000</v>
      </c>
      <c r="V40" s="366"/>
      <c r="W40" s="366">
        <f>SUM(W41:W42)</f>
        <v>30000</v>
      </c>
      <c r="X40" s="414"/>
      <c r="Y40" s="414"/>
      <c r="Z40" s="414"/>
      <c r="AA40" s="366"/>
      <c r="AB40" s="366"/>
      <c r="AC40" s="366"/>
      <c r="AD40" s="414"/>
      <c r="AE40" s="414"/>
      <c r="AF40" s="414"/>
      <c r="AG40" s="366"/>
      <c r="AH40" s="366"/>
      <c r="AI40" s="366"/>
      <c r="AJ40" s="366">
        <f>SUM(AJ41:AJ42)</f>
        <v>55000</v>
      </c>
      <c r="AK40" s="366"/>
      <c r="AL40" s="366"/>
      <c r="AM40" s="366"/>
      <c r="AN40" s="366"/>
      <c r="AO40" s="366">
        <f>SUM(AO41:AO42)</f>
        <v>55000</v>
      </c>
      <c r="AP40" s="363"/>
      <c r="AQ40" s="421"/>
      <c r="AR40" s="363"/>
    </row>
    <row r="41" spans="1:46" s="405" customFormat="1" ht="94.5">
      <c r="A41" s="367" t="s">
        <v>138</v>
      </c>
      <c r="B41" s="367" t="s">
        <v>1426</v>
      </c>
      <c r="C41" s="367" t="s">
        <v>1429</v>
      </c>
      <c r="D41" s="370" t="s">
        <v>1430</v>
      </c>
      <c r="E41" s="369">
        <f>L41+M41+N41+R41+S41+T41+Y41+Z41+X41+AD41+AE41+AF41</f>
        <v>1</v>
      </c>
      <c r="F41" s="379" t="s">
        <v>213</v>
      </c>
      <c r="G41" s="370" t="s">
        <v>1431</v>
      </c>
      <c r="H41" s="370" t="s">
        <v>1432</v>
      </c>
      <c r="I41" s="369">
        <v>45</v>
      </c>
      <c r="J41" s="1058"/>
      <c r="K41" s="369">
        <v>45</v>
      </c>
      <c r="L41" s="372"/>
      <c r="M41" s="372"/>
      <c r="N41" s="372"/>
      <c r="O41" s="372"/>
      <c r="P41" s="372"/>
      <c r="Q41" s="372"/>
      <c r="R41" s="372">
        <v>1</v>
      </c>
      <c r="S41" s="372"/>
      <c r="T41" s="372"/>
      <c r="U41" s="372">
        <v>25000</v>
      </c>
      <c r="V41" s="372"/>
      <c r="W41" s="372"/>
      <c r="X41" s="372"/>
      <c r="Y41" s="372"/>
      <c r="Z41" s="372"/>
      <c r="AA41" s="372"/>
      <c r="AB41" s="372"/>
      <c r="AC41" s="372"/>
      <c r="AD41" s="372"/>
      <c r="AE41" s="372"/>
      <c r="AF41" s="372"/>
      <c r="AG41" s="372"/>
      <c r="AH41" s="372"/>
      <c r="AI41" s="372"/>
      <c r="AJ41" s="372">
        <f>O41+P41+Q41+U41+V41+W41+AA41+AB41+AC41+AG41+AH41+AI41</f>
        <v>25000</v>
      </c>
      <c r="AK41" s="372"/>
      <c r="AL41" s="372"/>
      <c r="AM41" s="372"/>
      <c r="AN41" s="372"/>
      <c r="AO41" s="372">
        <v>25000</v>
      </c>
      <c r="AP41" s="379" t="s">
        <v>1069</v>
      </c>
      <c r="AQ41" s="370" t="s">
        <v>1433</v>
      </c>
      <c r="AR41" s="370"/>
    </row>
    <row r="42" spans="1:46" s="405" customFormat="1" ht="78.75">
      <c r="A42" s="367" t="s">
        <v>138</v>
      </c>
      <c r="B42" s="367" t="s">
        <v>1426</v>
      </c>
      <c r="C42" s="367" t="s">
        <v>1434</v>
      </c>
      <c r="D42" s="370" t="s">
        <v>1435</v>
      </c>
      <c r="E42" s="369">
        <f>L42+M42+N42+R42+S42+T42+Y42+Z42+X42+AD42+AE42+AF42</f>
        <v>1</v>
      </c>
      <c r="F42" s="379" t="s">
        <v>213</v>
      </c>
      <c r="G42" s="370" t="s">
        <v>1436</v>
      </c>
      <c r="H42" s="370" t="s">
        <v>1437</v>
      </c>
      <c r="I42" s="369">
        <v>55</v>
      </c>
      <c r="J42" s="1060"/>
      <c r="K42" s="369">
        <v>55</v>
      </c>
      <c r="L42" s="372"/>
      <c r="M42" s="372"/>
      <c r="N42" s="372"/>
      <c r="O42" s="372"/>
      <c r="P42" s="372"/>
      <c r="Q42" s="372"/>
      <c r="R42" s="372"/>
      <c r="S42" s="372"/>
      <c r="T42" s="372">
        <v>1</v>
      </c>
      <c r="U42" s="372"/>
      <c r="V42" s="372"/>
      <c r="W42" s="372">
        <v>30000</v>
      </c>
      <c r="X42" s="372"/>
      <c r="Y42" s="372"/>
      <c r="Z42" s="369"/>
      <c r="AA42" s="372"/>
      <c r="AB42" s="372"/>
      <c r="AC42" s="372"/>
      <c r="AD42" s="372"/>
      <c r="AE42" s="372"/>
      <c r="AF42" s="372"/>
      <c r="AG42" s="372"/>
      <c r="AH42" s="372"/>
      <c r="AI42" s="372"/>
      <c r="AJ42" s="372">
        <f>O42+P42+Q42+U42+V42+W42+AA42+AB42+AC42+AG42+AH42+AI42</f>
        <v>30000</v>
      </c>
      <c r="AK42" s="372"/>
      <c r="AL42" s="372"/>
      <c r="AM42" s="372"/>
      <c r="AN42" s="372"/>
      <c r="AO42" s="372">
        <v>30000</v>
      </c>
      <c r="AP42" s="379" t="s">
        <v>1069</v>
      </c>
      <c r="AQ42" s="370" t="s">
        <v>1433</v>
      </c>
      <c r="AR42" s="370"/>
    </row>
    <row r="43" spans="1:46" s="405" customFormat="1" ht="31.5">
      <c r="A43" s="362" t="s">
        <v>138</v>
      </c>
      <c r="B43" s="362" t="s">
        <v>1438</v>
      </c>
      <c r="C43" s="362" t="s">
        <v>2307</v>
      </c>
      <c r="D43" s="363" t="s">
        <v>1439</v>
      </c>
      <c r="E43" s="364"/>
      <c r="F43" s="764"/>
      <c r="G43" s="427"/>
      <c r="H43" s="427"/>
      <c r="I43" s="364">
        <v>13</v>
      </c>
      <c r="J43" s="364">
        <v>13</v>
      </c>
      <c r="K43" s="364"/>
      <c r="L43" s="366"/>
      <c r="M43" s="366"/>
      <c r="N43" s="366"/>
      <c r="O43" s="366">
        <f>O44+O45+O46</f>
        <v>66170</v>
      </c>
      <c r="P43" s="366">
        <f>P44+P45+P46</f>
        <v>78500</v>
      </c>
      <c r="Q43" s="366">
        <f>Q44+Q45+Q46</f>
        <v>143500</v>
      </c>
      <c r="R43" s="366"/>
      <c r="S43" s="366"/>
      <c r="T43" s="366"/>
      <c r="U43" s="366">
        <f>U44+U45+U46</f>
        <v>179500</v>
      </c>
      <c r="V43" s="366">
        <f>V44+V45+V46</f>
        <v>179500</v>
      </c>
      <c r="W43" s="366">
        <f>W44+W45+W46</f>
        <v>67000</v>
      </c>
      <c r="X43" s="366"/>
      <c r="Y43" s="366"/>
      <c r="Z43" s="366"/>
      <c r="AA43" s="366">
        <f>AA44+AA45+AA46</f>
        <v>116000</v>
      </c>
      <c r="AB43" s="366">
        <f>AB44+AB45+AB46</f>
        <v>109500</v>
      </c>
      <c r="AC43" s="366">
        <f>AC44+AC45+AC46</f>
        <v>171000</v>
      </c>
      <c r="AD43" s="414"/>
      <c r="AE43" s="414"/>
      <c r="AF43" s="414"/>
      <c r="AG43" s="366">
        <f>SUM(AG44:AG46)</f>
        <v>107500</v>
      </c>
      <c r="AH43" s="366">
        <f>SUM(AH44:AH46)</f>
        <v>42500</v>
      </c>
      <c r="AI43" s="366">
        <f>SUM(AI44:AI46)</f>
        <v>48515</v>
      </c>
      <c r="AJ43" s="366">
        <f>AJ44+AJ45+AJ46</f>
        <v>1309185</v>
      </c>
      <c r="AK43" s="366">
        <f>AK44+AK45+AK46</f>
        <v>242515</v>
      </c>
      <c r="AL43" s="366">
        <f>SUM(AL44:AL46)</f>
        <v>998500</v>
      </c>
      <c r="AM43" s="366">
        <f>AM44+AM45+AM46</f>
        <v>68170</v>
      </c>
      <c r="AN43" s="366"/>
      <c r="AO43" s="366"/>
      <c r="AP43" s="363"/>
      <c r="AQ43" s="363"/>
      <c r="AR43" s="363"/>
    </row>
    <row r="44" spans="1:46" s="757" customFormat="1" ht="78.75" customHeight="1">
      <c r="A44" s="1072" t="s">
        <v>138</v>
      </c>
      <c r="B44" s="1072" t="s">
        <v>1438</v>
      </c>
      <c r="C44" s="1072" t="s">
        <v>1440</v>
      </c>
      <c r="D44" s="1070" t="s">
        <v>1441</v>
      </c>
      <c r="E44" s="417">
        <f>L44+M44+N44+R44+S44+T44+X44+Y44+Z44+AD44+AE44+AF44</f>
        <v>430</v>
      </c>
      <c r="F44" s="379" t="s">
        <v>423</v>
      </c>
      <c r="G44" s="370" t="s">
        <v>1442</v>
      </c>
      <c r="H44" s="370" t="s">
        <v>1443</v>
      </c>
      <c r="I44" s="1058">
        <v>100</v>
      </c>
      <c r="J44" s="1058"/>
      <c r="K44" s="1058">
        <v>100</v>
      </c>
      <c r="L44" s="369">
        <v>30</v>
      </c>
      <c r="M44" s="369">
        <v>50</v>
      </c>
      <c r="N44" s="369">
        <v>50</v>
      </c>
      <c r="O44" s="372">
        <f>11500+4670+50000</f>
        <v>66170</v>
      </c>
      <c r="P44" s="372">
        <f>25000+3500+50000</f>
        <v>78500</v>
      </c>
      <c r="Q44" s="372">
        <f>25000+3500+50000</f>
        <v>78500</v>
      </c>
      <c r="R44" s="369">
        <v>50</v>
      </c>
      <c r="S44" s="369">
        <v>50</v>
      </c>
      <c r="T44" s="369">
        <v>50</v>
      </c>
      <c r="U44" s="372">
        <f>15000+2000+50000</f>
        <v>67000</v>
      </c>
      <c r="V44" s="372">
        <f>15000+2000+50000</f>
        <v>67000</v>
      </c>
      <c r="W44" s="372">
        <f>15000+2000+50000</f>
        <v>67000</v>
      </c>
      <c r="X44" s="369">
        <v>50</v>
      </c>
      <c r="Y44" s="369">
        <v>50</v>
      </c>
      <c r="Z44" s="369">
        <v>50</v>
      </c>
      <c r="AA44" s="372">
        <f>20000+3500+40000</f>
        <v>63500</v>
      </c>
      <c r="AB44" s="372">
        <f>20000+3500+40000</f>
        <v>63500</v>
      </c>
      <c r="AC44" s="372">
        <f>15000+3500+40000</f>
        <v>58500</v>
      </c>
      <c r="AD44" s="367"/>
      <c r="AE44" s="367"/>
      <c r="AF44" s="367"/>
      <c r="AG44" s="372"/>
      <c r="AH44" s="372"/>
      <c r="AI44" s="372"/>
      <c r="AJ44" s="372">
        <f>O44+P44+Q44+U44+V44+W44+AA44+AB44+AC44+AG44+AH44+AI44</f>
        <v>609670</v>
      </c>
      <c r="AK44" s="374">
        <f>+AJ44-AL44-AM44</f>
        <v>161500</v>
      </c>
      <c r="AL44" s="374">
        <v>420000</v>
      </c>
      <c r="AM44" s="375">
        <v>28170</v>
      </c>
      <c r="AN44" s="374"/>
      <c r="AO44" s="375"/>
      <c r="AP44" s="1061" t="s">
        <v>1444</v>
      </c>
      <c r="AQ44" s="368" t="s">
        <v>1420</v>
      </c>
      <c r="AR44" s="368"/>
      <c r="AS44" s="715">
        <f t="shared" ref="AS44" si="9">AJ44-(O44+P44+Q44+U44+V44+W44+AA44+AB44+AC44+AG44+AH44+AI44)</f>
        <v>0</v>
      </c>
      <c r="AT44" s="715">
        <f t="shared" ref="AT44" si="10">AJ44-(AK44+AL44+AM44+AN44+AO44)</f>
        <v>0</v>
      </c>
    </row>
    <row r="45" spans="1:46" s="757" customFormat="1" ht="63">
      <c r="A45" s="1073"/>
      <c r="B45" s="1073"/>
      <c r="C45" s="1073"/>
      <c r="D45" s="1075"/>
      <c r="E45" s="417">
        <f>L45+M45+N45+R45+S45+T45+X45+Y45+Z45+AD45+AE45+AF45</f>
        <v>9</v>
      </c>
      <c r="F45" s="379" t="s">
        <v>770</v>
      </c>
      <c r="G45" s="370" t="s">
        <v>1445</v>
      </c>
      <c r="H45" s="370" t="s">
        <v>1446</v>
      </c>
      <c r="I45" s="1059"/>
      <c r="J45" s="1059"/>
      <c r="K45" s="1059"/>
      <c r="L45" s="369"/>
      <c r="M45" s="369"/>
      <c r="N45" s="369">
        <v>1</v>
      </c>
      <c r="O45" s="372"/>
      <c r="P45" s="372"/>
      <c r="Q45" s="372">
        <f>15000+5000+45000</f>
        <v>65000</v>
      </c>
      <c r="R45" s="369">
        <v>2</v>
      </c>
      <c r="S45" s="369">
        <v>2</v>
      </c>
      <c r="T45" s="369"/>
      <c r="U45" s="372">
        <f>15000+5000+45000</f>
        <v>65000</v>
      </c>
      <c r="V45" s="372">
        <f>15000+5000+45000</f>
        <v>65000</v>
      </c>
      <c r="W45" s="372"/>
      <c r="X45" s="369"/>
      <c r="Y45" s="369"/>
      <c r="Z45" s="369">
        <v>2</v>
      </c>
      <c r="AA45" s="372"/>
      <c r="AB45" s="372"/>
      <c r="AC45" s="372">
        <f>15000+5000+45000</f>
        <v>65000</v>
      </c>
      <c r="AD45" s="367">
        <v>2</v>
      </c>
      <c r="AE45" s="367"/>
      <c r="AF45" s="367"/>
      <c r="AG45" s="372">
        <f>15000+5000+45000</f>
        <v>65000</v>
      </c>
      <c r="AH45" s="372"/>
      <c r="AI45" s="372"/>
      <c r="AJ45" s="372">
        <f>O45+P45+Q45+U45+V45+W45+AA45+AB45+AC45+AG45+AH45+AI45</f>
        <v>325000</v>
      </c>
      <c r="AK45" s="374">
        <f>+AJ45-AL45-AM45</f>
        <v>80000</v>
      </c>
      <c r="AL45" s="374">
        <v>225000</v>
      </c>
      <c r="AM45" s="375">
        <v>20000</v>
      </c>
      <c r="AN45" s="374"/>
      <c r="AO45" s="375"/>
      <c r="AP45" s="1062"/>
      <c r="AQ45" s="368" t="s">
        <v>1351</v>
      </c>
      <c r="AR45" s="368"/>
      <c r="AS45" s="715">
        <f t="shared" ref="AS45:AS46" si="11">AJ45-(O45+P45+Q45+U45+V45+W45+AA45+AB45+AC45+AG45+AH45+AI45)</f>
        <v>0</v>
      </c>
      <c r="AT45" s="715">
        <f t="shared" ref="AT45:AT46" si="12">AJ45-(AK45+AL45+AM45+AN45+AO45)</f>
        <v>0</v>
      </c>
    </row>
    <row r="46" spans="1:46" s="757" customFormat="1" ht="207.75" customHeight="1">
      <c r="A46" s="1074"/>
      <c r="B46" s="1074"/>
      <c r="C46" s="1074"/>
      <c r="D46" s="1076"/>
      <c r="E46" s="417">
        <f>L46+M46+N46+R46+S46+T46+X46+Y46+Z46+AD46+AE46+AF46</f>
        <v>23</v>
      </c>
      <c r="F46" s="379" t="s">
        <v>1447</v>
      </c>
      <c r="G46" s="370" t="s">
        <v>1448</v>
      </c>
      <c r="H46" s="370" t="s">
        <v>1449</v>
      </c>
      <c r="I46" s="1060"/>
      <c r="J46" s="1060"/>
      <c r="K46" s="1060"/>
      <c r="L46" s="369"/>
      <c r="M46" s="369"/>
      <c r="N46" s="369"/>
      <c r="O46" s="372"/>
      <c r="P46" s="372"/>
      <c r="Q46" s="372"/>
      <c r="R46" s="369">
        <v>3</v>
      </c>
      <c r="S46" s="369">
        <v>3</v>
      </c>
      <c r="T46" s="369"/>
      <c r="U46" s="372">
        <f>2500+45000</f>
        <v>47500</v>
      </c>
      <c r="V46" s="372">
        <f>2500+45000</f>
        <v>47500</v>
      </c>
      <c r="W46" s="372"/>
      <c r="X46" s="369">
        <v>3</v>
      </c>
      <c r="Y46" s="369">
        <v>2</v>
      </c>
      <c r="Z46" s="369">
        <v>3</v>
      </c>
      <c r="AA46" s="372">
        <f>2500+50000</f>
        <v>52500</v>
      </c>
      <c r="AB46" s="372">
        <f>1000+45000</f>
        <v>46000</v>
      </c>
      <c r="AC46" s="372">
        <f>2500+45000</f>
        <v>47500</v>
      </c>
      <c r="AD46" s="367">
        <v>3</v>
      </c>
      <c r="AE46" s="367">
        <v>3</v>
      </c>
      <c r="AF46" s="367">
        <v>3</v>
      </c>
      <c r="AG46" s="372">
        <f>2500+40000</f>
        <v>42500</v>
      </c>
      <c r="AH46" s="372">
        <f>2500+40000</f>
        <v>42500</v>
      </c>
      <c r="AI46" s="372">
        <f>1015+2500+45000</f>
        <v>48515</v>
      </c>
      <c r="AJ46" s="372">
        <f>O46+P46+Q46+U46+V46+W46+AA46+AB46+AC46+AG46+AH46+AI46</f>
        <v>374515</v>
      </c>
      <c r="AK46" s="374">
        <v>1015</v>
      </c>
      <c r="AL46" s="374">
        <f>+AJ46-AK46-AM46</f>
        <v>353500</v>
      </c>
      <c r="AM46" s="375">
        <v>20000</v>
      </c>
      <c r="AN46" s="374"/>
      <c r="AO46" s="375"/>
      <c r="AP46" s="1063"/>
      <c r="AQ46" s="368" t="s">
        <v>1450</v>
      </c>
      <c r="AR46" s="368"/>
      <c r="AS46" s="715">
        <f t="shared" si="11"/>
        <v>0</v>
      </c>
      <c r="AT46" s="715">
        <f t="shared" si="12"/>
        <v>0</v>
      </c>
    </row>
    <row r="47" spans="1:46">
      <c r="A47" s="428"/>
      <c r="B47" s="428"/>
      <c r="C47" s="428"/>
      <c r="D47" s="428" t="s">
        <v>156</v>
      </c>
      <c r="E47" s="428"/>
      <c r="F47" s="428"/>
      <c r="G47" s="428"/>
      <c r="H47" s="428"/>
      <c r="I47" s="429">
        <f>+I43+I37+I34+I31+I28+I19+I14+I10+I40</f>
        <v>100</v>
      </c>
      <c r="J47" s="429">
        <f>+J43+J37+J34+J31+J28+J19+J14+J10</f>
        <v>100.3165931867113</v>
      </c>
      <c r="K47" s="429"/>
      <c r="L47" s="430"/>
      <c r="M47" s="430"/>
      <c r="N47" s="430"/>
      <c r="O47" s="431">
        <f>O43+O40+O37+O34+O31+O28+O19+O14+O10</f>
        <v>230170</v>
      </c>
      <c r="P47" s="431">
        <f t="shared" ref="P47:Q47" si="13">P43+P40+P37+P34+P31+P28+P19+P14+P10</f>
        <v>387000</v>
      </c>
      <c r="Q47" s="431">
        <f t="shared" si="13"/>
        <v>421220</v>
      </c>
      <c r="R47" s="432"/>
      <c r="S47" s="432"/>
      <c r="T47" s="432"/>
      <c r="U47" s="431">
        <f t="shared" ref="U47:W47" si="14">U43+U40+U37+U34+U31+U28+U19+U14+U10</f>
        <v>1140230</v>
      </c>
      <c r="V47" s="431">
        <f t="shared" si="14"/>
        <v>844500</v>
      </c>
      <c r="W47" s="431">
        <f t="shared" si="14"/>
        <v>860500</v>
      </c>
      <c r="X47" s="430"/>
      <c r="Y47" s="430"/>
      <c r="Z47" s="430"/>
      <c r="AA47" s="431">
        <f t="shared" ref="AA47:AC47" si="15">AA43+AA40+AA37+AA34+AA31+AA28+AA19+AA14+AA10</f>
        <v>1220000</v>
      </c>
      <c r="AB47" s="431">
        <f t="shared" si="15"/>
        <v>1101500</v>
      </c>
      <c r="AC47" s="431">
        <f t="shared" si="15"/>
        <v>1294500</v>
      </c>
      <c r="AD47" s="430"/>
      <c r="AE47" s="430"/>
      <c r="AF47" s="430"/>
      <c r="AG47" s="431">
        <f t="shared" ref="AG47:AO47" si="16">AG43+AG40+AG37+AG34+AG31+AG28+AG19+AG14+AG10</f>
        <v>1032500</v>
      </c>
      <c r="AH47" s="431">
        <f t="shared" si="16"/>
        <v>1018700</v>
      </c>
      <c r="AI47" s="431">
        <f t="shared" si="16"/>
        <v>512015</v>
      </c>
      <c r="AJ47" s="431">
        <f t="shared" si="16"/>
        <v>10062835</v>
      </c>
      <c r="AK47" s="431">
        <f t="shared" si="16"/>
        <v>1753735</v>
      </c>
      <c r="AL47" s="431">
        <f t="shared" si="16"/>
        <v>998500</v>
      </c>
      <c r="AM47" s="431">
        <f t="shared" si="16"/>
        <v>68170</v>
      </c>
      <c r="AN47" s="431"/>
      <c r="AO47" s="431">
        <f t="shared" si="16"/>
        <v>7242430</v>
      </c>
      <c r="AP47" s="428"/>
      <c r="AQ47" s="361"/>
      <c r="AR47" s="428"/>
    </row>
    <row r="48" spans="1:46">
      <c r="AJ48" s="768">
        <v>10062835</v>
      </c>
    </row>
    <row r="49" spans="36:41">
      <c r="AJ49" s="770">
        <f>+AJ47-AJ48</f>
        <v>0</v>
      </c>
      <c r="AK49" s="770"/>
      <c r="AO49" s="766"/>
    </row>
    <row r="51" spans="36:41" ht="22.5" customHeight="1">
      <c r="AM51" s="757"/>
    </row>
  </sheetData>
  <mergeCells count="92">
    <mergeCell ref="A1:AR1"/>
    <mergeCell ref="A2:AR2"/>
    <mergeCell ref="A6:C6"/>
    <mergeCell ref="D6:D9"/>
    <mergeCell ref="E6:E9"/>
    <mergeCell ref="F6:F9"/>
    <mergeCell ref="G6:G9"/>
    <mergeCell ref="H6:H9"/>
    <mergeCell ref="I6:I9"/>
    <mergeCell ref="J6:J9"/>
    <mergeCell ref="AK6:AO6"/>
    <mergeCell ref="AP6:AP9"/>
    <mergeCell ref="AQ6:AQ9"/>
    <mergeCell ref="AR6:AR9"/>
    <mergeCell ref="AD7:AI7"/>
    <mergeCell ref="AJ7:AJ9"/>
    <mergeCell ref="AK7:AK9"/>
    <mergeCell ref="AL7:AL9"/>
    <mergeCell ref="AM7:AM9"/>
    <mergeCell ref="AN7:AN9"/>
    <mergeCell ref="AO7:AO9"/>
    <mergeCell ref="AA8:AC8"/>
    <mergeCell ref="AD8:AF8"/>
    <mergeCell ref="L7:Q7"/>
    <mergeCell ref="R7:W7"/>
    <mergeCell ref="X7:AC7"/>
    <mergeCell ref="L8:N8"/>
    <mergeCell ref="O8:Q8"/>
    <mergeCell ref="R8:T8"/>
    <mergeCell ref="U8:W8"/>
    <mergeCell ref="X8:Z8"/>
    <mergeCell ref="AG8:AI8"/>
    <mergeCell ref="J11:J13"/>
    <mergeCell ref="J15:J18"/>
    <mergeCell ref="A17:A18"/>
    <mergeCell ref="B17:B18"/>
    <mergeCell ref="C17:C18"/>
    <mergeCell ref="D17:D18"/>
    <mergeCell ref="G17:G18"/>
    <mergeCell ref="H17:H18"/>
    <mergeCell ref="I17:I18"/>
    <mergeCell ref="A7:A9"/>
    <mergeCell ref="B7:B9"/>
    <mergeCell ref="C7:C9"/>
    <mergeCell ref="K6:K9"/>
    <mergeCell ref="L6:AJ6"/>
    <mergeCell ref="K17:K18"/>
    <mergeCell ref="AR17:AR18"/>
    <mergeCell ref="A20:A21"/>
    <mergeCell ref="B20:B21"/>
    <mergeCell ref="C20:C21"/>
    <mergeCell ref="D20:D21"/>
    <mergeCell ref="G20:G21"/>
    <mergeCell ref="H20:H21"/>
    <mergeCell ref="I20:I21"/>
    <mergeCell ref="J20:J27"/>
    <mergeCell ref="K20:K21"/>
    <mergeCell ref="AP20:AP21"/>
    <mergeCell ref="A22:A24"/>
    <mergeCell ref="B22:B24"/>
    <mergeCell ref="C22:C24"/>
    <mergeCell ref="D22:D24"/>
    <mergeCell ref="I22:I24"/>
    <mergeCell ref="K22:K24"/>
    <mergeCell ref="I25:I27"/>
    <mergeCell ref="K25:K27"/>
    <mergeCell ref="AP25:AP26"/>
    <mergeCell ref="A32:A33"/>
    <mergeCell ref="B32:B33"/>
    <mergeCell ref="C32:C33"/>
    <mergeCell ref="D32:D33"/>
    <mergeCell ref="I32:I33"/>
    <mergeCell ref="J32:J33"/>
    <mergeCell ref="K32:K33"/>
    <mergeCell ref="A25:A27"/>
    <mergeCell ref="B25:B27"/>
    <mergeCell ref="C25:C27"/>
    <mergeCell ref="D25:D27"/>
    <mergeCell ref="G25:G26"/>
    <mergeCell ref="H25:H26"/>
    <mergeCell ref="A44:A46"/>
    <mergeCell ref="B44:B46"/>
    <mergeCell ref="C44:C46"/>
    <mergeCell ref="D44:D46"/>
    <mergeCell ref="I44:I46"/>
    <mergeCell ref="K44:K46"/>
    <mergeCell ref="AP44:AP46"/>
    <mergeCell ref="H35:H36"/>
    <mergeCell ref="J35:J36"/>
    <mergeCell ref="J38:J39"/>
    <mergeCell ref="J41:J42"/>
    <mergeCell ref="J44:J46"/>
  </mergeCells>
  <printOptions horizontalCentered="1"/>
  <pageMargins left="0.98425196850393704" right="0.78740157480314965" top="0.98425196850393704" bottom="0.31496062992125984" header="0.31496062992125984" footer="0.11811023622047245"/>
  <pageSetup paperSize="5" scale="33" orientation="landscape" r:id="rId1"/>
  <headerFooter>
    <oddFooter>Página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FF00"/>
  </sheetPr>
  <dimension ref="A1:BJ77"/>
  <sheetViews>
    <sheetView showGridLines="0" view="pageBreakPreview" topLeftCell="U55" zoomScale="65" zoomScaleNormal="96" zoomScaleSheetLayoutView="65" workbookViewId="0">
      <selection activeCell="AT59" sqref="AT59"/>
    </sheetView>
  </sheetViews>
  <sheetFormatPr baseColWidth="10" defaultRowHeight="15.75"/>
  <cols>
    <col min="1" max="1" width="6.28515625" style="433" customWidth="1"/>
    <col min="2" max="2" width="14.28515625" style="433" customWidth="1"/>
    <col min="3" max="3" width="22.140625" style="433" bestFit="1" customWidth="1"/>
    <col min="4" max="4" width="20.140625" style="433" customWidth="1"/>
    <col min="5" max="5" width="11.28515625" style="433" customWidth="1"/>
    <col min="6" max="6" width="16.140625" style="646" customWidth="1"/>
    <col min="7" max="7" width="25.42578125" style="433" customWidth="1"/>
    <col min="8" max="8" width="19.5703125" style="433" customWidth="1"/>
    <col min="9" max="9" width="17" style="433" customWidth="1"/>
    <col min="10" max="10" width="14.85546875" style="433" customWidth="1"/>
    <col min="11" max="11" width="17.140625" style="433" customWidth="1"/>
    <col min="12" max="13" width="5.42578125" style="433" bestFit="1" customWidth="1"/>
    <col min="14" max="14" width="7.42578125" style="433" bestFit="1" customWidth="1"/>
    <col min="15" max="16" width="10" style="470" bestFit="1" customWidth="1"/>
    <col min="17" max="17" width="12" style="470" bestFit="1" customWidth="1"/>
    <col min="18" max="19" width="5.42578125" style="470" bestFit="1" customWidth="1"/>
    <col min="20" max="20" width="7.42578125" style="470" bestFit="1" customWidth="1"/>
    <col min="21" max="21" width="11.5703125" style="470" bestFit="1" customWidth="1"/>
    <col min="22" max="22" width="11.140625" style="470" bestFit="1" customWidth="1"/>
    <col min="23" max="23" width="11.5703125" style="433" bestFit="1" customWidth="1"/>
    <col min="24" max="25" width="5.42578125" style="433" bestFit="1" customWidth="1"/>
    <col min="26" max="26" width="7.42578125" style="433" bestFit="1" customWidth="1"/>
    <col min="27" max="28" width="12" style="433" bestFit="1" customWidth="1"/>
    <col min="29" max="29" width="11.5703125" style="433" bestFit="1" customWidth="1"/>
    <col min="30" max="31" width="5.42578125" style="433" bestFit="1" customWidth="1"/>
    <col min="32" max="32" width="7.42578125" style="433" bestFit="1" customWidth="1"/>
    <col min="33" max="33" width="11.140625" style="433" bestFit="1" customWidth="1"/>
    <col min="34" max="34" width="10" style="433" bestFit="1" customWidth="1"/>
    <col min="35" max="35" width="12" style="433" customWidth="1"/>
    <col min="36" max="36" width="13.7109375" style="433" customWidth="1"/>
    <col min="37" max="37" width="12.7109375" style="470" customWidth="1"/>
    <col min="38" max="38" width="9.85546875" style="433" customWidth="1"/>
    <col min="39" max="39" width="11.28515625" style="433" customWidth="1"/>
    <col min="40" max="40" width="11.85546875" style="433" customWidth="1"/>
    <col min="41" max="41" width="8.85546875" style="433" customWidth="1"/>
    <col min="42" max="42" width="20" style="433" customWidth="1"/>
    <col min="43" max="43" width="20.140625" style="433" customWidth="1"/>
    <col min="44" max="44" width="28.140625" style="433" customWidth="1"/>
    <col min="45" max="45" width="13.85546875" style="433" customWidth="1"/>
    <col min="46" max="47" width="11.42578125" style="433"/>
    <col min="48" max="48" width="12.28515625" style="433" bestFit="1" customWidth="1"/>
    <col min="49" max="256" width="11.42578125" style="433"/>
    <col min="257" max="257" width="6.28515625" style="433" customWidth="1"/>
    <col min="258" max="258" width="14.28515625" style="433" customWidth="1"/>
    <col min="259" max="259" width="25.5703125" style="433" customWidth="1"/>
    <col min="260" max="260" width="20.140625" style="433" customWidth="1"/>
    <col min="261" max="261" width="11.28515625" style="433" customWidth="1"/>
    <col min="262" max="262" width="16.140625" style="433" customWidth="1"/>
    <col min="263" max="263" width="25.42578125" style="433" customWidth="1"/>
    <col min="264" max="264" width="19.5703125" style="433" customWidth="1"/>
    <col min="265" max="265" width="17" style="433" customWidth="1"/>
    <col min="266" max="266" width="14.85546875" style="433" customWidth="1"/>
    <col min="267" max="267" width="17.140625" style="433" customWidth="1"/>
    <col min="268" max="269" width="5.42578125" style="433" bestFit="1" customWidth="1"/>
    <col min="270" max="270" width="7.42578125" style="433" bestFit="1" customWidth="1"/>
    <col min="271" max="272" width="10" style="433" bestFit="1" customWidth="1"/>
    <col min="273" max="273" width="12" style="433" bestFit="1" customWidth="1"/>
    <col min="274" max="275" width="5.42578125" style="433" bestFit="1" customWidth="1"/>
    <col min="276" max="276" width="7.42578125" style="433" bestFit="1" customWidth="1"/>
    <col min="277" max="277" width="11.5703125" style="433" bestFit="1" customWidth="1"/>
    <col min="278" max="278" width="11.140625" style="433" bestFit="1" customWidth="1"/>
    <col min="279" max="279" width="11.5703125" style="433" bestFit="1" customWidth="1"/>
    <col min="280" max="281" width="5.42578125" style="433" bestFit="1" customWidth="1"/>
    <col min="282" max="282" width="7.42578125" style="433" bestFit="1" customWidth="1"/>
    <col min="283" max="284" width="12" style="433" bestFit="1" customWidth="1"/>
    <col min="285" max="285" width="11.5703125" style="433" bestFit="1" customWidth="1"/>
    <col min="286" max="287" width="5.42578125" style="433" bestFit="1" customWidth="1"/>
    <col min="288" max="288" width="7.42578125" style="433" bestFit="1" customWidth="1"/>
    <col min="289" max="289" width="11.140625" style="433" bestFit="1" customWidth="1"/>
    <col min="290" max="290" width="10" style="433" bestFit="1" customWidth="1"/>
    <col min="291" max="291" width="12" style="433" customWidth="1"/>
    <col min="292" max="292" width="13.7109375" style="433" customWidth="1"/>
    <col min="293" max="293" width="12.7109375" style="433" customWidth="1"/>
    <col min="294" max="294" width="9.85546875" style="433" customWidth="1"/>
    <col min="295" max="295" width="11.28515625" style="433" customWidth="1"/>
    <col min="296" max="296" width="11.85546875" style="433" customWidth="1"/>
    <col min="297" max="297" width="8.85546875" style="433" customWidth="1"/>
    <col min="298" max="298" width="20" style="433" customWidth="1"/>
    <col min="299" max="299" width="20.140625" style="433" customWidth="1"/>
    <col min="300" max="300" width="28.140625" style="433" customWidth="1"/>
    <col min="301" max="301" width="13.85546875" style="433" customWidth="1"/>
    <col min="302" max="303" width="11.42578125" style="433"/>
    <col min="304" max="304" width="12.28515625" style="433" bestFit="1" customWidth="1"/>
    <col min="305" max="512" width="11.42578125" style="433"/>
    <col min="513" max="513" width="6.28515625" style="433" customWidth="1"/>
    <col min="514" max="514" width="14.28515625" style="433" customWidth="1"/>
    <col min="515" max="515" width="25.5703125" style="433" customWidth="1"/>
    <col min="516" max="516" width="20.140625" style="433" customWidth="1"/>
    <col min="517" max="517" width="11.28515625" style="433" customWidth="1"/>
    <col min="518" max="518" width="16.140625" style="433" customWidth="1"/>
    <col min="519" max="519" width="25.42578125" style="433" customWidth="1"/>
    <col min="520" max="520" width="19.5703125" style="433" customWidth="1"/>
    <col min="521" max="521" width="17" style="433" customWidth="1"/>
    <col min="522" max="522" width="14.85546875" style="433" customWidth="1"/>
    <col min="523" max="523" width="17.140625" style="433" customWidth="1"/>
    <col min="524" max="525" width="5.42578125" style="433" bestFit="1" customWidth="1"/>
    <col min="526" max="526" width="7.42578125" style="433" bestFit="1" customWidth="1"/>
    <col min="527" max="528" width="10" style="433" bestFit="1" customWidth="1"/>
    <col min="529" max="529" width="12" style="433" bestFit="1" customWidth="1"/>
    <col min="530" max="531" width="5.42578125" style="433" bestFit="1" customWidth="1"/>
    <col min="532" max="532" width="7.42578125" style="433" bestFit="1" customWidth="1"/>
    <col min="533" max="533" width="11.5703125" style="433" bestFit="1" customWidth="1"/>
    <col min="534" max="534" width="11.140625" style="433" bestFit="1" customWidth="1"/>
    <col min="535" max="535" width="11.5703125" style="433" bestFit="1" customWidth="1"/>
    <col min="536" max="537" width="5.42578125" style="433" bestFit="1" customWidth="1"/>
    <col min="538" max="538" width="7.42578125" style="433" bestFit="1" customWidth="1"/>
    <col min="539" max="540" width="12" style="433" bestFit="1" customWidth="1"/>
    <col min="541" max="541" width="11.5703125" style="433" bestFit="1" customWidth="1"/>
    <col min="542" max="543" width="5.42578125" style="433" bestFit="1" customWidth="1"/>
    <col min="544" max="544" width="7.42578125" style="433" bestFit="1" customWidth="1"/>
    <col min="545" max="545" width="11.140625" style="433" bestFit="1" customWidth="1"/>
    <col min="546" max="546" width="10" style="433" bestFit="1" customWidth="1"/>
    <col min="547" max="547" width="12" style="433" customWidth="1"/>
    <col min="548" max="548" width="13.7109375" style="433" customWidth="1"/>
    <col min="549" max="549" width="12.7109375" style="433" customWidth="1"/>
    <col min="550" max="550" width="9.85546875" style="433" customWidth="1"/>
    <col min="551" max="551" width="11.28515625" style="433" customWidth="1"/>
    <col min="552" max="552" width="11.85546875" style="433" customWidth="1"/>
    <col min="553" max="553" width="8.85546875" style="433" customWidth="1"/>
    <col min="554" max="554" width="20" style="433" customWidth="1"/>
    <col min="555" max="555" width="20.140625" style="433" customWidth="1"/>
    <col min="556" max="556" width="28.140625" style="433" customWidth="1"/>
    <col min="557" max="557" width="13.85546875" style="433" customWidth="1"/>
    <col min="558" max="559" width="11.42578125" style="433"/>
    <col min="560" max="560" width="12.28515625" style="433" bestFit="1" customWidth="1"/>
    <col min="561" max="768" width="11.42578125" style="433"/>
    <col min="769" max="769" width="6.28515625" style="433" customWidth="1"/>
    <col min="770" max="770" width="14.28515625" style="433" customWidth="1"/>
    <col min="771" max="771" width="25.5703125" style="433" customWidth="1"/>
    <col min="772" max="772" width="20.140625" style="433" customWidth="1"/>
    <col min="773" max="773" width="11.28515625" style="433" customWidth="1"/>
    <col min="774" max="774" width="16.140625" style="433" customWidth="1"/>
    <col min="775" max="775" width="25.42578125" style="433" customWidth="1"/>
    <col min="776" max="776" width="19.5703125" style="433" customWidth="1"/>
    <col min="777" max="777" width="17" style="433" customWidth="1"/>
    <col min="778" max="778" width="14.85546875" style="433" customWidth="1"/>
    <col min="779" max="779" width="17.140625" style="433" customWidth="1"/>
    <col min="780" max="781" width="5.42578125" style="433" bestFit="1" customWidth="1"/>
    <col min="782" max="782" width="7.42578125" style="433" bestFit="1" customWidth="1"/>
    <col min="783" max="784" width="10" style="433" bestFit="1" customWidth="1"/>
    <col min="785" max="785" width="12" style="433" bestFit="1" customWidth="1"/>
    <col min="786" max="787" width="5.42578125" style="433" bestFit="1" customWidth="1"/>
    <col min="788" max="788" width="7.42578125" style="433" bestFit="1" customWidth="1"/>
    <col min="789" max="789" width="11.5703125" style="433" bestFit="1" customWidth="1"/>
    <col min="790" max="790" width="11.140625" style="433" bestFit="1" customWidth="1"/>
    <col min="791" max="791" width="11.5703125" style="433" bestFit="1" customWidth="1"/>
    <col min="792" max="793" width="5.42578125" style="433" bestFit="1" customWidth="1"/>
    <col min="794" max="794" width="7.42578125" style="433" bestFit="1" customWidth="1"/>
    <col min="795" max="796" width="12" style="433" bestFit="1" customWidth="1"/>
    <col min="797" max="797" width="11.5703125" style="433" bestFit="1" customWidth="1"/>
    <col min="798" max="799" width="5.42578125" style="433" bestFit="1" customWidth="1"/>
    <col min="800" max="800" width="7.42578125" style="433" bestFit="1" customWidth="1"/>
    <col min="801" max="801" width="11.140625" style="433" bestFit="1" customWidth="1"/>
    <col min="802" max="802" width="10" style="433" bestFit="1" customWidth="1"/>
    <col min="803" max="803" width="12" style="433" customWidth="1"/>
    <col min="804" max="804" width="13.7109375" style="433" customWidth="1"/>
    <col min="805" max="805" width="12.7109375" style="433" customWidth="1"/>
    <col min="806" max="806" width="9.85546875" style="433" customWidth="1"/>
    <col min="807" max="807" width="11.28515625" style="433" customWidth="1"/>
    <col min="808" max="808" width="11.85546875" style="433" customWidth="1"/>
    <col min="809" max="809" width="8.85546875" style="433" customWidth="1"/>
    <col min="810" max="810" width="20" style="433" customWidth="1"/>
    <col min="811" max="811" width="20.140625" style="433" customWidth="1"/>
    <col min="812" max="812" width="28.140625" style="433" customWidth="1"/>
    <col min="813" max="813" width="13.85546875" style="433" customWidth="1"/>
    <col min="814" max="815" width="11.42578125" style="433"/>
    <col min="816" max="816" width="12.28515625" style="433" bestFit="1" customWidth="1"/>
    <col min="817" max="1024" width="11.42578125" style="433"/>
    <col min="1025" max="1025" width="6.28515625" style="433" customWidth="1"/>
    <col min="1026" max="1026" width="14.28515625" style="433" customWidth="1"/>
    <col min="1027" max="1027" width="25.5703125" style="433" customWidth="1"/>
    <col min="1028" max="1028" width="20.140625" style="433" customWidth="1"/>
    <col min="1029" max="1029" width="11.28515625" style="433" customWidth="1"/>
    <col min="1030" max="1030" width="16.140625" style="433" customWidth="1"/>
    <col min="1031" max="1031" width="25.42578125" style="433" customWidth="1"/>
    <col min="1032" max="1032" width="19.5703125" style="433" customWidth="1"/>
    <col min="1033" max="1033" width="17" style="433" customWidth="1"/>
    <col min="1034" max="1034" width="14.85546875" style="433" customWidth="1"/>
    <col min="1035" max="1035" width="17.140625" style="433" customWidth="1"/>
    <col min="1036" max="1037" width="5.42578125" style="433" bestFit="1" customWidth="1"/>
    <col min="1038" max="1038" width="7.42578125" style="433" bestFit="1" customWidth="1"/>
    <col min="1039" max="1040" width="10" style="433" bestFit="1" customWidth="1"/>
    <col min="1041" max="1041" width="12" style="433" bestFit="1" customWidth="1"/>
    <col min="1042" max="1043" width="5.42578125" style="433" bestFit="1" customWidth="1"/>
    <col min="1044" max="1044" width="7.42578125" style="433" bestFit="1" customWidth="1"/>
    <col min="1045" max="1045" width="11.5703125" style="433" bestFit="1" customWidth="1"/>
    <col min="1046" max="1046" width="11.140625" style="433" bestFit="1" customWidth="1"/>
    <col min="1047" max="1047" width="11.5703125" style="433" bestFit="1" customWidth="1"/>
    <col min="1048" max="1049" width="5.42578125" style="433" bestFit="1" customWidth="1"/>
    <col min="1050" max="1050" width="7.42578125" style="433" bestFit="1" customWidth="1"/>
    <col min="1051" max="1052" width="12" style="433" bestFit="1" customWidth="1"/>
    <col min="1053" max="1053" width="11.5703125" style="433" bestFit="1" customWidth="1"/>
    <col min="1054" max="1055" width="5.42578125" style="433" bestFit="1" customWidth="1"/>
    <col min="1056" max="1056" width="7.42578125" style="433" bestFit="1" customWidth="1"/>
    <col min="1057" max="1057" width="11.140625" style="433" bestFit="1" customWidth="1"/>
    <col min="1058" max="1058" width="10" style="433" bestFit="1" customWidth="1"/>
    <col min="1059" max="1059" width="12" style="433" customWidth="1"/>
    <col min="1060" max="1060" width="13.7109375" style="433" customWidth="1"/>
    <col min="1061" max="1061" width="12.7109375" style="433" customWidth="1"/>
    <col min="1062" max="1062" width="9.85546875" style="433" customWidth="1"/>
    <col min="1063" max="1063" width="11.28515625" style="433" customWidth="1"/>
    <col min="1064" max="1064" width="11.85546875" style="433" customWidth="1"/>
    <col min="1065" max="1065" width="8.85546875" style="433" customWidth="1"/>
    <col min="1066" max="1066" width="20" style="433" customWidth="1"/>
    <col min="1067" max="1067" width="20.140625" style="433" customWidth="1"/>
    <col min="1068" max="1068" width="28.140625" style="433" customWidth="1"/>
    <col min="1069" max="1069" width="13.85546875" style="433" customWidth="1"/>
    <col min="1070" max="1071" width="11.42578125" style="433"/>
    <col min="1072" max="1072" width="12.28515625" style="433" bestFit="1" customWidth="1"/>
    <col min="1073" max="1280" width="11.42578125" style="433"/>
    <col min="1281" max="1281" width="6.28515625" style="433" customWidth="1"/>
    <col min="1282" max="1282" width="14.28515625" style="433" customWidth="1"/>
    <col min="1283" max="1283" width="25.5703125" style="433" customWidth="1"/>
    <col min="1284" max="1284" width="20.140625" style="433" customWidth="1"/>
    <col min="1285" max="1285" width="11.28515625" style="433" customWidth="1"/>
    <col min="1286" max="1286" width="16.140625" style="433" customWidth="1"/>
    <col min="1287" max="1287" width="25.42578125" style="433" customWidth="1"/>
    <col min="1288" max="1288" width="19.5703125" style="433" customWidth="1"/>
    <col min="1289" max="1289" width="17" style="433" customWidth="1"/>
    <col min="1290" max="1290" width="14.85546875" style="433" customWidth="1"/>
    <col min="1291" max="1291" width="17.140625" style="433" customWidth="1"/>
    <col min="1292" max="1293" width="5.42578125" style="433" bestFit="1" customWidth="1"/>
    <col min="1294" max="1294" width="7.42578125" style="433" bestFit="1" customWidth="1"/>
    <col min="1295" max="1296" width="10" style="433" bestFit="1" customWidth="1"/>
    <col min="1297" max="1297" width="12" style="433" bestFit="1" customWidth="1"/>
    <col min="1298" max="1299" width="5.42578125" style="433" bestFit="1" customWidth="1"/>
    <col min="1300" max="1300" width="7.42578125" style="433" bestFit="1" customWidth="1"/>
    <col min="1301" max="1301" width="11.5703125" style="433" bestFit="1" customWidth="1"/>
    <col min="1302" max="1302" width="11.140625" style="433" bestFit="1" customWidth="1"/>
    <col min="1303" max="1303" width="11.5703125" style="433" bestFit="1" customWidth="1"/>
    <col min="1304" max="1305" width="5.42578125" style="433" bestFit="1" customWidth="1"/>
    <col min="1306" max="1306" width="7.42578125" style="433" bestFit="1" customWidth="1"/>
    <col min="1307" max="1308" width="12" style="433" bestFit="1" customWidth="1"/>
    <col min="1309" max="1309" width="11.5703125" style="433" bestFit="1" customWidth="1"/>
    <col min="1310" max="1311" width="5.42578125" style="433" bestFit="1" customWidth="1"/>
    <col min="1312" max="1312" width="7.42578125" style="433" bestFit="1" customWidth="1"/>
    <col min="1313" max="1313" width="11.140625" style="433" bestFit="1" customWidth="1"/>
    <col min="1314" max="1314" width="10" style="433" bestFit="1" customWidth="1"/>
    <col min="1315" max="1315" width="12" style="433" customWidth="1"/>
    <col min="1316" max="1316" width="13.7109375" style="433" customWidth="1"/>
    <col min="1317" max="1317" width="12.7109375" style="433" customWidth="1"/>
    <col min="1318" max="1318" width="9.85546875" style="433" customWidth="1"/>
    <col min="1319" max="1319" width="11.28515625" style="433" customWidth="1"/>
    <col min="1320" max="1320" width="11.85546875" style="433" customWidth="1"/>
    <col min="1321" max="1321" width="8.85546875" style="433" customWidth="1"/>
    <col min="1322" max="1322" width="20" style="433" customWidth="1"/>
    <col min="1323" max="1323" width="20.140625" style="433" customWidth="1"/>
    <col min="1324" max="1324" width="28.140625" style="433" customWidth="1"/>
    <col min="1325" max="1325" width="13.85546875" style="433" customWidth="1"/>
    <col min="1326" max="1327" width="11.42578125" style="433"/>
    <col min="1328" max="1328" width="12.28515625" style="433" bestFit="1" customWidth="1"/>
    <col min="1329" max="1536" width="11.42578125" style="433"/>
    <col min="1537" max="1537" width="6.28515625" style="433" customWidth="1"/>
    <col min="1538" max="1538" width="14.28515625" style="433" customWidth="1"/>
    <col min="1539" max="1539" width="25.5703125" style="433" customWidth="1"/>
    <col min="1540" max="1540" width="20.140625" style="433" customWidth="1"/>
    <col min="1541" max="1541" width="11.28515625" style="433" customWidth="1"/>
    <col min="1542" max="1542" width="16.140625" style="433" customWidth="1"/>
    <col min="1543" max="1543" width="25.42578125" style="433" customWidth="1"/>
    <col min="1544" max="1544" width="19.5703125" style="433" customWidth="1"/>
    <col min="1545" max="1545" width="17" style="433" customWidth="1"/>
    <col min="1546" max="1546" width="14.85546875" style="433" customWidth="1"/>
    <col min="1547" max="1547" width="17.140625" style="433" customWidth="1"/>
    <col min="1548" max="1549" width="5.42578125" style="433" bestFit="1" customWidth="1"/>
    <col min="1550" max="1550" width="7.42578125" style="433" bestFit="1" customWidth="1"/>
    <col min="1551" max="1552" width="10" style="433" bestFit="1" customWidth="1"/>
    <col min="1553" max="1553" width="12" style="433" bestFit="1" customWidth="1"/>
    <col min="1554" max="1555" width="5.42578125" style="433" bestFit="1" customWidth="1"/>
    <col min="1556" max="1556" width="7.42578125" style="433" bestFit="1" customWidth="1"/>
    <col min="1557" max="1557" width="11.5703125" style="433" bestFit="1" customWidth="1"/>
    <col min="1558" max="1558" width="11.140625" style="433" bestFit="1" customWidth="1"/>
    <col min="1559" max="1559" width="11.5703125" style="433" bestFit="1" customWidth="1"/>
    <col min="1560" max="1561" width="5.42578125" style="433" bestFit="1" customWidth="1"/>
    <col min="1562" max="1562" width="7.42578125" style="433" bestFit="1" customWidth="1"/>
    <col min="1563" max="1564" width="12" style="433" bestFit="1" customWidth="1"/>
    <col min="1565" max="1565" width="11.5703125" style="433" bestFit="1" customWidth="1"/>
    <col min="1566" max="1567" width="5.42578125" style="433" bestFit="1" customWidth="1"/>
    <col min="1568" max="1568" width="7.42578125" style="433" bestFit="1" customWidth="1"/>
    <col min="1569" max="1569" width="11.140625" style="433" bestFit="1" customWidth="1"/>
    <col min="1570" max="1570" width="10" style="433" bestFit="1" customWidth="1"/>
    <col min="1571" max="1571" width="12" style="433" customWidth="1"/>
    <col min="1572" max="1572" width="13.7109375" style="433" customWidth="1"/>
    <col min="1573" max="1573" width="12.7109375" style="433" customWidth="1"/>
    <col min="1574" max="1574" width="9.85546875" style="433" customWidth="1"/>
    <col min="1575" max="1575" width="11.28515625" style="433" customWidth="1"/>
    <col min="1576" max="1576" width="11.85546875" style="433" customWidth="1"/>
    <col min="1577" max="1577" width="8.85546875" style="433" customWidth="1"/>
    <col min="1578" max="1578" width="20" style="433" customWidth="1"/>
    <col min="1579" max="1579" width="20.140625" style="433" customWidth="1"/>
    <col min="1580" max="1580" width="28.140625" style="433" customWidth="1"/>
    <col min="1581" max="1581" width="13.85546875" style="433" customWidth="1"/>
    <col min="1582" max="1583" width="11.42578125" style="433"/>
    <col min="1584" max="1584" width="12.28515625" style="433" bestFit="1" customWidth="1"/>
    <col min="1585" max="1792" width="11.42578125" style="433"/>
    <col min="1793" max="1793" width="6.28515625" style="433" customWidth="1"/>
    <col min="1794" max="1794" width="14.28515625" style="433" customWidth="1"/>
    <col min="1795" max="1795" width="25.5703125" style="433" customWidth="1"/>
    <col min="1796" max="1796" width="20.140625" style="433" customWidth="1"/>
    <col min="1797" max="1797" width="11.28515625" style="433" customWidth="1"/>
    <col min="1798" max="1798" width="16.140625" style="433" customWidth="1"/>
    <col min="1799" max="1799" width="25.42578125" style="433" customWidth="1"/>
    <col min="1800" max="1800" width="19.5703125" style="433" customWidth="1"/>
    <col min="1801" max="1801" width="17" style="433" customWidth="1"/>
    <col min="1802" max="1802" width="14.85546875" style="433" customWidth="1"/>
    <col min="1803" max="1803" width="17.140625" style="433" customWidth="1"/>
    <col min="1804" max="1805" width="5.42578125" style="433" bestFit="1" customWidth="1"/>
    <col min="1806" max="1806" width="7.42578125" style="433" bestFit="1" customWidth="1"/>
    <col min="1807" max="1808" width="10" style="433" bestFit="1" customWidth="1"/>
    <col min="1809" max="1809" width="12" style="433" bestFit="1" customWidth="1"/>
    <col min="1810" max="1811" width="5.42578125" style="433" bestFit="1" customWidth="1"/>
    <col min="1812" max="1812" width="7.42578125" style="433" bestFit="1" customWidth="1"/>
    <col min="1813" max="1813" width="11.5703125" style="433" bestFit="1" customWidth="1"/>
    <col min="1814" max="1814" width="11.140625" style="433" bestFit="1" customWidth="1"/>
    <col min="1815" max="1815" width="11.5703125" style="433" bestFit="1" customWidth="1"/>
    <col min="1816" max="1817" width="5.42578125" style="433" bestFit="1" customWidth="1"/>
    <col min="1818" max="1818" width="7.42578125" style="433" bestFit="1" customWidth="1"/>
    <col min="1819" max="1820" width="12" style="433" bestFit="1" customWidth="1"/>
    <col min="1821" max="1821" width="11.5703125" style="433" bestFit="1" customWidth="1"/>
    <col min="1822" max="1823" width="5.42578125" style="433" bestFit="1" customWidth="1"/>
    <col min="1824" max="1824" width="7.42578125" style="433" bestFit="1" customWidth="1"/>
    <col min="1825" max="1825" width="11.140625" style="433" bestFit="1" customWidth="1"/>
    <col min="1826" max="1826" width="10" style="433" bestFit="1" customWidth="1"/>
    <col min="1827" max="1827" width="12" style="433" customWidth="1"/>
    <col min="1828" max="1828" width="13.7109375" style="433" customWidth="1"/>
    <col min="1829" max="1829" width="12.7109375" style="433" customWidth="1"/>
    <col min="1830" max="1830" width="9.85546875" style="433" customWidth="1"/>
    <col min="1831" max="1831" width="11.28515625" style="433" customWidth="1"/>
    <col min="1832" max="1832" width="11.85546875" style="433" customWidth="1"/>
    <col min="1833" max="1833" width="8.85546875" style="433" customWidth="1"/>
    <col min="1834" max="1834" width="20" style="433" customWidth="1"/>
    <col min="1835" max="1835" width="20.140625" style="433" customWidth="1"/>
    <col min="1836" max="1836" width="28.140625" style="433" customWidth="1"/>
    <col min="1837" max="1837" width="13.85546875" style="433" customWidth="1"/>
    <col min="1838" max="1839" width="11.42578125" style="433"/>
    <col min="1840" max="1840" width="12.28515625" style="433" bestFit="1" customWidth="1"/>
    <col min="1841" max="2048" width="11.42578125" style="433"/>
    <col min="2049" max="2049" width="6.28515625" style="433" customWidth="1"/>
    <col min="2050" max="2050" width="14.28515625" style="433" customWidth="1"/>
    <col min="2051" max="2051" width="25.5703125" style="433" customWidth="1"/>
    <col min="2052" max="2052" width="20.140625" style="433" customWidth="1"/>
    <col min="2053" max="2053" width="11.28515625" style="433" customWidth="1"/>
    <col min="2054" max="2054" width="16.140625" style="433" customWidth="1"/>
    <col min="2055" max="2055" width="25.42578125" style="433" customWidth="1"/>
    <col min="2056" max="2056" width="19.5703125" style="433" customWidth="1"/>
    <col min="2057" max="2057" width="17" style="433" customWidth="1"/>
    <col min="2058" max="2058" width="14.85546875" style="433" customWidth="1"/>
    <col min="2059" max="2059" width="17.140625" style="433" customWidth="1"/>
    <col min="2060" max="2061" width="5.42578125" style="433" bestFit="1" customWidth="1"/>
    <col min="2062" max="2062" width="7.42578125" style="433" bestFit="1" customWidth="1"/>
    <col min="2063" max="2064" width="10" style="433" bestFit="1" customWidth="1"/>
    <col min="2065" max="2065" width="12" style="433" bestFit="1" customWidth="1"/>
    <col min="2066" max="2067" width="5.42578125" style="433" bestFit="1" customWidth="1"/>
    <col min="2068" max="2068" width="7.42578125" style="433" bestFit="1" customWidth="1"/>
    <col min="2069" max="2069" width="11.5703125" style="433" bestFit="1" customWidth="1"/>
    <col min="2070" max="2070" width="11.140625" style="433" bestFit="1" customWidth="1"/>
    <col min="2071" max="2071" width="11.5703125" style="433" bestFit="1" customWidth="1"/>
    <col min="2072" max="2073" width="5.42578125" style="433" bestFit="1" customWidth="1"/>
    <col min="2074" max="2074" width="7.42578125" style="433" bestFit="1" customWidth="1"/>
    <col min="2075" max="2076" width="12" style="433" bestFit="1" customWidth="1"/>
    <col min="2077" max="2077" width="11.5703125" style="433" bestFit="1" customWidth="1"/>
    <col min="2078" max="2079" width="5.42578125" style="433" bestFit="1" customWidth="1"/>
    <col min="2080" max="2080" width="7.42578125" style="433" bestFit="1" customWidth="1"/>
    <col min="2081" max="2081" width="11.140625" style="433" bestFit="1" customWidth="1"/>
    <col min="2082" max="2082" width="10" style="433" bestFit="1" customWidth="1"/>
    <col min="2083" max="2083" width="12" style="433" customWidth="1"/>
    <col min="2084" max="2084" width="13.7109375" style="433" customWidth="1"/>
    <col min="2085" max="2085" width="12.7109375" style="433" customWidth="1"/>
    <col min="2086" max="2086" width="9.85546875" style="433" customWidth="1"/>
    <col min="2087" max="2087" width="11.28515625" style="433" customWidth="1"/>
    <col min="2088" max="2088" width="11.85546875" style="433" customWidth="1"/>
    <col min="2089" max="2089" width="8.85546875" style="433" customWidth="1"/>
    <col min="2090" max="2090" width="20" style="433" customWidth="1"/>
    <col min="2091" max="2091" width="20.140625" style="433" customWidth="1"/>
    <col min="2092" max="2092" width="28.140625" style="433" customWidth="1"/>
    <col min="2093" max="2093" width="13.85546875" style="433" customWidth="1"/>
    <col min="2094" max="2095" width="11.42578125" style="433"/>
    <col min="2096" max="2096" width="12.28515625" style="433" bestFit="1" customWidth="1"/>
    <col min="2097" max="2304" width="11.42578125" style="433"/>
    <col min="2305" max="2305" width="6.28515625" style="433" customWidth="1"/>
    <col min="2306" max="2306" width="14.28515625" style="433" customWidth="1"/>
    <col min="2307" max="2307" width="25.5703125" style="433" customWidth="1"/>
    <col min="2308" max="2308" width="20.140625" style="433" customWidth="1"/>
    <col min="2309" max="2309" width="11.28515625" style="433" customWidth="1"/>
    <col min="2310" max="2310" width="16.140625" style="433" customWidth="1"/>
    <col min="2311" max="2311" width="25.42578125" style="433" customWidth="1"/>
    <col min="2312" max="2312" width="19.5703125" style="433" customWidth="1"/>
    <col min="2313" max="2313" width="17" style="433" customWidth="1"/>
    <col min="2314" max="2314" width="14.85546875" style="433" customWidth="1"/>
    <col min="2315" max="2315" width="17.140625" style="433" customWidth="1"/>
    <col min="2316" max="2317" width="5.42578125" style="433" bestFit="1" customWidth="1"/>
    <col min="2318" max="2318" width="7.42578125" style="433" bestFit="1" customWidth="1"/>
    <col min="2319" max="2320" width="10" style="433" bestFit="1" customWidth="1"/>
    <col min="2321" max="2321" width="12" style="433" bestFit="1" customWidth="1"/>
    <col min="2322" max="2323" width="5.42578125" style="433" bestFit="1" customWidth="1"/>
    <col min="2324" max="2324" width="7.42578125" style="433" bestFit="1" customWidth="1"/>
    <col min="2325" max="2325" width="11.5703125" style="433" bestFit="1" customWidth="1"/>
    <col min="2326" max="2326" width="11.140625" style="433" bestFit="1" customWidth="1"/>
    <col min="2327" max="2327" width="11.5703125" style="433" bestFit="1" customWidth="1"/>
    <col min="2328" max="2329" width="5.42578125" style="433" bestFit="1" customWidth="1"/>
    <col min="2330" max="2330" width="7.42578125" style="433" bestFit="1" customWidth="1"/>
    <col min="2331" max="2332" width="12" style="433" bestFit="1" customWidth="1"/>
    <col min="2333" max="2333" width="11.5703125" style="433" bestFit="1" customWidth="1"/>
    <col min="2334" max="2335" width="5.42578125" style="433" bestFit="1" customWidth="1"/>
    <col min="2336" max="2336" width="7.42578125" style="433" bestFit="1" customWidth="1"/>
    <col min="2337" max="2337" width="11.140625" style="433" bestFit="1" customWidth="1"/>
    <col min="2338" max="2338" width="10" style="433" bestFit="1" customWidth="1"/>
    <col min="2339" max="2339" width="12" style="433" customWidth="1"/>
    <col min="2340" max="2340" width="13.7109375" style="433" customWidth="1"/>
    <col min="2341" max="2341" width="12.7109375" style="433" customWidth="1"/>
    <col min="2342" max="2342" width="9.85546875" style="433" customWidth="1"/>
    <col min="2343" max="2343" width="11.28515625" style="433" customWidth="1"/>
    <col min="2344" max="2344" width="11.85546875" style="433" customWidth="1"/>
    <col min="2345" max="2345" width="8.85546875" style="433" customWidth="1"/>
    <col min="2346" max="2346" width="20" style="433" customWidth="1"/>
    <col min="2347" max="2347" width="20.140625" style="433" customWidth="1"/>
    <col min="2348" max="2348" width="28.140625" style="433" customWidth="1"/>
    <col min="2349" max="2349" width="13.85546875" style="433" customWidth="1"/>
    <col min="2350" max="2351" width="11.42578125" style="433"/>
    <col min="2352" max="2352" width="12.28515625" style="433" bestFit="1" customWidth="1"/>
    <col min="2353" max="2560" width="11.42578125" style="433"/>
    <col min="2561" max="2561" width="6.28515625" style="433" customWidth="1"/>
    <col min="2562" max="2562" width="14.28515625" style="433" customWidth="1"/>
    <col min="2563" max="2563" width="25.5703125" style="433" customWidth="1"/>
    <col min="2564" max="2564" width="20.140625" style="433" customWidth="1"/>
    <col min="2565" max="2565" width="11.28515625" style="433" customWidth="1"/>
    <col min="2566" max="2566" width="16.140625" style="433" customWidth="1"/>
    <col min="2567" max="2567" width="25.42578125" style="433" customWidth="1"/>
    <col min="2568" max="2568" width="19.5703125" style="433" customWidth="1"/>
    <col min="2569" max="2569" width="17" style="433" customWidth="1"/>
    <col min="2570" max="2570" width="14.85546875" style="433" customWidth="1"/>
    <col min="2571" max="2571" width="17.140625" style="433" customWidth="1"/>
    <col min="2572" max="2573" width="5.42578125" style="433" bestFit="1" customWidth="1"/>
    <col min="2574" max="2574" width="7.42578125" style="433" bestFit="1" customWidth="1"/>
    <col min="2575" max="2576" width="10" style="433" bestFit="1" customWidth="1"/>
    <col min="2577" max="2577" width="12" style="433" bestFit="1" customWidth="1"/>
    <col min="2578" max="2579" width="5.42578125" style="433" bestFit="1" customWidth="1"/>
    <col min="2580" max="2580" width="7.42578125" style="433" bestFit="1" customWidth="1"/>
    <col min="2581" max="2581" width="11.5703125" style="433" bestFit="1" customWidth="1"/>
    <col min="2582" max="2582" width="11.140625" style="433" bestFit="1" customWidth="1"/>
    <col min="2583" max="2583" width="11.5703125" style="433" bestFit="1" customWidth="1"/>
    <col min="2584" max="2585" width="5.42578125" style="433" bestFit="1" customWidth="1"/>
    <col min="2586" max="2586" width="7.42578125" style="433" bestFit="1" customWidth="1"/>
    <col min="2587" max="2588" width="12" style="433" bestFit="1" customWidth="1"/>
    <col min="2589" max="2589" width="11.5703125" style="433" bestFit="1" customWidth="1"/>
    <col min="2590" max="2591" width="5.42578125" style="433" bestFit="1" customWidth="1"/>
    <col min="2592" max="2592" width="7.42578125" style="433" bestFit="1" customWidth="1"/>
    <col min="2593" max="2593" width="11.140625" style="433" bestFit="1" customWidth="1"/>
    <col min="2594" max="2594" width="10" style="433" bestFit="1" customWidth="1"/>
    <col min="2595" max="2595" width="12" style="433" customWidth="1"/>
    <col min="2596" max="2596" width="13.7109375" style="433" customWidth="1"/>
    <col min="2597" max="2597" width="12.7109375" style="433" customWidth="1"/>
    <col min="2598" max="2598" width="9.85546875" style="433" customWidth="1"/>
    <col min="2599" max="2599" width="11.28515625" style="433" customWidth="1"/>
    <col min="2600" max="2600" width="11.85546875" style="433" customWidth="1"/>
    <col min="2601" max="2601" width="8.85546875" style="433" customWidth="1"/>
    <col min="2602" max="2602" width="20" style="433" customWidth="1"/>
    <col min="2603" max="2603" width="20.140625" style="433" customWidth="1"/>
    <col min="2604" max="2604" width="28.140625" style="433" customWidth="1"/>
    <col min="2605" max="2605" width="13.85546875" style="433" customWidth="1"/>
    <col min="2606" max="2607" width="11.42578125" style="433"/>
    <col min="2608" max="2608" width="12.28515625" style="433" bestFit="1" customWidth="1"/>
    <col min="2609" max="2816" width="11.42578125" style="433"/>
    <col min="2817" max="2817" width="6.28515625" style="433" customWidth="1"/>
    <col min="2818" max="2818" width="14.28515625" style="433" customWidth="1"/>
    <col min="2819" max="2819" width="25.5703125" style="433" customWidth="1"/>
    <col min="2820" max="2820" width="20.140625" style="433" customWidth="1"/>
    <col min="2821" max="2821" width="11.28515625" style="433" customWidth="1"/>
    <col min="2822" max="2822" width="16.140625" style="433" customWidth="1"/>
    <col min="2823" max="2823" width="25.42578125" style="433" customWidth="1"/>
    <col min="2824" max="2824" width="19.5703125" style="433" customWidth="1"/>
    <col min="2825" max="2825" width="17" style="433" customWidth="1"/>
    <col min="2826" max="2826" width="14.85546875" style="433" customWidth="1"/>
    <col min="2827" max="2827" width="17.140625" style="433" customWidth="1"/>
    <col min="2828" max="2829" width="5.42578125" style="433" bestFit="1" customWidth="1"/>
    <col min="2830" max="2830" width="7.42578125" style="433" bestFit="1" customWidth="1"/>
    <col min="2831" max="2832" width="10" style="433" bestFit="1" customWidth="1"/>
    <col min="2833" max="2833" width="12" style="433" bestFit="1" customWidth="1"/>
    <col min="2834" max="2835" width="5.42578125" style="433" bestFit="1" customWidth="1"/>
    <col min="2836" max="2836" width="7.42578125" style="433" bestFit="1" customWidth="1"/>
    <col min="2837" max="2837" width="11.5703125" style="433" bestFit="1" customWidth="1"/>
    <col min="2838" max="2838" width="11.140625" style="433" bestFit="1" customWidth="1"/>
    <col min="2839" max="2839" width="11.5703125" style="433" bestFit="1" customWidth="1"/>
    <col min="2840" max="2841" width="5.42578125" style="433" bestFit="1" customWidth="1"/>
    <col min="2842" max="2842" width="7.42578125" style="433" bestFit="1" customWidth="1"/>
    <col min="2843" max="2844" width="12" style="433" bestFit="1" customWidth="1"/>
    <col min="2845" max="2845" width="11.5703125" style="433" bestFit="1" customWidth="1"/>
    <col min="2846" max="2847" width="5.42578125" style="433" bestFit="1" customWidth="1"/>
    <col min="2848" max="2848" width="7.42578125" style="433" bestFit="1" customWidth="1"/>
    <col min="2849" max="2849" width="11.140625" style="433" bestFit="1" customWidth="1"/>
    <col min="2850" max="2850" width="10" style="433" bestFit="1" customWidth="1"/>
    <col min="2851" max="2851" width="12" style="433" customWidth="1"/>
    <col min="2852" max="2852" width="13.7109375" style="433" customWidth="1"/>
    <col min="2853" max="2853" width="12.7109375" style="433" customWidth="1"/>
    <col min="2854" max="2854" width="9.85546875" style="433" customWidth="1"/>
    <col min="2855" max="2855" width="11.28515625" style="433" customWidth="1"/>
    <col min="2856" max="2856" width="11.85546875" style="433" customWidth="1"/>
    <col min="2857" max="2857" width="8.85546875" style="433" customWidth="1"/>
    <col min="2858" max="2858" width="20" style="433" customWidth="1"/>
    <col min="2859" max="2859" width="20.140625" style="433" customWidth="1"/>
    <col min="2860" max="2860" width="28.140625" style="433" customWidth="1"/>
    <col min="2861" max="2861" width="13.85546875" style="433" customWidth="1"/>
    <col min="2862" max="2863" width="11.42578125" style="433"/>
    <col min="2864" max="2864" width="12.28515625" style="433" bestFit="1" customWidth="1"/>
    <col min="2865" max="3072" width="11.42578125" style="433"/>
    <col min="3073" max="3073" width="6.28515625" style="433" customWidth="1"/>
    <col min="3074" max="3074" width="14.28515625" style="433" customWidth="1"/>
    <col min="3075" max="3075" width="25.5703125" style="433" customWidth="1"/>
    <col min="3076" max="3076" width="20.140625" style="433" customWidth="1"/>
    <col min="3077" max="3077" width="11.28515625" style="433" customWidth="1"/>
    <col min="3078" max="3078" width="16.140625" style="433" customWidth="1"/>
    <col min="3079" max="3079" width="25.42578125" style="433" customWidth="1"/>
    <col min="3080" max="3080" width="19.5703125" style="433" customWidth="1"/>
    <col min="3081" max="3081" width="17" style="433" customWidth="1"/>
    <col min="3082" max="3082" width="14.85546875" style="433" customWidth="1"/>
    <col min="3083" max="3083" width="17.140625" style="433" customWidth="1"/>
    <col min="3084" max="3085" width="5.42578125" style="433" bestFit="1" customWidth="1"/>
    <col min="3086" max="3086" width="7.42578125" style="433" bestFit="1" customWidth="1"/>
    <col min="3087" max="3088" width="10" style="433" bestFit="1" customWidth="1"/>
    <col min="3089" max="3089" width="12" style="433" bestFit="1" customWidth="1"/>
    <col min="3090" max="3091" width="5.42578125" style="433" bestFit="1" customWidth="1"/>
    <col min="3092" max="3092" width="7.42578125" style="433" bestFit="1" customWidth="1"/>
    <col min="3093" max="3093" width="11.5703125" style="433" bestFit="1" customWidth="1"/>
    <col min="3094" max="3094" width="11.140625" style="433" bestFit="1" customWidth="1"/>
    <col min="3095" max="3095" width="11.5703125" style="433" bestFit="1" customWidth="1"/>
    <col min="3096" max="3097" width="5.42578125" style="433" bestFit="1" customWidth="1"/>
    <col min="3098" max="3098" width="7.42578125" style="433" bestFit="1" customWidth="1"/>
    <col min="3099" max="3100" width="12" style="433" bestFit="1" customWidth="1"/>
    <col min="3101" max="3101" width="11.5703125" style="433" bestFit="1" customWidth="1"/>
    <col min="3102" max="3103" width="5.42578125" style="433" bestFit="1" customWidth="1"/>
    <col min="3104" max="3104" width="7.42578125" style="433" bestFit="1" customWidth="1"/>
    <col min="3105" max="3105" width="11.140625" style="433" bestFit="1" customWidth="1"/>
    <col min="3106" max="3106" width="10" style="433" bestFit="1" customWidth="1"/>
    <col min="3107" max="3107" width="12" style="433" customWidth="1"/>
    <col min="3108" max="3108" width="13.7109375" style="433" customWidth="1"/>
    <col min="3109" max="3109" width="12.7109375" style="433" customWidth="1"/>
    <col min="3110" max="3110" width="9.85546875" style="433" customWidth="1"/>
    <col min="3111" max="3111" width="11.28515625" style="433" customWidth="1"/>
    <col min="3112" max="3112" width="11.85546875" style="433" customWidth="1"/>
    <col min="3113" max="3113" width="8.85546875" style="433" customWidth="1"/>
    <col min="3114" max="3114" width="20" style="433" customWidth="1"/>
    <col min="3115" max="3115" width="20.140625" style="433" customWidth="1"/>
    <col min="3116" max="3116" width="28.140625" style="433" customWidth="1"/>
    <col min="3117" max="3117" width="13.85546875" style="433" customWidth="1"/>
    <col min="3118" max="3119" width="11.42578125" style="433"/>
    <col min="3120" max="3120" width="12.28515625" style="433" bestFit="1" customWidth="1"/>
    <col min="3121" max="3328" width="11.42578125" style="433"/>
    <col min="3329" max="3329" width="6.28515625" style="433" customWidth="1"/>
    <col min="3330" max="3330" width="14.28515625" style="433" customWidth="1"/>
    <col min="3331" max="3331" width="25.5703125" style="433" customWidth="1"/>
    <col min="3332" max="3332" width="20.140625" style="433" customWidth="1"/>
    <col min="3333" max="3333" width="11.28515625" style="433" customWidth="1"/>
    <col min="3334" max="3334" width="16.140625" style="433" customWidth="1"/>
    <col min="3335" max="3335" width="25.42578125" style="433" customWidth="1"/>
    <col min="3336" max="3336" width="19.5703125" style="433" customWidth="1"/>
    <col min="3337" max="3337" width="17" style="433" customWidth="1"/>
    <col min="3338" max="3338" width="14.85546875" style="433" customWidth="1"/>
    <col min="3339" max="3339" width="17.140625" style="433" customWidth="1"/>
    <col min="3340" max="3341" width="5.42578125" style="433" bestFit="1" customWidth="1"/>
    <col min="3342" max="3342" width="7.42578125" style="433" bestFit="1" customWidth="1"/>
    <col min="3343" max="3344" width="10" style="433" bestFit="1" customWidth="1"/>
    <col min="3345" max="3345" width="12" style="433" bestFit="1" customWidth="1"/>
    <col min="3346" max="3347" width="5.42578125" style="433" bestFit="1" customWidth="1"/>
    <col min="3348" max="3348" width="7.42578125" style="433" bestFit="1" customWidth="1"/>
    <col min="3349" max="3349" width="11.5703125" style="433" bestFit="1" customWidth="1"/>
    <col min="3350" max="3350" width="11.140625" style="433" bestFit="1" customWidth="1"/>
    <col min="3351" max="3351" width="11.5703125" style="433" bestFit="1" customWidth="1"/>
    <col min="3352" max="3353" width="5.42578125" style="433" bestFit="1" customWidth="1"/>
    <col min="3354" max="3354" width="7.42578125" style="433" bestFit="1" customWidth="1"/>
    <col min="3355" max="3356" width="12" style="433" bestFit="1" customWidth="1"/>
    <col min="3357" max="3357" width="11.5703125" style="433" bestFit="1" customWidth="1"/>
    <col min="3358" max="3359" width="5.42578125" style="433" bestFit="1" customWidth="1"/>
    <col min="3360" max="3360" width="7.42578125" style="433" bestFit="1" customWidth="1"/>
    <col min="3361" max="3361" width="11.140625" style="433" bestFit="1" customWidth="1"/>
    <col min="3362" max="3362" width="10" style="433" bestFit="1" customWidth="1"/>
    <col min="3363" max="3363" width="12" style="433" customWidth="1"/>
    <col min="3364" max="3364" width="13.7109375" style="433" customWidth="1"/>
    <col min="3365" max="3365" width="12.7109375" style="433" customWidth="1"/>
    <col min="3366" max="3366" width="9.85546875" style="433" customWidth="1"/>
    <col min="3367" max="3367" width="11.28515625" style="433" customWidth="1"/>
    <col min="3368" max="3368" width="11.85546875" style="433" customWidth="1"/>
    <col min="3369" max="3369" width="8.85546875" style="433" customWidth="1"/>
    <col min="3370" max="3370" width="20" style="433" customWidth="1"/>
    <col min="3371" max="3371" width="20.140625" style="433" customWidth="1"/>
    <col min="3372" max="3372" width="28.140625" style="433" customWidth="1"/>
    <col min="3373" max="3373" width="13.85546875" style="433" customWidth="1"/>
    <col min="3374" max="3375" width="11.42578125" style="433"/>
    <col min="3376" max="3376" width="12.28515625" style="433" bestFit="1" customWidth="1"/>
    <col min="3377" max="3584" width="11.42578125" style="433"/>
    <col min="3585" max="3585" width="6.28515625" style="433" customWidth="1"/>
    <col min="3586" max="3586" width="14.28515625" style="433" customWidth="1"/>
    <col min="3587" max="3587" width="25.5703125" style="433" customWidth="1"/>
    <col min="3588" max="3588" width="20.140625" style="433" customWidth="1"/>
    <col min="3589" max="3589" width="11.28515625" style="433" customWidth="1"/>
    <col min="3590" max="3590" width="16.140625" style="433" customWidth="1"/>
    <col min="3591" max="3591" width="25.42578125" style="433" customWidth="1"/>
    <col min="3592" max="3592" width="19.5703125" style="433" customWidth="1"/>
    <col min="3593" max="3593" width="17" style="433" customWidth="1"/>
    <col min="3594" max="3594" width="14.85546875" style="433" customWidth="1"/>
    <col min="3595" max="3595" width="17.140625" style="433" customWidth="1"/>
    <col min="3596" max="3597" width="5.42578125" style="433" bestFit="1" customWidth="1"/>
    <col min="3598" max="3598" width="7.42578125" style="433" bestFit="1" customWidth="1"/>
    <col min="3599" max="3600" width="10" style="433" bestFit="1" customWidth="1"/>
    <col min="3601" max="3601" width="12" style="433" bestFit="1" customWidth="1"/>
    <col min="3602" max="3603" width="5.42578125" style="433" bestFit="1" customWidth="1"/>
    <col min="3604" max="3604" width="7.42578125" style="433" bestFit="1" customWidth="1"/>
    <col min="3605" max="3605" width="11.5703125" style="433" bestFit="1" customWidth="1"/>
    <col min="3606" max="3606" width="11.140625" style="433" bestFit="1" customWidth="1"/>
    <col min="3607" max="3607" width="11.5703125" style="433" bestFit="1" customWidth="1"/>
    <col min="3608" max="3609" width="5.42578125" style="433" bestFit="1" customWidth="1"/>
    <col min="3610" max="3610" width="7.42578125" style="433" bestFit="1" customWidth="1"/>
    <col min="3611" max="3612" width="12" style="433" bestFit="1" customWidth="1"/>
    <col min="3613" max="3613" width="11.5703125" style="433" bestFit="1" customWidth="1"/>
    <col min="3614" max="3615" width="5.42578125" style="433" bestFit="1" customWidth="1"/>
    <col min="3616" max="3616" width="7.42578125" style="433" bestFit="1" customWidth="1"/>
    <col min="3617" max="3617" width="11.140625" style="433" bestFit="1" customWidth="1"/>
    <col min="3618" max="3618" width="10" style="433" bestFit="1" customWidth="1"/>
    <col min="3619" max="3619" width="12" style="433" customWidth="1"/>
    <col min="3620" max="3620" width="13.7109375" style="433" customWidth="1"/>
    <col min="3621" max="3621" width="12.7109375" style="433" customWidth="1"/>
    <col min="3622" max="3622" width="9.85546875" style="433" customWidth="1"/>
    <col min="3623" max="3623" width="11.28515625" style="433" customWidth="1"/>
    <col min="3624" max="3624" width="11.85546875" style="433" customWidth="1"/>
    <col min="3625" max="3625" width="8.85546875" style="433" customWidth="1"/>
    <col min="3626" max="3626" width="20" style="433" customWidth="1"/>
    <col min="3627" max="3627" width="20.140625" style="433" customWidth="1"/>
    <col min="3628" max="3628" width="28.140625" style="433" customWidth="1"/>
    <col min="3629" max="3629" width="13.85546875" style="433" customWidth="1"/>
    <col min="3630" max="3631" width="11.42578125" style="433"/>
    <col min="3632" max="3632" width="12.28515625" style="433" bestFit="1" customWidth="1"/>
    <col min="3633" max="3840" width="11.42578125" style="433"/>
    <col min="3841" max="3841" width="6.28515625" style="433" customWidth="1"/>
    <col min="3842" max="3842" width="14.28515625" style="433" customWidth="1"/>
    <col min="3843" max="3843" width="25.5703125" style="433" customWidth="1"/>
    <col min="3844" max="3844" width="20.140625" style="433" customWidth="1"/>
    <col min="3845" max="3845" width="11.28515625" style="433" customWidth="1"/>
    <col min="3846" max="3846" width="16.140625" style="433" customWidth="1"/>
    <col min="3847" max="3847" width="25.42578125" style="433" customWidth="1"/>
    <col min="3848" max="3848" width="19.5703125" style="433" customWidth="1"/>
    <col min="3849" max="3849" width="17" style="433" customWidth="1"/>
    <col min="3850" max="3850" width="14.85546875" style="433" customWidth="1"/>
    <col min="3851" max="3851" width="17.140625" style="433" customWidth="1"/>
    <col min="3852" max="3853" width="5.42578125" style="433" bestFit="1" customWidth="1"/>
    <col min="3854" max="3854" width="7.42578125" style="433" bestFit="1" customWidth="1"/>
    <col min="3855" max="3856" width="10" style="433" bestFit="1" customWidth="1"/>
    <col min="3857" max="3857" width="12" style="433" bestFit="1" customWidth="1"/>
    <col min="3858" max="3859" width="5.42578125" style="433" bestFit="1" customWidth="1"/>
    <col min="3860" max="3860" width="7.42578125" style="433" bestFit="1" customWidth="1"/>
    <col min="3861" max="3861" width="11.5703125" style="433" bestFit="1" customWidth="1"/>
    <col min="3862" max="3862" width="11.140625" style="433" bestFit="1" customWidth="1"/>
    <col min="3863" max="3863" width="11.5703125" style="433" bestFit="1" customWidth="1"/>
    <col min="3864" max="3865" width="5.42578125" style="433" bestFit="1" customWidth="1"/>
    <col min="3866" max="3866" width="7.42578125" style="433" bestFit="1" customWidth="1"/>
    <col min="3867" max="3868" width="12" style="433" bestFit="1" customWidth="1"/>
    <col min="3869" max="3869" width="11.5703125" style="433" bestFit="1" customWidth="1"/>
    <col min="3870" max="3871" width="5.42578125" style="433" bestFit="1" customWidth="1"/>
    <col min="3872" max="3872" width="7.42578125" style="433" bestFit="1" customWidth="1"/>
    <col min="3873" max="3873" width="11.140625" style="433" bestFit="1" customWidth="1"/>
    <col min="3874" max="3874" width="10" style="433" bestFit="1" customWidth="1"/>
    <col min="3875" max="3875" width="12" style="433" customWidth="1"/>
    <col min="3876" max="3876" width="13.7109375" style="433" customWidth="1"/>
    <col min="3877" max="3877" width="12.7109375" style="433" customWidth="1"/>
    <col min="3878" max="3878" width="9.85546875" style="433" customWidth="1"/>
    <col min="3879" max="3879" width="11.28515625" style="433" customWidth="1"/>
    <col min="3880" max="3880" width="11.85546875" style="433" customWidth="1"/>
    <col min="3881" max="3881" width="8.85546875" style="433" customWidth="1"/>
    <col min="3882" max="3882" width="20" style="433" customWidth="1"/>
    <col min="3883" max="3883" width="20.140625" style="433" customWidth="1"/>
    <col min="3884" max="3884" width="28.140625" style="433" customWidth="1"/>
    <col min="3885" max="3885" width="13.85546875" style="433" customWidth="1"/>
    <col min="3886" max="3887" width="11.42578125" style="433"/>
    <col min="3888" max="3888" width="12.28515625" style="433" bestFit="1" customWidth="1"/>
    <col min="3889" max="4096" width="11.42578125" style="433"/>
    <col min="4097" max="4097" width="6.28515625" style="433" customWidth="1"/>
    <col min="4098" max="4098" width="14.28515625" style="433" customWidth="1"/>
    <col min="4099" max="4099" width="25.5703125" style="433" customWidth="1"/>
    <col min="4100" max="4100" width="20.140625" style="433" customWidth="1"/>
    <col min="4101" max="4101" width="11.28515625" style="433" customWidth="1"/>
    <col min="4102" max="4102" width="16.140625" style="433" customWidth="1"/>
    <col min="4103" max="4103" width="25.42578125" style="433" customWidth="1"/>
    <col min="4104" max="4104" width="19.5703125" style="433" customWidth="1"/>
    <col min="4105" max="4105" width="17" style="433" customWidth="1"/>
    <col min="4106" max="4106" width="14.85546875" style="433" customWidth="1"/>
    <col min="4107" max="4107" width="17.140625" style="433" customWidth="1"/>
    <col min="4108" max="4109" width="5.42578125" style="433" bestFit="1" customWidth="1"/>
    <col min="4110" max="4110" width="7.42578125" style="433" bestFit="1" customWidth="1"/>
    <col min="4111" max="4112" width="10" style="433" bestFit="1" customWidth="1"/>
    <col min="4113" max="4113" width="12" style="433" bestFit="1" customWidth="1"/>
    <col min="4114" max="4115" width="5.42578125" style="433" bestFit="1" customWidth="1"/>
    <col min="4116" max="4116" width="7.42578125" style="433" bestFit="1" customWidth="1"/>
    <col min="4117" max="4117" width="11.5703125" style="433" bestFit="1" customWidth="1"/>
    <col min="4118" max="4118" width="11.140625" style="433" bestFit="1" customWidth="1"/>
    <col min="4119" max="4119" width="11.5703125" style="433" bestFit="1" customWidth="1"/>
    <col min="4120" max="4121" width="5.42578125" style="433" bestFit="1" customWidth="1"/>
    <col min="4122" max="4122" width="7.42578125" style="433" bestFit="1" customWidth="1"/>
    <col min="4123" max="4124" width="12" style="433" bestFit="1" customWidth="1"/>
    <col min="4125" max="4125" width="11.5703125" style="433" bestFit="1" customWidth="1"/>
    <col min="4126" max="4127" width="5.42578125" style="433" bestFit="1" customWidth="1"/>
    <col min="4128" max="4128" width="7.42578125" style="433" bestFit="1" customWidth="1"/>
    <col min="4129" max="4129" width="11.140625" style="433" bestFit="1" customWidth="1"/>
    <col min="4130" max="4130" width="10" style="433" bestFit="1" customWidth="1"/>
    <col min="4131" max="4131" width="12" style="433" customWidth="1"/>
    <col min="4132" max="4132" width="13.7109375" style="433" customWidth="1"/>
    <col min="4133" max="4133" width="12.7109375" style="433" customWidth="1"/>
    <col min="4134" max="4134" width="9.85546875" style="433" customWidth="1"/>
    <col min="4135" max="4135" width="11.28515625" style="433" customWidth="1"/>
    <col min="4136" max="4136" width="11.85546875" style="433" customWidth="1"/>
    <col min="4137" max="4137" width="8.85546875" style="433" customWidth="1"/>
    <col min="4138" max="4138" width="20" style="433" customWidth="1"/>
    <col min="4139" max="4139" width="20.140625" style="433" customWidth="1"/>
    <col min="4140" max="4140" width="28.140625" style="433" customWidth="1"/>
    <col min="4141" max="4141" width="13.85546875" style="433" customWidth="1"/>
    <col min="4142" max="4143" width="11.42578125" style="433"/>
    <col min="4144" max="4144" width="12.28515625" style="433" bestFit="1" customWidth="1"/>
    <col min="4145" max="4352" width="11.42578125" style="433"/>
    <col min="4353" max="4353" width="6.28515625" style="433" customWidth="1"/>
    <col min="4354" max="4354" width="14.28515625" style="433" customWidth="1"/>
    <col min="4355" max="4355" width="25.5703125" style="433" customWidth="1"/>
    <col min="4356" max="4356" width="20.140625" style="433" customWidth="1"/>
    <col min="4357" max="4357" width="11.28515625" style="433" customWidth="1"/>
    <col min="4358" max="4358" width="16.140625" style="433" customWidth="1"/>
    <col min="4359" max="4359" width="25.42578125" style="433" customWidth="1"/>
    <col min="4360" max="4360" width="19.5703125" style="433" customWidth="1"/>
    <col min="4361" max="4361" width="17" style="433" customWidth="1"/>
    <col min="4362" max="4362" width="14.85546875" style="433" customWidth="1"/>
    <col min="4363" max="4363" width="17.140625" style="433" customWidth="1"/>
    <col min="4364" max="4365" width="5.42578125" style="433" bestFit="1" customWidth="1"/>
    <col min="4366" max="4366" width="7.42578125" style="433" bestFit="1" customWidth="1"/>
    <col min="4367" max="4368" width="10" style="433" bestFit="1" customWidth="1"/>
    <col min="4369" max="4369" width="12" style="433" bestFit="1" customWidth="1"/>
    <col min="4370" max="4371" width="5.42578125" style="433" bestFit="1" customWidth="1"/>
    <col min="4372" max="4372" width="7.42578125" style="433" bestFit="1" customWidth="1"/>
    <col min="4373" max="4373" width="11.5703125" style="433" bestFit="1" customWidth="1"/>
    <col min="4374" max="4374" width="11.140625" style="433" bestFit="1" customWidth="1"/>
    <col min="4375" max="4375" width="11.5703125" style="433" bestFit="1" customWidth="1"/>
    <col min="4376" max="4377" width="5.42578125" style="433" bestFit="1" customWidth="1"/>
    <col min="4378" max="4378" width="7.42578125" style="433" bestFit="1" customWidth="1"/>
    <col min="4379" max="4380" width="12" style="433" bestFit="1" customWidth="1"/>
    <col min="4381" max="4381" width="11.5703125" style="433" bestFit="1" customWidth="1"/>
    <col min="4382" max="4383" width="5.42578125" style="433" bestFit="1" customWidth="1"/>
    <col min="4384" max="4384" width="7.42578125" style="433" bestFit="1" customWidth="1"/>
    <col min="4385" max="4385" width="11.140625" style="433" bestFit="1" customWidth="1"/>
    <col min="4386" max="4386" width="10" style="433" bestFit="1" customWidth="1"/>
    <col min="4387" max="4387" width="12" style="433" customWidth="1"/>
    <col min="4388" max="4388" width="13.7109375" style="433" customWidth="1"/>
    <col min="4389" max="4389" width="12.7109375" style="433" customWidth="1"/>
    <col min="4390" max="4390" width="9.85546875" style="433" customWidth="1"/>
    <col min="4391" max="4391" width="11.28515625" style="433" customWidth="1"/>
    <col min="4392" max="4392" width="11.85546875" style="433" customWidth="1"/>
    <col min="4393" max="4393" width="8.85546875" style="433" customWidth="1"/>
    <col min="4394" max="4394" width="20" style="433" customWidth="1"/>
    <col min="4395" max="4395" width="20.140625" style="433" customWidth="1"/>
    <col min="4396" max="4396" width="28.140625" style="433" customWidth="1"/>
    <col min="4397" max="4397" width="13.85546875" style="433" customWidth="1"/>
    <col min="4398" max="4399" width="11.42578125" style="433"/>
    <col min="4400" max="4400" width="12.28515625" style="433" bestFit="1" customWidth="1"/>
    <col min="4401" max="4608" width="11.42578125" style="433"/>
    <col min="4609" max="4609" width="6.28515625" style="433" customWidth="1"/>
    <col min="4610" max="4610" width="14.28515625" style="433" customWidth="1"/>
    <col min="4611" max="4611" width="25.5703125" style="433" customWidth="1"/>
    <col min="4612" max="4612" width="20.140625" style="433" customWidth="1"/>
    <col min="4613" max="4613" width="11.28515625" style="433" customWidth="1"/>
    <col min="4614" max="4614" width="16.140625" style="433" customWidth="1"/>
    <col min="4615" max="4615" width="25.42578125" style="433" customWidth="1"/>
    <col min="4616" max="4616" width="19.5703125" style="433" customWidth="1"/>
    <col min="4617" max="4617" width="17" style="433" customWidth="1"/>
    <col min="4618" max="4618" width="14.85546875" style="433" customWidth="1"/>
    <col min="4619" max="4619" width="17.140625" style="433" customWidth="1"/>
    <col min="4620" max="4621" width="5.42578125" style="433" bestFit="1" customWidth="1"/>
    <col min="4622" max="4622" width="7.42578125" style="433" bestFit="1" customWidth="1"/>
    <col min="4623" max="4624" width="10" style="433" bestFit="1" customWidth="1"/>
    <col min="4625" max="4625" width="12" style="433" bestFit="1" customWidth="1"/>
    <col min="4626" max="4627" width="5.42578125" style="433" bestFit="1" customWidth="1"/>
    <col min="4628" max="4628" width="7.42578125" style="433" bestFit="1" customWidth="1"/>
    <col min="4629" max="4629" width="11.5703125" style="433" bestFit="1" customWidth="1"/>
    <col min="4630" max="4630" width="11.140625" style="433" bestFit="1" customWidth="1"/>
    <col min="4631" max="4631" width="11.5703125" style="433" bestFit="1" customWidth="1"/>
    <col min="4632" max="4633" width="5.42578125" style="433" bestFit="1" customWidth="1"/>
    <col min="4634" max="4634" width="7.42578125" style="433" bestFit="1" customWidth="1"/>
    <col min="4635" max="4636" width="12" style="433" bestFit="1" customWidth="1"/>
    <col min="4637" max="4637" width="11.5703125" style="433" bestFit="1" customWidth="1"/>
    <col min="4638" max="4639" width="5.42578125" style="433" bestFit="1" customWidth="1"/>
    <col min="4640" max="4640" width="7.42578125" style="433" bestFit="1" customWidth="1"/>
    <col min="4641" max="4641" width="11.140625" style="433" bestFit="1" customWidth="1"/>
    <col min="4642" max="4642" width="10" style="433" bestFit="1" customWidth="1"/>
    <col min="4643" max="4643" width="12" style="433" customWidth="1"/>
    <col min="4644" max="4644" width="13.7109375" style="433" customWidth="1"/>
    <col min="4645" max="4645" width="12.7109375" style="433" customWidth="1"/>
    <col min="4646" max="4646" width="9.85546875" style="433" customWidth="1"/>
    <col min="4647" max="4647" width="11.28515625" style="433" customWidth="1"/>
    <col min="4648" max="4648" width="11.85546875" style="433" customWidth="1"/>
    <col min="4649" max="4649" width="8.85546875" style="433" customWidth="1"/>
    <col min="4650" max="4650" width="20" style="433" customWidth="1"/>
    <col min="4651" max="4651" width="20.140625" style="433" customWidth="1"/>
    <col min="4652" max="4652" width="28.140625" style="433" customWidth="1"/>
    <col min="4653" max="4653" width="13.85546875" style="433" customWidth="1"/>
    <col min="4654" max="4655" width="11.42578125" style="433"/>
    <col min="4656" max="4656" width="12.28515625" style="433" bestFit="1" customWidth="1"/>
    <col min="4657" max="4864" width="11.42578125" style="433"/>
    <col min="4865" max="4865" width="6.28515625" style="433" customWidth="1"/>
    <col min="4866" max="4866" width="14.28515625" style="433" customWidth="1"/>
    <col min="4867" max="4867" width="25.5703125" style="433" customWidth="1"/>
    <col min="4868" max="4868" width="20.140625" style="433" customWidth="1"/>
    <col min="4869" max="4869" width="11.28515625" style="433" customWidth="1"/>
    <col min="4870" max="4870" width="16.140625" style="433" customWidth="1"/>
    <col min="4871" max="4871" width="25.42578125" style="433" customWidth="1"/>
    <col min="4872" max="4872" width="19.5703125" style="433" customWidth="1"/>
    <col min="4873" max="4873" width="17" style="433" customWidth="1"/>
    <col min="4874" max="4874" width="14.85546875" style="433" customWidth="1"/>
    <col min="4875" max="4875" width="17.140625" style="433" customWidth="1"/>
    <col min="4876" max="4877" width="5.42578125" style="433" bestFit="1" customWidth="1"/>
    <col min="4878" max="4878" width="7.42578125" style="433" bestFit="1" customWidth="1"/>
    <col min="4879" max="4880" width="10" style="433" bestFit="1" customWidth="1"/>
    <col min="4881" max="4881" width="12" style="433" bestFit="1" customWidth="1"/>
    <col min="4882" max="4883" width="5.42578125" style="433" bestFit="1" customWidth="1"/>
    <col min="4884" max="4884" width="7.42578125" style="433" bestFit="1" customWidth="1"/>
    <col min="4885" max="4885" width="11.5703125" style="433" bestFit="1" customWidth="1"/>
    <col min="4886" max="4886" width="11.140625" style="433" bestFit="1" customWidth="1"/>
    <col min="4887" max="4887" width="11.5703125" style="433" bestFit="1" customWidth="1"/>
    <col min="4888" max="4889" width="5.42578125" style="433" bestFit="1" customWidth="1"/>
    <col min="4890" max="4890" width="7.42578125" style="433" bestFit="1" customWidth="1"/>
    <col min="4891" max="4892" width="12" style="433" bestFit="1" customWidth="1"/>
    <col min="4893" max="4893" width="11.5703125" style="433" bestFit="1" customWidth="1"/>
    <col min="4894" max="4895" width="5.42578125" style="433" bestFit="1" customWidth="1"/>
    <col min="4896" max="4896" width="7.42578125" style="433" bestFit="1" customWidth="1"/>
    <col min="4897" max="4897" width="11.140625" style="433" bestFit="1" customWidth="1"/>
    <col min="4898" max="4898" width="10" style="433" bestFit="1" customWidth="1"/>
    <col min="4899" max="4899" width="12" style="433" customWidth="1"/>
    <col min="4900" max="4900" width="13.7109375" style="433" customWidth="1"/>
    <col min="4901" max="4901" width="12.7109375" style="433" customWidth="1"/>
    <col min="4902" max="4902" width="9.85546875" style="433" customWidth="1"/>
    <col min="4903" max="4903" width="11.28515625" style="433" customWidth="1"/>
    <col min="4904" max="4904" width="11.85546875" style="433" customWidth="1"/>
    <col min="4905" max="4905" width="8.85546875" style="433" customWidth="1"/>
    <col min="4906" max="4906" width="20" style="433" customWidth="1"/>
    <col min="4907" max="4907" width="20.140625" style="433" customWidth="1"/>
    <col min="4908" max="4908" width="28.140625" style="433" customWidth="1"/>
    <col min="4909" max="4909" width="13.85546875" style="433" customWidth="1"/>
    <col min="4910" max="4911" width="11.42578125" style="433"/>
    <col min="4912" max="4912" width="12.28515625" style="433" bestFit="1" customWidth="1"/>
    <col min="4913" max="5120" width="11.42578125" style="433"/>
    <col min="5121" max="5121" width="6.28515625" style="433" customWidth="1"/>
    <col min="5122" max="5122" width="14.28515625" style="433" customWidth="1"/>
    <col min="5123" max="5123" width="25.5703125" style="433" customWidth="1"/>
    <col min="5124" max="5124" width="20.140625" style="433" customWidth="1"/>
    <col min="5125" max="5125" width="11.28515625" style="433" customWidth="1"/>
    <col min="5126" max="5126" width="16.140625" style="433" customWidth="1"/>
    <col min="5127" max="5127" width="25.42578125" style="433" customWidth="1"/>
    <col min="5128" max="5128" width="19.5703125" style="433" customWidth="1"/>
    <col min="5129" max="5129" width="17" style="433" customWidth="1"/>
    <col min="5130" max="5130" width="14.85546875" style="433" customWidth="1"/>
    <col min="5131" max="5131" width="17.140625" style="433" customWidth="1"/>
    <col min="5132" max="5133" width="5.42578125" style="433" bestFit="1" customWidth="1"/>
    <col min="5134" max="5134" width="7.42578125" style="433" bestFit="1" customWidth="1"/>
    <col min="5135" max="5136" width="10" style="433" bestFit="1" customWidth="1"/>
    <col min="5137" max="5137" width="12" style="433" bestFit="1" customWidth="1"/>
    <col min="5138" max="5139" width="5.42578125" style="433" bestFit="1" customWidth="1"/>
    <col min="5140" max="5140" width="7.42578125" style="433" bestFit="1" customWidth="1"/>
    <col min="5141" max="5141" width="11.5703125" style="433" bestFit="1" customWidth="1"/>
    <col min="5142" max="5142" width="11.140625" style="433" bestFit="1" customWidth="1"/>
    <col min="5143" max="5143" width="11.5703125" style="433" bestFit="1" customWidth="1"/>
    <col min="5144" max="5145" width="5.42578125" style="433" bestFit="1" customWidth="1"/>
    <col min="5146" max="5146" width="7.42578125" style="433" bestFit="1" customWidth="1"/>
    <col min="5147" max="5148" width="12" style="433" bestFit="1" customWidth="1"/>
    <col min="5149" max="5149" width="11.5703125" style="433" bestFit="1" customWidth="1"/>
    <col min="5150" max="5151" width="5.42578125" style="433" bestFit="1" customWidth="1"/>
    <col min="5152" max="5152" width="7.42578125" style="433" bestFit="1" customWidth="1"/>
    <col min="5153" max="5153" width="11.140625" style="433" bestFit="1" customWidth="1"/>
    <col min="5154" max="5154" width="10" style="433" bestFit="1" customWidth="1"/>
    <col min="5155" max="5155" width="12" style="433" customWidth="1"/>
    <col min="5156" max="5156" width="13.7109375" style="433" customWidth="1"/>
    <col min="5157" max="5157" width="12.7109375" style="433" customWidth="1"/>
    <col min="5158" max="5158" width="9.85546875" style="433" customWidth="1"/>
    <col min="5159" max="5159" width="11.28515625" style="433" customWidth="1"/>
    <col min="5160" max="5160" width="11.85546875" style="433" customWidth="1"/>
    <col min="5161" max="5161" width="8.85546875" style="433" customWidth="1"/>
    <col min="5162" max="5162" width="20" style="433" customWidth="1"/>
    <col min="5163" max="5163" width="20.140625" style="433" customWidth="1"/>
    <col min="5164" max="5164" width="28.140625" style="433" customWidth="1"/>
    <col min="5165" max="5165" width="13.85546875" style="433" customWidth="1"/>
    <col min="5166" max="5167" width="11.42578125" style="433"/>
    <col min="5168" max="5168" width="12.28515625" style="433" bestFit="1" customWidth="1"/>
    <col min="5169" max="5376" width="11.42578125" style="433"/>
    <col min="5377" max="5377" width="6.28515625" style="433" customWidth="1"/>
    <col min="5378" max="5378" width="14.28515625" style="433" customWidth="1"/>
    <col min="5379" max="5379" width="25.5703125" style="433" customWidth="1"/>
    <col min="5380" max="5380" width="20.140625" style="433" customWidth="1"/>
    <col min="5381" max="5381" width="11.28515625" style="433" customWidth="1"/>
    <col min="5382" max="5382" width="16.140625" style="433" customWidth="1"/>
    <col min="5383" max="5383" width="25.42578125" style="433" customWidth="1"/>
    <col min="5384" max="5384" width="19.5703125" style="433" customWidth="1"/>
    <col min="5385" max="5385" width="17" style="433" customWidth="1"/>
    <col min="5386" max="5386" width="14.85546875" style="433" customWidth="1"/>
    <col min="5387" max="5387" width="17.140625" style="433" customWidth="1"/>
    <col min="5388" max="5389" width="5.42578125" style="433" bestFit="1" customWidth="1"/>
    <col min="5390" max="5390" width="7.42578125" style="433" bestFit="1" customWidth="1"/>
    <col min="5391" max="5392" width="10" style="433" bestFit="1" customWidth="1"/>
    <col min="5393" max="5393" width="12" style="433" bestFit="1" customWidth="1"/>
    <col min="5394" max="5395" width="5.42578125" style="433" bestFit="1" customWidth="1"/>
    <col min="5396" max="5396" width="7.42578125" style="433" bestFit="1" customWidth="1"/>
    <col min="5397" max="5397" width="11.5703125" style="433" bestFit="1" customWidth="1"/>
    <col min="5398" max="5398" width="11.140625" style="433" bestFit="1" customWidth="1"/>
    <col min="5399" max="5399" width="11.5703125" style="433" bestFit="1" customWidth="1"/>
    <col min="5400" max="5401" width="5.42578125" style="433" bestFit="1" customWidth="1"/>
    <col min="5402" max="5402" width="7.42578125" style="433" bestFit="1" customWidth="1"/>
    <col min="5403" max="5404" width="12" style="433" bestFit="1" customWidth="1"/>
    <col min="5405" max="5405" width="11.5703125" style="433" bestFit="1" customWidth="1"/>
    <col min="5406" max="5407" width="5.42578125" style="433" bestFit="1" customWidth="1"/>
    <col min="5408" max="5408" width="7.42578125" style="433" bestFit="1" customWidth="1"/>
    <col min="5409" max="5409" width="11.140625" style="433" bestFit="1" customWidth="1"/>
    <col min="5410" max="5410" width="10" style="433" bestFit="1" customWidth="1"/>
    <col min="5411" max="5411" width="12" style="433" customWidth="1"/>
    <col min="5412" max="5412" width="13.7109375" style="433" customWidth="1"/>
    <col min="5413" max="5413" width="12.7109375" style="433" customWidth="1"/>
    <col min="5414" max="5414" width="9.85546875" style="433" customWidth="1"/>
    <col min="5415" max="5415" width="11.28515625" style="433" customWidth="1"/>
    <col min="5416" max="5416" width="11.85546875" style="433" customWidth="1"/>
    <col min="5417" max="5417" width="8.85546875" style="433" customWidth="1"/>
    <col min="5418" max="5418" width="20" style="433" customWidth="1"/>
    <col min="5419" max="5419" width="20.140625" style="433" customWidth="1"/>
    <col min="5420" max="5420" width="28.140625" style="433" customWidth="1"/>
    <col min="5421" max="5421" width="13.85546875" style="433" customWidth="1"/>
    <col min="5422" max="5423" width="11.42578125" style="433"/>
    <col min="5424" max="5424" width="12.28515625" style="433" bestFit="1" customWidth="1"/>
    <col min="5425" max="5632" width="11.42578125" style="433"/>
    <col min="5633" max="5633" width="6.28515625" style="433" customWidth="1"/>
    <col min="5634" max="5634" width="14.28515625" style="433" customWidth="1"/>
    <col min="5635" max="5635" width="25.5703125" style="433" customWidth="1"/>
    <col min="5636" max="5636" width="20.140625" style="433" customWidth="1"/>
    <col min="5637" max="5637" width="11.28515625" style="433" customWidth="1"/>
    <col min="5638" max="5638" width="16.140625" style="433" customWidth="1"/>
    <col min="5639" max="5639" width="25.42578125" style="433" customWidth="1"/>
    <col min="5640" max="5640" width="19.5703125" style="433" customWidth="1"/>
    <col min="5641" max="5641" width="17" style="433" customWidth="1"/>
    <col min="5642" max="5642" width="14.85546875" style="433" customWidth="1"/>
    <col min="5643" max="5643" width="17.140625" style="433" customWidth="1"/>
    <col min="5644" max="5645" width="5.42578125" style="433" bestFit="1" customWidth="1"/>
    <col min="5646" max="5646" width="7.42578125" style="433" bestFit="1" customWidth="1"/>
    <col min="5647" max="5648" width="10" style="433" bestFit="1" customWidth="1"/>
    <col min="5649" max="5649" width="12" style="433" bestFit="1" customWidth="1"/>
    <col min="5650" max="5651" width="5.42578125" style="433" bestFit="1" customWidth="1"/>
    <col min="5652" max="5652" width="7.42578125" style="433" bestFit="1" customWidth="1"/>
    <col min="5653" max="5653" width="11.5703125" style="433" bestFit="1" customWidth="1"/>
    <col min="5654" max="5654" width="11.140625" style="433" bestFit="1" customWidth="1"/>
    <col min="5655" max="5655" width="11.5703125" style="433" bestFit="1" customWidth="1"/>
    <col min="5656" max="5657" width="5.42578125" style="433" bestFit="1" customWidth="1"/>
    <col min="5658" max="5658" width="7.42578125" style="433" bestFit="1" customWidth="1"/>
    <col min="5659" max="5660" width="12" style="433" bestFit="1" customWidth="1"/>
    <col min="5661" max="5661" width="11.5703125" style="433" bestFit="1" customWidth="1"/>
    <col min="5662" max="5663" width="5.42578125" style="433" bestFit="1" customWidth="1"/>
    <col min="5664" max="5664" width="7.42578125" style="433" bestFit="1" customWidth="1"/>
    <col min="5665" max="5665" width="11.140625" style="433" bestFit="1" customWidth="1"/>
    <col min="5666" max="5666" width="10" style="433" bestFit="1" customWidth="1"/>
    <col min="5667" max="5667" width="12" style="433" customWidth="1"/>
    <col min="5668" max="5668" width="13.7109375" style="433" customWidth="1"/>
    <col min="5669" max="5669" width="12.7109375" style="433" customWidth="1"/>
    <col min="5670" max="5670" width="9.85546875" style="433" customWidth="1"/>
    <col min="5671" max="5671" width="11.28515625" style="433" customWidth="1"/>
    <col min="5672" max="5672" width="11.85546875" style="433" customWidth="1"/>
    <col min="5673" max="5673" width="8.85546875" style="433" customWidth="1"/>
    <col min="5674" max="5674" width="20" style="433" customWidth="1"/>
    <col min="5675" max="5675" width="20.140625" style="433" customWidth="1"/>
    <col min="5676" max="5676" width="28.140625" style="433" customWidth="1"/>
    <col min="5677" max="5677" width="13.85546875" style="433" customWidth="1"/>
    <col min="5678" max="5679" width="11.42578125" style="433"/>
    <col min="5680" max="5680" width="12.28515625" style="433" bestFit="1" customWidth="1"/>
    <col min="5681" max="5888" width="11.42578125" style="433"/>
    <col min="5889" max="5889" width="6.28515625" style="433" customWidth="1"/>
    <col min="5890" max="5890" width="14.28515625" style="433" customWidth="1"/>
    <col min="5891" max="5891" width="25.5703125" style="433" customWidth="1"/>
    <col min="5892" max="5892" width="20.140625" style="433" customWidth="1"/>
    <col min="5893" max="5893" width="11.28515625" style="433" customWidth="1"/>
    <col min="5894" max="5894" width="16.140625" style="433" customWidth="1"/>
    <col min="5895" max="5895" width="25.42578125" style="433" customWidth="1"/>
    <col min="5896" max="5896" width="19.5703125" style="433" customWidth="1"/>
    <col min="5897" max="5897" width="17" style="433" customWidth="1"/>
    <col min="5898" max="5898" width="14.85546875" style="433" customWidth="1"/>
    <col min="5899" max="5899" width="17.140625" style="433" customWidth="1"/>
    <col min="5900" max="5901" width="5.42578125" style="433" bestFit="1" customWidth="1"/>
    <col min="5902" max="5902" width="7.42578125" style="433" bestFit="1" customWidth="1"/>
    <col min="5903" max="5904" width="10" style="433" bestFit="1" customWidth="1"/>
    <col min="5905" max="5905" width="12" style="433" bestFit="1" customWidth="1"/>
    <col min="5906" max="5907" width="5.42578125" style="433" bestFit="1" customWidth="1"/>
    <col min="5908" max="5908" width="7.42578125" style="433" bestFit="1" customWidth="1"/>
    <col min="5909" max="5909" width="11.5703125" style="433" bestFit="1" customWidth="1"/>
    <col min="5910" max="5910" width="11.140625" style="433" bestFit="1" customWidth="1"/>
    <col min="5911" max="5911" width="11.5703125" style="433" bestFit="1" customWidth="1"/>
    <col min="5912" max="5913" width="5.42578125" style="433" bestFit="1" customWidth="1"/>
    <col min="5914" max="5914" width="7.42578125" style="433" bestFit="1" customWidth="1"/>
    <col min="5915" max="5916" width="12" style="433" bestFit="1" customWidth="1"/>
    <col min="5917" max="5917" width="11.5703125" style="433" bestFit="1" customWidth="1"/>
    <col min="5918" max="5919" width="5.42578125" style="433" bestFit="1" customWidth="1"/>
    <col min="5920" max="5920" width="7.42578125" style="433" bestFit="1" customWidth="1"/>
    <col min="5921" max="5921" width="11.140625" style="433" bestFit="1" customWidth="1"/>
    <col min="5922" max="5922" width="10" style="433" bestFit="1" customWidth="1"/>
    <col min="5923" max="5923" width="12" style="433" customWidth="1"/>
    <col min="5924" max="5924" width="13.7109375" style="433" customWidth="1"/>
    <col min="5925" max="5925" width="12.7109375" style="433" customWidth="1"/>
    <col min="5926" max="5926" width="9.85546875" style="433" customWidth="1"/>
    <col min="5927" max="5927" width="11.28515625" style="433" customWidth="1"/>
    <col min="5928" max="5928" width="11.85546875" style="433" customWidth="1"/>
    <col min="5929" max="5929" width="8.85546875" style="433" customWidth="1"/>
    <col min="5930" max="5930" width="20" style="433" customWidth="1"/>
    <col min="5931" max="5931" width="20.140625" style="433" customWidth="1"/>
    <col min="5932" max="5932" width="28.140625" style="433" customWidth="1"/>
    <col min="5933" max="5933" width="13.85546875" style="433" customWidth="1"/>
    <col min="5934" max="5935" width="11.42578125" style="433"/>
    <col min="5936" max="5936" width="12.28515625" style="433" bestFit="1" customWidth="1"/>
    <col min="5937" max="6144" width="11.42578125" style="433"/>
    <col min="6145" max="6145" width="6.28515625" style="433" customWidth="1"/>
    <col min="6146" max="6146" width="14.28515625" style="433" customWidth="1"/>
    <col min="6147" max="6147" width="25.5703125" style="433" customWidth="1"/>
    <col min="6148" max="6148" width="20.140625" style="433" customWidth="1"/>
    <col min="6149" max="6149" width="11.28515625" style="433" customWidth="1"/>
    <col min="6150" max="6150" width="16.140625" style="433" customWidth="1"/>
    <col min="6151" max="6151" width="25.42578125" style="433" customWidth="1"/>
    <col min="6152" max="6152" width="19.5703125" style="433" customWidth="1"/>
    <col min="6153" max="6153" width="17" style="433" customWidth="1"/>
    <col min="6154" max="6154" width="14.85546875" style="433" customWidth="1"/>
    <col min="6155" max="6155" width="17.140625" style="433" customWidth="1"/>
    <col min="6156" max="6157" width="5.42578125" style="433" bestFit="1" customWidth="1"/>
    <col min="6158" max="6158" width="7.42578125" style="433" bestFit="1" customWidth="1"/>
    <col min="6159" max="6160" width="10" style="433" bestFit="1" customWidth="1"/>
    <col min="6161" max="6161" width="12" style="433" bestFit="1" customWidth="1"/>
    <col min="6162" max="6163" width="5.42578125" style="433" bestFit="1" customWidth="1"/>
    <col min="6164" max="6164" width="7.42578125" style="433" bestFit="1" customWidth="1"/>
    <col min="6165" max="6165" width="11.5703125" style="433" bestFit="1" customWidth="1"/>
    <col min="6166" max="6166" width="11.140625" style="433" bestFit="1" customWidth="1"/>
    <col min="6167" max="6167" width="11.5703125" style="433" bestFit="1" customWidth="1"/>
    <col min="6168" max="6169" width="5.42578125" style="433" bestFit="1" customWidth="1"/>
    <col min="6170" max="6170" width="7.42578125" style="433" bestFit="1" customWidth="1"/>
    <col min="6171" max="6172" width="12" style="433" bestFit="1" customWidth="1"/>
    <col min="6173" max="6173" width="11.5703125" style="433" bestFit="1" customWidth="1"/>
    <col min="6174" max="6175" width="5.42578125" style="433" bestFit="1" customWidth="1"/>
    <col min="6176" max="6176" width="7.42578125" style="433" bestFit="1" customWidth="1"/>
    <col min="6177" max="6177" width="11.140625" style="433" bestFit="1" customWidth="1"/>
    <col min="6178" max="6178" width="10" style="433" bestFit="1" customWidth="1"/>
    <col min="6179" max="6179" width="12" style="433" customWidth="1"/>
    <col min="6180" max="6180" width="13.7109375" style="433" customWidth="1"/>
    <col min="6181" max="6181" width="12.7109375" style="433" customWidth="1"/>
    <col min="6182" max="6182" width="9.85546875" style="433" customWidth="1"/>
    <col min="6183" max="6183" width="11.28515625" style="433" customWidth="1"/>
    <col min="6184" max="6184" width="11.85546875" style="433" customWidth="1"/>
    <col min="6185" max="6185" width="8.85546875" style="433" customWidth="1"/>
    <col min="6186" max="6186" width="20" style="433" customWidth="1"/>
    <col min="6187" max="6187" width="20.140625" style="433" customWidth="1"/>
    <col min="6188" max="6188" width="28.140625" style="433" customWidth="1"/>
    <col min="6189" max="6189" width="13.85546875" style="433" customWidth="1"/>
    <col min="6190" max="6191" width="11.42578125" style="433"/>
    <col min="6192" max="6192" width="12.28515625" style="433" bestFit="1" customWidth="1"/>
    <col min="6193" max="6400" width="11.42578125" style="433"/>
    <col min="6401" max="6401" width="6.28515625" style="433" customWidth="1"/>
    <col min="6402" max="6402" width="14.28515625" style="433" customWidth="1"/>
    <col min="6403" max="6403" width="25.5703125" style="433" customWidth="1"/>
    <col min="6404" max="6404" width="20.140625" style="433" customWidth="1"/>
    <col min="6405" max="6405" width="11.28515625" style="433" customWidth="1"/>
    <col min="6406" max="6406" width="16.140625" style="433" customWidth="1"/>
    <col min="6407" max="6407" width="25.42578125" style="433" customWidth="1"/>
    <col min="6408" max="6408" width="19.5703125" style="433" customWidth="1"/>
    <col min="6409" max="6409" width="17" style="433" customWidth="1"/>
    <col min="6410" max="6410" width="14.85546875" style="433" customWidth="1"/>
    <col min="6411" max="6411" width="17.140625" style="433" customWidth="1"/>
    <col min="6412" max="6413" width="5.42578125" style="433" bestFit="1" customWidth="1"/>
    <col min="6414" max="6414" width="7.42578125" style="433" bestFit="1" customWidth="1"/>
    <col min="6415" max="6416" width="10" style="433" bestFit="1" customWidth="1"/>
    <col min="6417" max="6417" width="12" style="433" bestFit="1" customWidth="1"/>
    <col min="6418" max="6419" width="5.42578125" style="433" bestFit="1" customWidth="1"/>
    <col min="6420" max="6420" width="7.42578125" style="433" bestFit="1" customWidth="1"/>
    <col min="6421" max="6421" width="11.5703125" style="433" bestFit="1" customWidth="1"/>
    <col min="6422" max="6422" width="11.140625" style="433" bestFit="1" customWidth="1"/>
    <col min="6423" max="6423" width="11.5703125" style="433" bestFit="1" customWidth="1"/>
    <col min="6424" max="6425" width="5.42578125" style="433" bestFit="1" customWidth="1"/>
    <col min="6426" max="6426" width="7.42578125" style="433" bestFit="1" customWidth="1"/>
    <col min="6427" max="6428" width="12" style="433" bestFit="1" customWidth="1"/>
    <col min="6429" max="6429" width="11.5703125" style="433" bestFit="1" customWidth="1"/>
    <col min="6430" max="6431" width="5.42578125" style="433" bestFit="1" customWidth="1"/>
    <col min="6432" max="6432" width="7.42578125" style="433" bestFit="1" customWidth="1"/>
    <col min="6433" max="6433" width="11.140625" style="433" bestFit="1" customWidth="1"/>
    <col min="6434" max="6434" width="10" style="433" bestFit="1" customWidth="1"/>
    <col min="6435" max="6435" width="12" style="433" customWidth="1"/>
    <col min="6436" max="6436" width="13.7109375" style="433" customWidth="1"/>
    <col min="6437" max="6437" width="12.7109375" style="433" customWidth="1"/>
    <col min="6438" max="6438" width="9.85546875" style="433" customWidth="1"/>
    <col min="6439" max="6439" width="11.28515625" style="433" customWidth="1"/>
    <col min="6440" max="6440" width="11.85546875" style="433" customWidth="1"/>
    <col min="6441" max="6441" width="8.85546875" style="433" customWidth="1"/>
    <col min="6442" max="6442" width="20" style="433" customWidth="1"/>
    <col min="6443" max="6443" width="20.140625" style="433" customWidth="1"/>
    <col min="6444" max="6444" width="28.140625" style="433" customWidth="1"/>
    <col min="6445" max="6445" width="13.85546875" style="433" customWidth="1"/>
    <col min="6446" max="6447" width="11.42578125" style="433"/>
    <col min="6448" max="6448" width="12.28515625" style="433" bestFit="1" customWidth="1"/>
    <col min="6449" max="6656" width="11.42578125" style="433"/>
    <col min="6657" max="6657" width="6.28515625" style="433" customWidth="1"/>
    <col min="6658" max="6658" width="14.28515625" style="433" customWidth="1"/>
    <col min="6659" max="6659" width="25.5703125" style="433" customWidth="1"/>
    <col min="6660" max="6660" width="20.140625" style="433" customWidth="1"/>
    <col min="6661" max="6661" width="11.28515625" style="433" customWidth="1"/>
    <col min="6662" max="6662" width="16.140625" style="433" customWidth="1"/>
    <col min="6663" max="6663" width="25.42578125" style="433" customWidth="1"/>
    <col min="6664" max="6664" width="19.5703125" style="433" customWidth="1"/>
    <col min="6665" max="6665" width="17" style="433" customWidth="1"/>
    <col min="6666" max="6666" width="14.85546875" style="433" customWidth="1"/>
    <col min="6667" max="6667" width="17.140625" style="433" customWidth="1"/>
    <col min="6668" max="6669" width="5.42578125" style="433" bestFit="1" customWidth="1"/>
    <col min="6670" max="6670" width="7.42578125" style="433" bestFit="1" customWidth="1"/>
    <col min="6671" max="6672" width="10" style="433" bestFit="1" customWidth="1"/>
    <col min="6673" max="6673" width="12" style="433" bestFit="1" customWidth="1"/>
    <col min="6674" max="6675" width="5.42578125" style="433" bestFit="1" customWidth="1"/>
    <col min="6676" max="6676" width="7.42578125" style="433" bestFit="1" customWidth="1"/>
    <col min="6677" max="6677" width="11.5703125" style="433" bestFit="1" customWidth="1"/>
    <col min="6678" max="6678" width="11.140625" style="433" bestFit="1" customWidth="1"/>
    <col min="6679" max="6679" width="11.5703125" style="433" bestFit="1" customWidth="1"/>
    <col min="6680" max="6681" width="5.42578125" style="433" bestFit="1" customWidth="1"/>
    <col min="6682" max="6682" width="7.42578125" style="433" bestFit="1" customWidth="1"/>
    <col min="6683" max="6684" width="12" style="433" bestFit="1" customWidth="1"/>
    <col min="6685" max="6685" width="11.5703125" style="433" bestFit="1" customWidth="1"/>
    <col min="6686" max="6687" width="5.42578125" style="433" bestFit="1" customWidth="1"/>
    <col min="6688" max="6688" width="7.42578125" style="433" bestFit="1" customWidth="1"/>
    <col min="6689" max="6689" width="11.140625" style="433" bestFit="1" customWidth="1"/>
    <col min="6690" max="6690" width="10" style="433" bestFit="1" customWidth="1"/>
    <col min="6691" max="6691" width="12" style="433" customWidth="1"/>
    <col min="6692" max="6692" width="13.7109375" style="433" customWidth="1"/>
    <col min="6693" max="6693" width="12.7109375" style="433" customWidth="1"/>
    <col min="6694" max="6694" width="9.85546875" style="433" customWidth="1"/>
    <col min="6695" max="6695" width="11.28515625" style="433" customWidth="1"/>
    <col min="6696" max="6696" width="11.85546875" style="433" customWidth="1"/>
    <col min="6697" max="6697" width="8.85546875" style="433" customWidth="1"/>
    <col min="6698" max="6698" width="20" style="433" customWidth="1"/>
    <col min="6699" max="6699" width="20.140625" style="433" customWidth="1"/>
    <col min="6700" max="6700" width="28.140625" style="433" customWidth="1"/>
    <col min="6701" max="6701" width="13.85546875" style="433" customWidth="1"/>
    <col min="6702" max="6703" width="11.42578125" style="433"/>
    <col min="6704" max="6704" width="12.28515625" style="433" bestFit="1" customWidth="1"/>
    <col min="6705" max="6912" width="11.42578125" style="433"/>
    <col min="6913" max="6913" width="6.28515625" style="433" customWidth="1"/>
    <col min="6914" max="6914" width="14.28515625" style="433" customWidth="1"/>
    <col min="6915" max="6915" width="25.5703125" style="433" customWidth="1"/>
    <col min="6916" max="6916" width="20.140625" style="433" customWidth="1"/>
    <col min="6917" max="6917" width="11.28515625" style="433" customWidth="1"/>
    <col min="6918" max="6918" width="16.140625" style="433" customWidth="1"/>
    <col min="6919" max="6919" width="25.42578125" style="433" customWidth="1"/>
    <col min="6920" max="6920" width="19.5703125" style="433" customWidth="1"/>
    <col min="6921" max="6921" width="17" style="433" customWidth="1"/>
    <col min="6922" max="6922" width="14.85546875" style="433" customWidth="1"/>
    <col min="6923" max="6923" width="17.140625" style="433" customWidth="1"/>
    <col min="6924" max="6925" width="5.42578125" style="433" bestFit="1" customWidth="1"/>
    <col min="6926" max="6926" width="7.42578125" style="433" bestFit="1" customWidth="1"/>
    <col min="6927" max="6928" width="10" style="433" bestFit="1" customWidth="1"/>
    <col min="6929" max="6929" width="12" style="433" bestFit="1" customWidth="1"/>
    <col min="6930" max="6931" width="5.42578125" style="433" bestFit="1" customWidth="1"/>
    <col min="6932" max="6932" width="7.42578125" style="433" bestFit="1" customWidth="1"/>
    <col min="6933" max="6933" width="11.5703125" style="433" bestFit="1" customWidth="1"/>
    <col min="6934" max="6934" width="11.140625" style="433" bestFit="1" customWidth="1"/>
    <col min="6935" max="6935" width="11.5703125" style="433" bestFit="1" customWidth="1"/>
    <col min="6936" max="6937" width="5.42578125" style="433" bestFit="1" customWidth="1"/>
    <col min="6938" max="6938" width="7.42578125" style="433" bestFit="1" customWidth="1"/>
    <col min="6939" max="6940" width="12" style="433" bestFit="1" customWidth="1"/>
    <col min="6941" max="6941" width="11.5703125" style="433" bestFit="1" customWidth="1"/>
    <col min="6942" max="6943" width="5.42578125" style="433" bestFit="1" customWidth="1"/>
    <col min="6944" max="6944" width="7.42578125" style="433" bestFit="1" customWidth="1"/>
    <col min="6945" max="6945" width="11.140625" style="433" bestFit="1" customWidth="1"/>
    <col min="6946" max="6946" width="10" style="433" bestFit="1" customWidth="1"/>
    <col min="6947" max="6947" width="12" style="433" customWidth="1"/>
    <col min="6948" max="6948" width="13.7109375" style="433" customWidth="1"/>
    <col min="6949" max="6949" width="12.7109375" style="433" customWidth="1"/>
    <col min="6950" max="6950" width="9.85546875" style="433" customWidth="1"/>
    <col min="6951" max="6951" width="11.28515625" style="433" customWidth="1"/>
    <col min="6952" max="6952" width="11.85546875" style="433" customWidth="1"/>
    <col min="6953" max="6953" width="8.85546875" style="433" customWidth="1"/>
    <col min="6954" max="6954" width="20" style="433" customWidth="1"/>
    <col min="6955" max="6955" width="20.140625" style="433" customWidth="1"/>
    <col min="6956" max="6956" width="28.140625" style="433" customWidth="1"/>
    <col min="6957" max="6957" width="13.85546875" style="433" customWidth="1"/>
    <col min="6958" max="6959" width="11.42578125" style="433"/>
    <col min="6960" max="6960" width="12.28515625" style="433" bestFit="1" customWidth="1"/>
    <col min="6961" max="7168" width="11.42578125" style="433"/>
    <col min="7169" max="7169" width="6.28515625" style="433" customWidth="1"/>
    <col min="7170" max="7170" width="14.28515625" style="433" customWidth="1"/>
    <col min="7171" max="7171" width="25.5703125" style="433" customWidth="1"/>
    <col min="7172" max="7172" width="20.140625" style="433" customWidth="1"/>
    <col min="7173" max="7173" width="11.28515625" style="433" customWidth="1"/>
    <col min="7174" max="7174" width="16.140625" style="433" customWidth="1"/>
    <col min="7175" max="7175" width="25.42578125" style="433" customWidth="1"/>
    <col min="7176" max="7176" width="19.5703125" style="433" customWidth="1"/>
    <col min="7177" max="7177" width="17" style="433" customWidth="1"/>
    <col min="7178" max="7178" width="14.85546875" style="433" customWidth="1"/>
    <col min="7179" max="7179" width="17.140625" style="433" customWidth="1"/>
    <col min="7180" max="7181" width="5.42578125" style="433" bestFit="1" customWidth="1"/>
    <col min="7182" max="7182" width="7.42578125" style="433" bestFit="1" customWidth="1"/>
    <col min="7183" max="7184" width="10" style="433" bestFit="1" customWidth="1"/>
    <col min="7185" max="7185" width="12" style="433" bestFit="1" customWidth="1"/>
    <col min="7186" max="7187" width="5.42578125" style="433" bestFit="1" customWidth="1"/>
    <col min="7188" max="7188" width="7.42578125" style="433" bestFit="1" customWidth="1"/>
    <col min="7189" max="7189" width="11.5703125" style="433" bestFit="1" customWidth="1"/>
    <col min="7190" max="7190" width="11.140625" style="433" bestFit="1" customWidth="1"/>
    <col min="7191" max="7191" width="11.5703125" style="433" bestFit="1" customWidth="1"/>
    <col min="7192" max="7193" width="5.42578125" style="433" bestFit="1" customWidth="1"/>
    <col min="7194" max="7194" width="7.42578125" style="433" bestFit="1" customWidth="1"/>
    <col min="7195" max="7196" width="12" style="433" bestFit="1" customWidth="1"/>
    <col min="7197" max="7197" width="11.5703125" style="433" bestFit="1" customWidth="1"/>
    <col min="7198" max="7199" width="5.42578125" style="433" bestFit="1" customWidth="1"/>
    <col min="7200" max="7200" width="7.42578125" style="433" bestFit="1" customWidth="1"/>
    <col min="7201" max="7201" width="11.140625" style="433" bestFit="1" customWidth="1"/>
    <col min="7202" max="7202" width="10" style="433" bestFit="1" customWidth="1"/>
    <col min="7203" max="7203" width="12" style="433" customWidth="1"/>
    <col min="7204" max="7204" width="13.7109375" style="433" customWidth="1"/>
    <col min="7205" max="7205" width="12.7109375" style="433" customWidth="1"/>
    <col min="7206" max="7206" width="9.85546875" style="433" customWidth="1"/>
    <col min="7207" max="7207" width="11.28515625" style="433" customWidth="1"/>
    <col min="7208" max="7208" width="11.85546875" style="433" customWidth="1"/>
    <col min="7209" max="7209" width="8.85546875" style="433" customWidth="1"/>
    <col min="7210" max="7210" width="20" style="433" customWidth="1"/>
    <col min="7211" max="7211" width="20.140625" style="433" customWidth="1"/>
    <col min="7212" max="7212" width="28.140625" style="433" customWidth="1"/>
    <col min="7213" max="7213" width="13.85546875" style="433" customWidth="1"/>
    <col min="7214" max="7215" width="11.42578125" style="433"/>
    <col min="7216" max="7216" width="12.28515625" style="433" bestFit="1" customWidth="1"/>
    <col min="7217" max="7424" width="11.42578125" style="433"/>
    <col min="7425" max="7425" width="6.28515625" style="433" customWidth="1"/>
    <col min="7426" max="7426" width="14.28515625" style="433" customWidth="1"/>
    <col min="7427" max="7427" width="25.5703125" style="433" customWidth="1"/>
    <col min="7428" max="7428" width="20.140625" style="433" customWidth="1"/>
    <col min="7429" max="7429" width="11.28515625" style="433" customWidth="1"/>
    <col min="7430" max="7430" width="16.140625" style="433" customWidth="1"/>
    <col min="7431" max="7431" width="25.42578125" style="433" customWidth="1"/>
    <col min="7432" max="7432" width="19.5703125" style="433" customWidth="1"/>
    <col min="7433" max="7433" width="17" style="433" customWidth="1"/>
    <col min="7434" max="7434" width="14.85546875" style="433" customWidth="1"/>
    <col min="7435" max="7435" width="17.140625" style="433" customWidth="1"/>
    <col min="7436" max="7437" width="5.42578125" style="433" bestFit="1" customWidth="1"/>
    <col min="7438" max="7438" width="7.42578125" style="433" bestFit="1" customWidth="1"/>
    <col min="7439" max="7440" width="10" style="433" bestFit="1" customWidth="1"/>
    <col min="7441" max="7441" width="12" style="433" bestFit="1" customWidth="1"/>
    <col min="7442" max="7443" width="5.42578125" style="433" bestFit="1" customWidth="1"/>
    <col min="7444" max="7444" width="7.42578125" style="433" bestFit="1" customWidth="1"/>
    <col min="7445" max="7445" width="11.5703125" style="433" bestFit="1" customWidth="1"/>
    <col min="7446" max="7446" width="11.140625" style="433" bestFit="1" customWidth="1"/>
    <col min="7447" max="7447" width="11.5703125" style="433" bestFit="1" customWidth="1"/>
    <col min="7448" max="7449" width="5.42578125" style="433" bestFit="1" customWidth="1"/>
    <col min="7450" max="7450" width="7.42578125" style="433" bestFit="1" customWidth="1"/>
    <col min="7451" max="7452" width="12" style="433" bestFit="1" customWidth="1"/>
    <col min="7453" max="7453" width="11.5703125" style="433" bestFit="1" customWidth="1"/>
    <col min="7454" max="7455" width="5.42578125" style="433" bestFit="1" customWidth="1"/>
    <col min="7456" max="7456" width="7.42578125" style="433" bestFit="1" customWidth="1"/>
    <col min="7457" max="7457" width="11.140625" style="433" bestFit="1" customWidth="1"/>
    <col min="7458" max="7458" width="10" style="433" bestFit="1" customWidth="1"/>
    <col min="7459" max="7459" width="12" style="433" customWidth="1"/>
    <col min="7460" max="7460" width="13.7109375" style="433" customWidth="1"/>
    <col min="7461" max="7461" width="12.7109375" style="433" customWidth="1"/>
    <col min="7462" max="7462" width="9.85546875" style="433" customWidth="1"/>
    <col min="7463" max="7463" width="11.28515625" style="433" customWidth="1"/>
    <col min="7464" max="7464" width="11.85546875" style="433" customWidth="1"/>
    <col min="7465" max="7465" width="8.85546875" style="433" customWidth="1"/>
    <col min="7466" max="7466" width="20" style="433" customWidth="1"/>
    <col min="7467" max="7467" width="20.140625" style="433" customWidth="1"/>
    <col min="7468" max="7468" width="28.140625" style="433" customWidth="1"/>
    <col min="7469" max="7469" width="13.85546875" style="433" customWidth="1"/>
    <col min="7470" max="7471" width="11.42578125" style="433"/>
    <col min="7472" max="7472" width="12.28515625" style="433" bestFit="1" customWidth="1"/>
    <col min="7473" max="7680" width="11.42578125" style="433"/>
    <col min="7681" max="7681" width="6.28515625" style="433" customWidth="1"/>
    <col min="7682" max="7682" width="14.28515625" style="433" customWidth="1"/>
    <col min="7683" max="7683" width="25.5703125" style="433" customWidth="1"/>
    <col min="7684" max="7684" width="20.140625" style="433" customWidth="1"/>
    <col min="7685" max="7685" width="11.28515625" style="433" customWidth="1"/>
    <col min="7686" max="7686" width="16.140625" style="433" customWidth="1"/>
    <col min="7687" max="7687" width="25.42578125" style="433" customWidth="1"/>
    <col min="7688" max="7688" width="19.5703125" style="433" customWidth="1"/>
    <col min="7689" max="7689" width="17" style="433" customWidth="1"/>
    <col min="7690" max="7690" width="14.85546875" style="433" customWidth="1"/>
    <col min="7691" max="7691" width="17.140625" style="433" customWidth="1"/>
    <col min="7692" max="7693" width="5.42578125" style="433" bestFit="1" customWidth="1"/>
    <col min="7694" max="7694" width="7.42578125" style="433" bestFit="1" customWidth="1"/>
    <col min="7695" max="7696" width="10" style="433" bestFit="1" customWidth="1"/>
    <col min="7697" max="7697" width="12" style="433" bestFit="1" customWidth="1"/>
    <col min="7698" max="7699" width="5.42578125" style="433" bestFit="1" customWidth="1"/>
    <col min="7700" max="7700" width="7.42578125" style="433" bestFit="1" customWidth="1"/>
    <col min="7701" max="7701" width="11.5703125" style="433" bestFit="1" customWidth="1"/>
    <col min="7702" max="7702" width="11.140625" style="433" bestFit="1" customWidth="1"/>
    <col min="7703" max="7703" width="11.5703125" style="433" bestFit="1" customWidth="1"/>
    <col min="7704" max="7705" width="5.42578125" style="433" bestFit="1" customWidth="1"/>
    <col min="7706" max="7706" width="7.42578125" style="433" bestFit="1" customWidth="1"/>
    <col min="7707" max="7708" width="12" style="433" bestFit="1" customWidth="1"/>
    <col min="7709" max="7709" width="11.5703125" style="433" bestFit="1" customWidth="1"/>
    <col min="7710" max="7711" width="5.42578125" style="433" bestFit="1" customWidth="1"/>
    <col min="7712" max="7712" width="7.42578125" style="433" bestFit="1" customWidth="1"/>
    <col min="7713" max="7713" width="11.140625" style="433" bestFit="1" customWidth="1"/>
    <col min="7714" max="7714" width="10" style="433" bestFit="1" customWidth="1"/>
    <col min="7715" max="7715" width="12" style="433" customWidth="1"/>
    <col min="7716" max="7716" width="13.7109375" style="433" customWidth="1"/>
    <col min="7717" max="7717" width="12.7109375" style="433" customWidth="1"/>
    <col min="7718" max="7718" width="9.85546875" style="433" customWidth="1"/>
    <col min="7719" max="7719" width="11.28515625" style="433" customWidth="1"/>
    <col min="7720" max="7720" width="11.85546875" style="433" customWidth="1"/>
    <col min="7721" max="7721" width="8.85546875" style="433" customWidth="1"/>
    <col min="7722" max="7722" width="20" style="433" customWidth="1"/>
    <col min="7723" max="7723" width="20.140625" style="433" customWidth="1"/>
    <col min="7724" max="7724" width="28.140625" style="433" customWidth="1"/>
    <col min="7725" max="7725" width="13.85546875" style="433" customWidth="1"/>
    <col min="7726" max="7727" width="11.42578125" style="433"/>
    <col min="7728" max="7728" width="12.28515625" style="433" bestFit="1" customWidth="1"/>
    <col min="7729" max="7936" width="11.42578125" style="433"/>
    <col min="7937" max="7937" width="6.28515625" style="433" customWidth="1"/>
    <col min="7938" max="7938" width="14.28515625" style="433" customWidth="1"/>
    <col min="7939" max="7939" width="25.5703125" style="433" customWidth="1"/>
    <col min="7940" max="7940" width="20.140625" style="433" customWidth="1"/>
    <col min="7941" max="7941" width="11.28515625" style="433" customWidth="1"/>
    <col min="7942" max="7942" width="16.140625" style="433" customWidth="1"/>
    <col min="7943" max="7943" width="25.42578125" style="433" customWidth="1"/>
    <col min="7944" max="7944" width="19.5703125" style="433" customWidth="1"/>
    <col min="7945" max="7945" width="17" style="433" customWidth="1"/>
    <col min="7946" max="7946" width="14.85546875" style="433" customWidth="1"/>
    <col min="7947" max="7947" width="17.140625" style="433" customWidth="1"/>
    <col min="7948" max="7949" width="5.42578125" style="433" bestFit="1" customWidth="1"/>
    <col min="7950" max="7950" width="7.42578125" style="433" bestFit="1" customWidth="1"/>
    <col min="7951" max="7952" width="10" style="433" bestFit="1" customWidth="1"/>
    <col min="7953" max="7953" width="12" style="433" bestFit="1" customWidth="1"/>
    <col min="7954" max="7955" width="5.42578125" style="433" bestFit="1" customWidth="1"/>
    <col min="7956" max="7956" width="7.42578125" style="433" bestFit="1" customWidth="1"/>
    <col min="7957" max="7957" width="11.5703125" style="433" bestFit="1" customWidth="1"/>
    <col min="7958" max="7958" width="11.140625" style="433" bestFit="1" customWidth="1"/>
    <col min="7959" max="7959" width="11.5703125" style="433" bestFit="1" customWidth="1"/>
    <col min="7960" max="7961" width="5.42578125" style="433" bestFit="1" customWidth="1"/>
    <col min="7962" max="7962" width="7.42578125" style="433" bestFit="1" customWidth="1"/>
    <col min="7963" max="7964" width="12" style="433" bestFit="1" customWidth="1"/>
    <col min="7965" max="7965" width="11.5703125" style="433" bestFit="1" customWidth="1"/>
    <col min="7966" max="7967" width="5.42578125" style="433" bestFit="1" customWidth="1"/>
    <col min="7968" max="7968" width="7.42578125" style="433" bestFit="1" customWidth="1"/>
    <col min="7969" max="7969" width="11.140625" style="433" bestFit="1" customWidth="1"/>
    <col min="7970" max="7970" width="10" style="433" bestFit="1" customWidth="1"/>
    <col min="7971" max="7971" width="12" style="433" customWidth="1"/>
    <col min="7972" max="7972" width="13.7109375" style="433" customWidth="1"/>
    <col min="7973" max="7973" width="12.7109375" style="433" customWidth="1"/>
    <col min="7974" max="7974" width="9.85546875" style="433" customWidth="1"/>
    <col min="7975" max="7975" width="11.28515625" style="433" customWidth="1"/>
    <col min="7976" max="7976" width="11.85546875" style="433" customWidth="1"/>
    <col min="7977" max="7977" width="8.85546875" style="433" customWidth="1"/>
    <col min="7978" max="7978" width="20" style="433" customWidth="1"/>
    <col min="7979" max="7979" width="20.140625" style="433" customWidth="1"/>
    <col min="7980" max="7980" width="28.140625" style="433" customWidth="1"/>
    <col min="7981" max="7981" width="13.85546875" style="433" customWidth="1"/>
    <col min="7982" max="7983" width="11.42578125" style="433"/>
    <col min="7984" max="7984" width="12.28515625" style="433" bestFit="1" customWidth="1"/>
    <col min="7985" max="8192" width="11.42578125" style="433"/>
    <col min="8193" max="8193" width="6.28515625" style="433" customWidth="1"/>
    <col min="8194" max="8194" width="14.28515625" style="433" customWidth="1"/>
    <col min="8195" max="8195" width="25.5703125" style="433" customWidth="1"/>
    <col min="8196" max="8196" width="20.140625" style="433" customWidth="1"/>
    <col min="8197" max="8197" width="11.28515625" style="433" customWidth="1"/>
    <col min="8198" max="8198" width="16.140625" style="433" customWidth="1"/>
    <col min="8199" max="8199" width="25.42578125" style="433" customWidth="1"/>
    <col min="8200" max="8200" width="19.5703125" style="433" customWidth="1"/>
    <col min="8201" max="8201" width="17" style="433" customWidth="1"/>
    <col min="8202" max="8202" width="14.85546875" style="433" customWidth="1"/>
    <col min="8203" max="8203" width="17.140625" style="433" customWidth="1"/>
    <col min="8204" max="8205" width="5.42578125" style="433" bestFit="1" customWidth="1"/>
    <col min="8206" max="8206" width="7.42578125" style="433" bestFit="1" customWidth="1"/>
    <col min="8207" max="8208" width="10" style="433" bestFit="1" customWidth="1"/>
    <col min="8209" max="8209" width="12" style="433" bestFit="1" customWidth="1"/>
    <col min="8210" max="8211" width="5.42578125" style="433" bestFit="1" customWidth="1"/>
    <col min="8212" max="8212" width="7.42578125" style="433" bestFit="1" customWidth="1"/>
    <col min="8213" max="8213" width="11.5703125" style="433" bestFit="1" customWidth="1"/>
    <col min="8214" max="8214" width="11.140625" style="433" bestFit="1" customWidth="1"/>
    <col min="8215" max="8215" width="11.5703125" style="433" bestFit="1" customWidth="1"/>
    <col min="8216" max="8217" width="5.42578125" style="433" bestFit="1" customWidth="1"/>
    <col min="8218" max="8218" width="7.42578125" style="433" bestFit="1" customWidth="1"/>
    <col min="8219" max="8220" width="12" style="433" bestFit="1" customWidth="1"/>
    <col min="8221" max="8221" width="11.5703125" style="433" bestFit="1" customWidth="1"/>
    <col min="8222" max="8223" width="5.42578125" style="433" bestFit="1" customWidth="1"/>
    <col min="8224" max="8224" width="7.42578125" style="433" bestFit="1" customWidth="1"/>
    <col min="8225" max="8225" width="11.140625" style="433" bestFit="1" customWidth="1"/>
    <col min="8226" max="8226" width="10" style="433" bestFit="1" customWidth="1"/>
    <col min="8227" max="8227" width="12" style="433" customWidth="1"/>
    <col min="8228" max="8228" width="13.7109375" style="433" customWidth="1"/>
    <col min="8229" max="8229" width="12.7109375" style="433" customWidth="1"/>
    <col min="8230" max="8230" width="9.85546875" style="433" customWidth="1"/>
    <col min="8231" max="8231" width="11.28515625" style="433" customWidth="1"/>
    <col min="8232" max="8232" width="11.85546875" style="433" customWidth="1"/>
    <col min="8233" max="8233" width="8.85546875" style="433" customWidth="1"/>
    <col min="8234" max="8234" width="20" style="433" customWidth="1"/>
    <col min="8235" max="8235" width="20.140625" style="433" customWidth="1"/>
    <col min="8236" max="8236" width="28.140625" style="433" customWidth="1"/>
    <col min="8237" max="8237" width="13.85546875" style="433" customWidth="1"/>
    <col min="8238" max="8239" width="11.42578125" style="433"/>
    <col min="8240" max="8240" width="12.28515625" style="433" bestFit="1" customWidth="1"/>
    <col min="8241" max="8448" width="11.42578125" style="433"/>
    <col min="8449" max="8449" width="6.28515625" style="433" customWidth="1"/>
    <col min="8450" max="8450" width="14.28515625" style="433" customWidth="1"/>
    <col min="8451" max="8451" width="25.5703125" style="433" customWidth="1"/>
    <col min="8452" max="8452" width="20.140625" style="433" customWidth="1"/>
    <col min="8453" max="8453" width="11.28515625" style="433" customWidth="1"/>
    <col min="8454" max="8454" width="16.140625" style="433" customWidth="1"/>
    <col min="8455" max="8455" width="25.42578125" style="433" customWidth="1"/>
    <col min="8456" max="8456" width="19.5703125" style="433" customWidth="1"/>
    <col min="8457" max="8457" width="17" style="433" customWidth="1"/>
    <col min="8458" max="8458" width="14.85546875" style="433" customWidth="1"/>
    <col min="8459" max="8459" width="17.140625" style="433" customWidth="1"/>
    <col min="8460" max="8461" width="5.42578125" style="433" bestFit="1" customWidth="1"/>
    <col min="8462" max="8462" width="7.42578125" style="433" bestFit="1" customWidth="1"/>
    <col min="8463" max="8464" width="10" style="433" bestFit="1" customWidth="1"/>
    <col min="8465" max="8465" width="12" style="433" bestFit="1" customWidth="1"/>
    <col min="8466" max="8467" width="5.42578125" style="433" bestFit="1" customWidth="1"/>
    <col min="8468" max="8468" width="7.42578125" style="433" bestFit="1" customWidth="1"/>
    <col min="8469" max="8469" width="11.5703125" style="433" bestFit="1" customWidth="1"/>
    <col min="8470" max="8470" width="11.140625" style="433" bestFit="1" customWidth="1"/>
    <col min="8471" max="8471" width="11.5703125" style="433" bestFit="1" customWidth="1"/>
    <col min="8472" max="8473" width="5.42578125" style="433" bestFit="1" customWidth="1"/>
    <col min="8474" max="8474" width="7.42578125" style="433" bestFit="1" customWidth="1"/>
    <col min="8475" max="8476" width="12" style="433" bestFit="1" customWidth="1"/>
    <col min="8477" max="8477" width="11.5703125" style="433" bestFit="1" customWidth="1"/>
    <col min="8478" max="8479" width="5.42578125" style="433" bestFit="1" customWidth="1"/>
    <col min="8480" max="8480" width="7.42578125" style="433" bestFit="1" customWidth="1"/>
    <col min="8481" max="8481" width="11.140625" style="433" bestFit="1" customWidth="1"/>
    <col min="8482" max="8482" width="10" style="433" bestFit="1" customWidth="1"/>
    <col min="8483" max="8483" width="12" style="433" customWidth="1"/>
    <col min="8484" max="8484" width="13.7109375" style="433" customWidth="1"/>
    <col min="8485" max="8485" width="12.7109375" style="433" customWidth="1"/>
    <col min="8486" max="8486" width="9.85546875" style="433" customWidth="1"/>
    <col min="8487" max="8487" width="11.28515625" style="433" customWidth="1"/>
    <col min="8488" max="8488" width="11.85546875" style="433" customWidth="1"/>
    <col min="8489" max="8489" width="8.85546875" style="433" customWidth="1"/>
    <col min="8490" max="8490" width="20" style="433" customWidth="1"/>
    <col min="8491" max="8491" width="20.140625" style="433" customWidth="1"/>
    <col min="8492" max="8492" width="28.140625" style="433" customWidth="1"/>
    <col min="8493" max="8493" width="13.85546875" style="433" customWidth="1"/>
    <col min="8494" max="8495" width="11.42578125" style="433"/>
    <col min="8496" max="8496" width="12.28515625" style="433" bestFit="1" customWidth="1"/>
    <col min="8497" max="8704" width="11.42578125" style="433"/>
    <col min="8705" max="8705" width="6.28515625" style="433" customWidth="1"/>
    <col min="8706" max="8706" width="14.28515625" style="433" customWidth="1"/>
    <col min="8707" max="8707" width="25.5703125" style="433" customWidth="1"/>
    <col min="8708" max="8708" width="20.140625" style="433" customWidth="1"/>
    <col min="8709" max="8709" width="11.28515625" style="433" customWidth="1"/>
    <col min="8710" max="8710" width="16.140625" style="433" customWidth="1"/>
    <col min="8711" max="8711" width="25.42578125" style="433" customWidth="1"/>
    <col min="8712" max="8712" width="19.5703125" style="433" customWidth="1"/>
    <col min="8713" max="8713" width="17" style="433" customWidth="1"/>
    <col min="8714" max="8714" width="14.85546875" style="433" customWidth="1"/>
    <col min="8715" max="8715" width="17.140625" style="433" customWidth="1"/>
    <col min="8716" max="8717" width="5.42578125" style="433" bestFit="1" customWidth="1"/>
    <col min="8718" max="8718" width="7.42578125" style="433" bestFit="1" customWidth="1"/>
    <col min="8719" max="8720" width="10" style="433" bestFit="1" customWidth="1"/>
    <col min="8721" max="8721" width="12" style="433" bestFit="1" customWidth="1"/>
    <col min="8722" max="8723" width="5.42578125" style="433" bestFit="1" customWidth="1"/>
    <col min="8724" max="8724" width="7.42578125" style="433" bestFit="1" customWidth="1"/>
    <col min="8725" max="8725" width="11.5703125" style="433" bestFit="1" customWidth="1"/>
    <col min="8726" max="8726" width="11.140625" style="433" bestFit="1" customWidth="1"/>
    <col min="8727" max="8727" width="11.5703125" style="433" bestFit="1" customWidth="1"/>
    <col min="8728" max="8729" width="5.42578125" style="433" bestFit="1" customWidth="1"/>
    <col min="8730" max="8730" width="7.42578125" style="433" bestFit="1" customWidth="1"/>
    <col min="8731" max="8732" width="12" style="433" bestFit="1" customWidth="1"/>
    <col min="8733" max="8733" width="11.5703125" style="433" bestFit="1" customWidth="1"/>
    <col min="8734" max="8735" width="5.42578125" style="433" bestFit="1" customWidth="1"/>
    <col min="8736" max="8736" width="7.42578125" style="433" bestFit="1" customWidth="1"/>
    <col min="8737" max="8737" width="11.140625" style="433" bestFit="1" customWidth="1"/>
    <col min="8738" max="8738" width="10" style="433" bestFit="1" customWidth="1"/>
    <col min="8739" max="8739" width="12" style="433" customWidth="1"/>
    <col min="8740" max="8740" width="13.7109375" style="433" customWidth="1"/>
    <col min="8741" max="8741" width="12.7109375" style="433" customWidth="1"/>
    <col min="8742" max="8742" width="9.85546875" style="433" customWidth="1"/>
    <col min="8743" max="8743" width="11.28515625" style="433" customWidth="1"/>
    <col min="8744" max="8744" width="11.85546875" style="433" customWidth="1"/>
    <col min="8745" max="8745" width="8.85546875" style="433" customWidth="1"/>
    <col min="8746" max="8746" width="20" style="433" customWidth="1"/>
    <col min="8747" max="8747" width="20.140625" style="433" customWidth="1"/>
    <col min="8748" max="8748" width="28.140625" style="433" customWidth="1"/>
    <col min="8749" max="8749" width="13.85546875" style="433" customWidth="1"/>
    <col min="8750" max="8751" width="11.42578125" style="433"/>
    <col min="8752" max="8752" width="12.28515625" style="433" bestFit="1" customWidth="1"/>
    <col min="8753" max="8960" width="11.42578125" style="433"/>
    <col min="8961" max="8961" width="6.28515625" style="433" customWidth="1"/>
    <col min="8962" max="8962" width="14.28515625" style="433" customWidth="1"/>
    <col min="8963" max="8963" width="25.5703125" style="433" customWidth="1"/>
    <col min="8964" max="8964" width="20.140625" style="433" customWidth="1"/>
    <col min="8965" max="8965" width="11.28515625" style="433" customWidth="1"/>
    <col min="8966" max="8966" width="16.140625" style="433" customWidth="1"/>
    <col min="8967" max="8967" width="25.42578125" style="433" customWidth="1"/>
    <col min="8968" max="8968" width="19.5703125" style="433" customWidth="1"/>
    <col min="8969" max="8969" width="17" style="433" customWidth="1"/>
    <col min="8970" max="8970" width="14.85546875" style="433" customWidth="1"/>
    <col min="8971" max="8971" width="17.140625" style="433" customWidth="1"/>
    <col min="8972" max="8973" width="5.42578125" style="433" bestFit="1" customWidth="1"/>
    <col min="8974" max="8974" width="7.42578125" style="433" bestFit="1" customWidth="1"/>
    <col min="8975" max="8976" width="10" style="433" bestFit="1" customWidth="1"/>
    <col min="8977" max="8977" width="12" style="433" bestFit="1" customWidth="1"/>
    <col min="8978" max="8979" width="5.42578125" style="433" bestFit="1" customWidth="1"/>
    <col min="8980" max="8980" width="7.42578125" style="433" bestFit="1" customWidth="1"/>
    <col min="8981" max="8981" width="11.5703125" style="433" bestFit="1" customWidth="1"/>
    <col min="8982" max="8982" width="11.140625" style="433" bestFit="1" customWidth="1"/>
    <col min="8983" max="8983" width="11.5703125" style="433" bestFit="1" customWidth="1"/>
    <col min="8984" max="8985" width="5.42578125" style="433" bestFit="1" customWidth="1"/>
    <col min="8986" max="8986" width="7.42578125" style="433" bestFit="1" customWidth="1"/>
    <col min="8987" max="8988" width="12" style="433" bestFit="1" customWidth="1"/>
    <col min="8989" max="8989" width="11.5703125" style="433" bestFit="1" customWidth="1"/>
    <col min="8990" max="8991" width="5.42578125" style="433" bestFit="1" customWidth="1"/>
    <col min="8992" max="8992" width="7.42578125" style="433" bestFit="1" customWidth="1"/>
    <col min="8993" max="8993" width="11.140625" style="433" bestFit="1" customWidth="1"/>
    <col min="8994" max="8994" width="10" style="433" bestFit="1" customWidth="1"/>
    <col min="8995" max="8995" width="12" style="433" customWidth="1"/>
    <col min="8996" max="8996" width="13.7109375" style="433" customWidth="1"/>
    <col min="8997" max="8997" width="12.7109375" style="433" customWidth="1"/>
    <col min="8998" max="8998" width="9.85546875" style="433" customWidth="1"/>
    <col min="8999" max="8999" width="11.28515625" style="433" customWidth="1"/>
    <col min="9000" max="9000" width="11.85546875" style="433" customWidth="1"/>
    <col min="9001" max="9001" width="8.85546875" style="433" customWidth="1"/>
    <col min="9002" max="9002" width="20" style="433" customWidth="1"/>
    <col min="9003" max="9003" width="20.140625" style="433" customWidth="1"/>
    <col min="9004" max="9004" width="28.140625" style="433" customWidth="1"/>
    <col min="9005" max="9005" width="13.85546875" style="433" customWidth="1"/>
    <col min="9006" max="9007" width="11.42578125" style="433"/>
    <col min="9008" max="9008" width="12.28515625" style="433" bestFit="1" customWidth="1"/>
    <col min="9009" max="9216" width="11.42578125" style="433"/>
    <col min="9217" max="9217" width="6.28515625" style="433" customWidth="1"/>
    <col min="9218" max="9218" width="14.28515625" style="433" customWidth="1"/>
    <col min="9219" max="9219" width="25.5703125" style="433" customWidth="1"/>
    <col min="9220" max="9220" width="20.140625" style="433" customWidth="1"/>
    <col min="9221" max="9221" width="11.28515625" style="433" customWidth="1"/>
    <col min="9222" max="9222" width="16.140625" style="433" customWidth="1"/>
    <col min="9223" max="9223" width="25.42578125" style="433" customWidth="1"/>
    <col min="9224" max="9224" width="19.5703125" style="433" customWidth="1"/>
    <col min="9225" max="9225" width="17" style="433" customWidth="1"/>
    <col min="9226" max="9226" width="14.85546875" style="433" customWidth="1"/>
    <col min="9227" max="9227" width="17.140625" style="433" customWidth="1"/>
    <col min="9228" max="9229" width="5.42578125" style="433" bestFit="1" customWidth="1"/>
    <col min="9230" max="9230" width="7.42578125" style="433" bestFit="1" customWidth="1"/>
    <col min="9231" max="9232" width="10" style="433" bestFit="1" customWidth="1"/>
    <col min="9233" max="9233" width="12" style="433" bestFit="1" customWidth="1"/>
    <col min="9234" max="9235" width="5.42578125" style="433" bestFit="1" customWidth="1"/>
    <col min="9236" max="9236" width="7.42578125" style="433" bestFit="1" customWidth="1"/>
    <col min="9237" max="9237" width="11.5703125" style="433" bestFit="1" customWidth="1"/>
    <col min="9238" max="9238" width="11.140625" style="433" bestFit="1" customWidth="1"/>
    <col min="9239" max="9239" width="11.5703125" style="433" bestFit="1" customWidth="1"/>
    <col min="9240" max="9241" width="5.42578125" style="433" bestFit="1" customWidth="1"/>
    <col min="9242" max="9242" width="7.42578125" style="433" bestFit="1" customWidth="1"/>
    <col min="9243" max="9244" width="12" style="433" bestFit="1" customWidth="1"/>
    <col min="9245" max="9245" width="11.5703125" style="433" bestFit="1" customWidth="1"/>
    <col min="9246" max="9247" width="5.42578125" style="433" bestFit="1" customWidth="1"/>
    <col min="9248" max="9248" width="7.42578125" style="433" bestFit="1" customWidth="1"/>
    <col min="9249" max="9249" width="11.140625" style="433" bestFit="1" customWidth="1"/>
    <col min="9250" max="9250" width="10" style="433" bestFit="1" customWidth="1"/>
    <col min="9251" max="9251" width="12" style="433" customWidth="1"/>
    <col min="9252" max="9252" width="13.7109375" style="433" customWidth="1"/>
    <col min="9253" max="9253" width="12.7109375" style="433" customWidth="1"/>
    <col min="9254" max="9254" width="9.85546875" style="433" customWidth="1"/>
    <col min="9255" max="9255" width="11.28515625" style="433" customWidth="1"/>
    <col min="9256" max="9256" width="11.85546875" style="433" customWidth="1"/>
    <col min="9257" max="9257" width="8.85546875" style="433" customWidth="1"/>
    <col min="9258" max="9258" width="20" style="433" customWidth="1"/>
    <col min="9259" max="9259" width="20.140625" style="433" customWidth="1"/>
    <col min="9260" max="9260" width="28.140625" style="433" customWidth="1"/>
    <col min="9261" max="9261" width="13.85546875" style="433" customWidth="1"/>
    <col min="9262" max="9263" width="11.42578125" style="433"/>
    <col min="9264" max="9264" width="12.28515625" style="433" bestFit="1" customWidth="1"/>
    <col min="9265" max="9472" width="11.42578125" style="433"/>
    <col min="9473" max="9473" width="6.28515625" style="433" customWidth="1"/>
    <col min="9474" max="9474" width="14.28515625" style="433" customWidth="1"/>
    <col min="9475" max="9475" width="25.5703125" style="433" customWidth="1"/>
    <col min="9476" max="9476" width="20.140625" style="433" customWidth="1"/>
    <col min="9477" max="9477" width="11.28515625" style="433" customWidth="1"/>
    <col min="9478" max="9478" width="16.140625" style="433" customWidth="1"/>
    <col min="9479" max="9479" width="25.42578125" style="433" customWidth="1"/>
    <col min="9480" max="9480" width="19.5703125" style="433" customWidth="1"/>
    <col min="9481" max="9481" width="17" style="433" customWidth="1"/>
    <col min="9482" max="9482" width="14.85546875" style="433" customWidth="1"/>
    <col min="9483" max="9483" width="17.140625" style="433" customWidth="1"/>
    <col min="9484" max="9485" width="5.42578125" style="433" bestFit="1" customWidth="1"/>
    <col min="9486" max="9486" width="7.42578125" style="433" bestFit="1" customWidth="1"/>
    <col min="9487" max="9488" width="10" style="433" bestFit="1" customWidth="1"/>
    <col min="9489" max="9489" width="12" style="433" bestFit="1" customWidth="1"/>
    <col min="9490" max="9491" width="5.42578125" style="433" bestFit="1" customWidth="1"/>
    <col min="9492" max="9492" width="7.42578125" style="433" bestFit="1" customWidth="1"/>
    <col min="9493" max="9493" width="11.5703125" style="433" bestFit="1" customWidth="1"/>
    <col min="9494" max="9494" width="11.140625" style="433" bestFit="1" customWidth="1"/>
    <col min="9495" max="9495" width="11.5703125" style="433" bestFit="1" customWidth="1"/>
    <col min="9496" max="9497" width="5.42578125" style="433" bestFit="1" customWidth="1"/>
    <col min="9498" max="9498" width="7.42578125" style="433" bestFit="1" customWidth="1"/>
    <col min="9499" max="9500" width="12" style="433" bestFit="1" customWidth="1"/>
    <col min="9501" max="9501" width="11.5703125" style="433" bestFit="1" customWidth="1"/>
    <col min="9502" max="9503" width="5.42578125" style="433" bestFit="1" customWidth="1"/>
    <col min="9504" max="9504" width="7.42578125" style="433" bestFit="1" customWidth="1"/>
    <col min="9505" max="9505" width="11.140625" style="433" bestFit="1" customWidth="1"/>
    <col min="9506" max="9506" width="10" style="433" bestFit="1" customWidth="1"/>
    <col min="9507" max="9507" width="12" style="433" customWidth="1"/>
    <col min="9508" max="9508" width="13.7109375" style="433" customWidth="1"/>
    <col min="9509" max="9509" width="12.7109375" style="433" customWidth="1"/>
    <col min="9510" max="9510" width="9.85546875" style="433" customWidth="1"/>
    <col min="9511" max="9511" width="11.28515625" style="433" customWidth="1"/>
    <col min="9512" max="9512" width="11.85546875" style="433" customWidth="1"/>
    <col min="9513" max="9513" width="8.85546875" style="433" customWidth="1"/>
    <col min="9514" max="9514" width="20" style="433" customWidth="1"/>
    <col min="9515" max="9515" width="20.140625" style="433" customWidth="1"/>
    <col min="9516" max="9516" width="28.140625" style="433" customWidth="1"/>
    <col min="9517" max="9517" width="13.85546875" style="433" customWidth="1"/>
    <col min="9518" max="9519" width="11.42578125" style="433"/>
    <col min="9520" max="9520" width="12.28515625" style="433" bestFit="1" customWidth="1"/>
    <col min="9521" max="9728" width="11.42578125" style="433"/>
    <col min="9729" max="9729" width="6.28515625" style="433" customWidth="1"/>
    <col min="9730" max="9730" width="14.28515625" style="433" customWidth="1"/>
    <col min="9731" max="9731" width="25.5703125" style="433" customWidth="1"/>
    <col min="9732" max="9732" width="20.140625" style="433" customWidth="1"/>
    <col min="9733" max="9733" width="11.28515625" style="433" customWidth="1"/>
    <col min="9734" max="9734" width="16.140625" style="433" customWidth="1"/>
    <col min="9735" max="9735" width="25.42578125" style="433" customWidth="1"/>
    <col min="9736" max="9736" width="19.5703125" style="433" customWidth="1"/>
    <col min="9737" max="9737" width="17" style="433" customWidth="1"/>
    <col min="9738" max="9738" width="14.85546875" style="433" customWidth="1"/>
    <col min="9739" max="9739" width="17.140625" style="433" customWidth="1"/>
    <col min="9740" max="9741" width="5.42578125" style="433" bestFit="1" customWidth="1"/>
    <col min="9742" max="9742" width="7.42578125" style="433" bestFit="1" customWidth="1"/>
    <col min="9743" max="9744" width="10" style="433" bestFit="1" customWidth="1"/>
    <col min="9745" max="9745" width="12" style="433" bestFit="1" customWidth="1"/>
    <col min="9746" max="9747" width="5.42578125" style="433" bestFit="1" customWidth="1"/>
    <col min="9748" max="9748" width="7.42578125" style="433" bestFit="1" customWidth="1"/>
    <col min="9749" max="9749" width="11.5703125" style="433" bestFit="1" customWidth="1"/>
    <col min="9750" max="9750" width="11.140625" style="433" bestFit="1" customWidth="1"/>
    <col min="9751" max="9751" width="11.5703125" style="433" bestFit="1" customWidth="1"/>
    <col min="9752" max="9753" width="5.42578125" style="433" bestFit="1" customWidth="1"/>
    <col min="9754" max="9754" width="7.42578125" style="433" bestFit="1" customWidth="1"/>
    <col min="9755" max="9756" width="12" style="433" bestFit="1" customWidth="1"/>
    <col min="9757" max="9757" width="11.5703125" style="433" bestFit="1" customWidth="1"/>
    <col min="9758" max="9759" width="5.42578125" style="433" bestFit="1" customWidth="1"/>
    <col min="9760" max="9760" width="7.42578125" style="433" bestFit="1" customWidth="1"/>
    <col min="9761" max="9761" width="11.140625" style="433" bestFit="1" customWidth="1"/>
    <col min="9762" max="9762" width="10" style="433" bestFit="1" customWidth="1"/>
    <col min="9763" max="9763" width="12" style="433" customWidth="1"/>
    <col min="9764" max="9764" width="13.7109375" style="433" customWidth="1"/>
    <col min="9765" max="9765" width="12.7109375" style="433" customWidth="1"/>
    <col min="9766" max="9766" width="9.85546875" style="433" customWidth="1"/>
    <col min="9767" max="9767" width="11.28515625" style="433" customWidth="1"/>
    <col min="9768" max="9768" width="11.85546875" style="433" customWidth="1"/>
    <col min="9769" max="9769" width="8.85546875" style="433" customWidth="1"/>
    <col min="9770" max="9770" width="20" style="433" customWidth="1"/>
    <col min="9771" max="9771" width="20.140625" style="433" customWidth="1"/>
    <col min="9772" max="9772" width="28.140625" style="433" customWidth="1"/>
    <col min="9773" max="9773" width="13.85546875" style="433" customWidth="1"/>
    <col min="9774" max="9775" width="11.42578125" style="433"/>
    <col min="9776" max="9776" width="12.28515625" style="433" bestFit="1" customWidth="1"/>
    <col min="9777" max="9984" width="11.42578125" style="433"/>
    <col min="9985" max="9985" width="6.28515625" style="433" customWidth="1"/>
    <col min="9986" max="9986" width="14.28515625" style="433" customWidth="1"/>
    <col min="9987" max="9987" width="25.5703125" style="433" customWidth="1"/>
    <col min="9988" max="9988" width="20.140625" style="433" customWidth="1"/>
    <col min="9989" max="9989" width="11.28515625" style="433" customWidth="1"/>
    <col min="9990" max="9990" width="16.140625" style="433" customWidth="1"/>
    <col min="9991" max="9991" width="25.42578125" style="433" customWidth="1"/>
    <col min="9992" max="9992" width="19.5703125" style="433" customWidth="1"/>
    <col min="9993" max="9993" width="17" style="433" customWidth="1"/>
    <col min="9994" max="9994" width="14.85546875" style="433" customWidth="1"/>
    <col min="9995" max="9995" width="17.140625" style="433" customWidth="1"/>
    <col min="9996" max="9997" width="5.42578125" style="433" bestFit="1" customWidth="1"/>
    <col min="9998" max="9998" width="7.42578125" style="433" bestFit="1" customWidth="1"/>
    <col min="9999" max="10000" width="10" style="433" bestFit="1" customWidth="1"/>
    <col min="10001" max="10001" width="12" style="433" bestFit="1" customWidth="1"/>
    <col min="10002" max="10003" width="5.42578125" style="433" bestFit="1" customWidth="1"/>
    <col min="10004" max="10004" width="7.42578125" style="433" bestFit="1" customWidth="1"/>
    <col min="10005" max="10005" width="11.5703125" style="433" bestFit="1" customWidth="1"/>
    <col min="10006" max="10006" width="11.140625" style="433" bestFit="1" customWidth="1"/>
    <col min="10007" max="10007" width="11.5703125" style="433" bestFit="1" customWidth="1"/>
    <col min="10008" max="10009" width="5.42578125" style="433" bestFit="1" customWidth="1"/>
    <col min="10010" max="10010" width="7.42578125" style="433" bestFit="1" customWidth="1"/>
    <col min="10011" max="10012" width="12" style="433" bestFit="1" customWidth="1"/>
    <col min="10013" max="10013" width="11.5703125" style="433" bestFit="1" customWidth="1"/>
    <col min="10014" max="10015" width="5.42578125" style="433" bestFit="1" customWidth="1"/>
    <col min="10016" max="10016" width="7.42578125" style="433" bestFit="1" customWidth="1"/>
    <col min="10017" max="10017" width="11.140625" style="433" bestFit="1" customWidth="1"/>
    <col min="10018" max="10018" width="10" style="433" bestFit="1" customWidth="1"/>
    <col min="10019" max="10019" width="12" style="433" customWidth="1"/>
    <col min="10020" max="10020" width="13.7109375" style="433" customWidth="1"/>
    <col min="10021" max="10021" width="12.7109375" style="433" customWidth="1"/>
    <col min="10022" max="10022" width="9.85546875" style="433" customWidth="1"/>
    <col min="10023" max="10023" width="11.28515625" style="433" customWidth="1"/>
    <col min="10024" max="10024" width="11.85546875" style="433" customWidth="1"/>
    <col min="10025" max="10025" width="8.85546875" style="433" customWidth="1"/>
    <col min="10026" max="10026" width="20" style="433" customWidth="1"/>
    <col min="10027" max="10027" width="20.140625" style="433" customWidth="1"/>
    <col min="10028" max="10028" width="28.140625" style="433" customWidth="1"/>
    <col min="10029" max="10029" width="13.85546875" style="433" customWidth="1"/>
    <col min="10030" max="10031" width="11.42578125" style="433"/>
    <col min="10032" max="10032" width="12.28515625" style="433" bestFit="1" customWidth="1"/>
    <col min="10033" max="10240" width="11.42578125" style="433"/>
    <col min="10241" max="10241" width="6.28515625" style="433" customWidth="1"/>
    <col min="10242" max="10242" width="14.28515625" style="433" customWidth="1"/>
    <col min="10243" max="10243" width="25.5703125" style="433" customWidth="1"/>
    <col min="10244" max="10244" width="20.140625" style="433" customWidth="1"/>
    <col min="10245" max="10245" width="11.28515625" style="433" customWidth="1"/>
    <col min="10246" max="10246" width="16.140625" style="433" customWidth="1"/>
    <col min="10247" max="10247" width="25.42578125" style="433" customWidth="1"/>
    <col min="10248" max="10248" width="19.5703125" style="433" customWidth="1"/>
    <col min="10249" max="10249" width="17" style="433" customWidth="1"/>
    <col min="10250" max="10250" width="14.85546875" style="433" customWidth="1"/>
    <col min="10251" max="10251" width="17.140625" style="433" customWidth="1"/>
    <col min="10252" max="10253" width="5.42578125" style="433" bestFit="1" customWidth="1"/>
    <col min="10254" max="10254" width="7.42578125" style="433" bestFit="1" customWidth="1"/>
    <col min="10255" max="10256" width="10" style="433" bestFit="1" customWidth="1"/>
    <col min="10257" max="10257" width="12" style="433" bestFit="1" customWidth="1"/>
    <col min="10258" max="10259" width="5.42578125" style="433" bestFit="1" customWidth="1"/>
    <col min="10260" max="10260" width="7.42578125" style="433" bestFit="1" customWidth="1"/>
    <col min="10261" max="10261" width="11.5703125" style="433" bestFit="1" customWidth="1"/>
    <col min="10262" max="10262" width="11.140625" style="433" bestFit="1" customWidth="1"/>
    <col min="10263" max="10263" width="11.5703125" style="433" bestFit="1" customWidth="1"/>
    <col min="10264" max="10265" width="5.42578125" style="433" bestFit="1" customWidth="1"/>
    <col min="10266" max="10266" width="7.42578125" style="433" bestFit="1" customWidth="1"/>
    <col min="10267" max="10268" width="12" style="433" bestFit="1" customWidth="1"/>
    <col min="10269" max="10269" width="11.5703125" style="433" bestFit="1" customWidth="1"/>
    <col min="10270" max="10271" width="5.42578125" style="433" bestFit="1" customWidth="1"/>
    <col min="10272" max="10272" width="7.42578125" style="433" bestFit="1" customWidth="1"/>
    <col min="10273" max="10273" width="11.140625" style="433" bestFit="1" customWidth="1"/>
    <col min="10274" max="10274" width="10" style="433" bestFit="1" customWidth="1"/>
    <col min="10275" max="10275" width="12" style="433" customWidth="1"/>
    <col min="10276" max="10276" width="13.7109375" style="433" customWidth="1"/>
    <col min="10277" max="10277" width="12.7109375" style="433" customWidth="1"/>
    <col min="10278" max="10278" width="9.85546875" style="433" customWidth="1"/>
    <col min="10279" max="10279" width="11.28515625" style="433" customWidth="1"/>
    <col min="10280" max="10280" width="11.85546875" style="433" customWidth="1"/>
    <col min="10281" max="10281" width="8.85546875" style="433" customWidth="1"/>
    <col min="10282" max="10282" width="20" style="433" customWidth="1"/>
    <col min="10283" max="10283" width="20.140625" style="433" customWidth="1"/>
    <col min="10284" max="10284" width="28.140625" style="433" customWidth="1"/>
    <col min="10285" max="10285" width="13.85546875" style="433" customWidth="1"/>
    <col min="10286" max="10287" width="11.42578125" style="433"/>
    <col min="10288" max="10288" width="12.28515625" style="433" bestFit="1" customWidth="1"/>
    <col min="10289" max="10496" width="11.42578125" style="433"/>
    <col min="10497" max="10497" width="6.28515625" style="433" customWidth="1"/>
    <col min="10498" max="10498" width="14.28515625" style="433" customWidth="1"/>
    <col min="10499" max="10499" width="25.5703125" style="433" customWidth="1"/>
    <col min="10500" max="10500" width="20.140625" style="433" customWidth="1"/>
    <col min="10501" max="10501" width="11.28515625" style="433" customWidth="1"/>
    <col min="10502" max="10502" width="16.140625" style="433" customWidth="1"/>
    <col min="10503" max="10503" width="25.42578125" style="433" customWidth="1"/>
    <col min="10504" max="10504" width="19.5703125" style="433" customWidth="1"/>
    <col min="10505" max="10505" width="17" style="433" customWidth="1"/>
    <col min="10506" max="10506" width="14.85546875" style="433" customWidth="1"/>
    <col min="10507" max="10507" width="17.140625" style="433" customWidth="1"/>
    <col min="10508" max="10509" width="5.42578125" style="433" bestFit="1" customWidth="1"/>
    <col min="10510" max="10510" width="7.42578125" style="433" bestFit="1" customWidth="1"/>
    <col min="10511" max="10512" width="10" style="433" bestFit="1" customWidth="1"/>
    <col min="10513" max="10513" width="12" style="433" bestFit="1" customWidth="1"/>
    <col min="10514" max="10515" width="5.42578125" style="433" bestFit="1" customWidth="1"/>
    <col min="10516" max="10516" width="7.42578125" style="433" bestFit="1" customWidth="1"/>
    <col min="10517" max="10517" width="11.5703125" style="433" bestFit="1" customWidth="1"/>
    <col min="10518" max="10518" width="11.140625" style="433" bestFit="1" customWidth="1"/>
    <col min="10519" max="10519" width="11.5703125" style="433" bestFit="1" customWidth="1"/>
    <col min="10520" max="10521" width="5.42578125" style="433" bestFit="1" customWidth="1"/>
    <col min="10522" max="10522" width="7.42578125" style="433" bestFit="1" customWidth="1"/>
    <col min="10523" max="10524" width="12" style="433" bestFit="1" customWidth="1"/>
    <col min="10525" max="10525" width="11.5703125" style="433" bestFit="1" customWidth="1"/>
    <col min="10526" max="10527" width="5.42578125" style="433" bestFit="1" customWidth="1"/>
    <col min="10528" max="10528" width="7.42578125" style="433" bestFit="1" customWidth="1"/>
    <col min="10529" max="10529" width="11.140625" style="433" bestFit="1" customWidth="1"/>
    <col min="10530" max="10530" width="10" style="433" bestFit="1" customWidth="1"/>
    <col min="10531" max="10531" width="12" style="433" customWidth="1"/>
    <col min="10532" max="10532" width="13.7109375" style="433" customWidth="1"/>
    <col min="10533" max="10533" width="12.7109375" style="433" customWidth="1"/>
    <col min="10534" max="10534" width="9.85546875" style="433" customWidth="1"/>
    <col min="10535" max="10535" width="11.28515625" style="433" customWidth="1"/>
    <col min="10536" max="10536" width="11.85546875" style="433" customWidth="1"/>
    <col min="10537" max="10537" width="8.85546875" style="433" customWidth="1"/>
    <col min="10538" max="10538" width="20" style="433" customWidth="1"/>
    <col min="10539" max="10539" width="20.140625" style="433" customWidth="1"/>
    <col min="10540" max="10540" width="28.140625" style="433" customWidth="1"/>
    <col min="10541" max="10541" width="13.85546875" style="433" customWidth="1"/>
    <col min="10542" max="10543" width="11.42578125" style="433"/>
    <col min="10544" max="10544" width="12.28515625" style="433" bestFit="1" customWidth="1"/>
    <col min="10545" max="10752" width="11.42578125" style="433"/>
    <col min="10753" max="10753" width="6.28515625" style="433" customWidth="1"/>
    <col min="10754" max="10754" width="14.28515625" style="433" customWidth="1"/>
    <col min="10755" max="10755" width="25.5703125" style="433" customWidth="1"/>
    <col min="10756" max="10756" width="20.140625" style="433" customWidth="1"/>
    <col min="10757" max="10757" width="11.28515625" style="433" customWidth="1"/>
    <col min="10758" max="10758" width="16.140625" style="433" customWidth="1"/>
    <col min="10759" max="10759" width="25.42578125" style="433" customWidth="1"/>
    <col min="10760" max="10760" width="19.5703125" style="433" customWidth="1"/>
    <col min="10761" max="10761" width="17" style="433" customWidth="1"/>
    <col min="10762" max="10762" width="14.85546875" style="433" customWidth="1"/>
    <col min="10763" max="10763" width="17.140625" style="433" customWidth="1"/>
    <col min="10764" max="10765" width="5.42578125" style="433" bestFit="1" customWidth="1"/>
    <col min="10766" max="10766" width="7.42578125" style="433" bestFit="1" customWidth="1"/>
    <col min="10767" max="10768" width="10" style="433" bestFit="1" customWidth="1"/>
    <col min="10769" max="10769" width="12" style="433" bestFit="1" customWidth="1"/>
    <col min="10770" max="10771" width="5.42578125" style="433" bestFit="1" customWidth="1"/>
    <col min="10772" max="10772" width="7.42578125" style="433" bestFit="1" customWidth="1"/>
    <col min="10773" max="10773" width="11.5703125" style="433" bestFit="1" customWidth="1"/>
    <col min="10774" max="10774" width="11.140625" style="433" bestFit="1" customWidth="1"/>
    <col min="10775" max="10775" width="11.5703125" style="433" bestFit="1" customWidth="1"/>
    <col min="10776" max="10777" width="5.42578125" style="433" bestFit="1" customWidth="1"/>
    <col min="10778" max="10778" width="7.42578125" style="433" bestFit="1" customWidth="1"/>
    <col min="10779" max="10780" width="12" style="433" bestFit="1" customWidth="1"/>
    <col min="10781" max="10781" width="11.5703125" style="433" bestFit="1" customWidth="1"/>
    <col min="10782" max="10783" width="5.42578125" style="433" bestFit="1" customWidth="1"/>
    <col min="10784" max="10784" width="7.42578125" style="433" bestFit="1" customWidth="1"/>
    <col min="10785" max="10785" width="11.140625" style="433" bestFit="1" customWidth="1"/>
    <col min="10786" max="10786" width="10" style="433" bestFit="1" customWidth="1"/>
    <col min="10787" max="10787" width="12" style="433" customWidth="1"/>
    <col min="10788" max="10788" width="13.7109375" style="433" customWidth="1"/>
    <col min="10789" max="10789" width="12.7109375" style="433" customWidth="1"/>
    <col min="10790" max="10790" width="9.85546875" style="433" customWidth="1"/>
    <col min="10791" max="10791" width="11.28515625" style="433" customWidth="1"/>
    <col min="10792" max="10792" width="11.85546875" style="433" customWidth="1"/>
    <col min="10793" max="10793" width="8.85546875" style="433" customWidth="1"/>
    <col min="10794" max="10794" width="20" style="433" customWidth="1"/>
    <col min="10795" max="10795" width="20.140625" style="433" customWidth="1"/>
    <col min="10796" max="10796" width="28.140625" style="433" customWidth="1"/>
    <col min="10797" max="10797" width="13.85546875" style="433" customWidth="1"/>
    <col min="10798" max="10799" width="11.42578125" style="433"/>
    <col min="10800" max="10800" width="12.28515625" style="433" bestFit="1" customWidth="1"/>
    <col min="10801" max="11008" width="11.42578125" style="433"/>
    <col min="11009" max="11009" width="6.28515625" style="433" customWidth="1"/>
    <col min="11010" max="11010" width="14.28515625" style="433" customWidth="1"/>
    <col min="11011" max="11011" width="25.5703125" style="433" customWidth="1"/>
    <col min="11012" max="11012" width="20.140625" style="433" customWidth="1"/>
    <col min="11013" max="11013" width="11.28515625" style="433" customWidth="1"/>
    <col min="11014" max="11014" width="16.140625" style="433" customWidth="1"/>
    <col min="11015" max="11015" width="25.42578125" style="433" customWidth="1"/>
    <col min="11016" max="11016" width="19.5703125" style="433" customWidth="1"/>
    <col min="11017" max="11017" width="17" style="433" customWidth="1"/>
    <col min="11018" max="11018" width="14.85546875" style="433" customWidth="1"/>
    <col min="11019" max="11019" width="17.140625" style="433" customWidth="1"/>
    <col min="11020" max="11021" width="5.42578125" style="433" bestFit="1" customWidth="1"/>
    <col min="11022" max="11022" width="7.42578125" style="433" bestFit="1" customWidth="1"/>
    <col min="11023" max="11024" width="10" style="433" bestFit="1" customWidth="1"/>
    <col min="11025" max="11025" width="12" style="433" bestFit="1" customWidth="1"/>
    <col min="11026" max="11027" width="5.42578125" style="433" bestFit="1" customWidth="1"/>
    <col min="11028" max="11028" width="7.42578125" style="433" bestFit="1" customWidth="1"/>
    <col min="11029" max="11029" width="11.5703125" style="433" bestFit="1" customWidth="1"/>
    <col min="11030" max="11030" width="11.140625" style="433" bestFit="1" customWidth="1"/>
    <col min="11031" max="11031" width="11.5703125" style="433" bestFit="1" customWidth="1"/>
    <col min="11032" max="11033" width="5.42578125" style="433" bestFit="1" customWidth="1"/>
    <col min="11034" max="11034" width="7.42578125" style="433" bestFit="1" customWidth="1"/>
    <col min="11035" max="11036" width="12" style="433" bestFit="1" customWidth="1"/>
    <col min="11037" max="11037" width="11.5703125" style="433" bestFit="1" customWidth="1"/>
    <col min="11038" max="11039" width="5.42578125" style="433" bestFit="1" customWidth="1"/>
    <col min="11040" max="11040" width="7.42578125" style="433" bestFit="1" customWidth="1"/>
    <col min="11041" max="11041" width="11.140625" style="433" bestFit="1" customWidth="1"/>
    <col min="11042" max="11042" width="10" style="433" bestFit="1" customWidth="1"/>
    <col min="11043" max="11043" width="12" style="433" customWidth="1"/>
    <col min="11044" max="11044" width="13.7109375" style="433" customWidth="1"/>
    <col min="11045" max="11045" width="12.7109375" style="433" customWidth="1"/>
    <col min="11046" max="11046" width="9.85546875" style="433" customWidth="1"/>
    <col min="11047" max="11047" width="11.28515625" style="433" customWidth="1"/>
    <col min="11048" max="11048" width="11.85546875" style="433" customWidth="1"/>
    <col min="11049" max="11049" width="8.85546875" style="433" customWidth="1"/>
    <col min="11050" max="11050" width="20" style="433" customWidth="1"/>
    <col min="11051" max="11051" width="20.140625" style="433" customWidth="1"/>
    <col min="11052" max="11052" width="28.140625" style="433" customWidth="1"/>
    <col min="11053" max="11053" width="13.85546875" style="433" customWidth="1"/>
    <col min="11054" max="11055" width="11.42578125" style="433"/>
    <col min="11056" max="11056" width="12.28515625" style="433" bestFit="1" customWidth="1"/>
    <col min="11057" max="11264" width="11.42578125" style="433"/>
    <col min="11265" max="11265" width="6.28515625" style="433" customWidth="1"/>
    <col min="11266" max="11266" width="14.28515625" style="433" customWidth="1"/>
    <col min="11267" max="11267" width="25.5703125" style="433" customWidth="1"/>
    <col min="11268" max="11268" width="20.140625" style="433" customWidth="1"/>
    <col min="11269" max="11269" width="11.28515625" style="433" customWidth="1"/>
    <col min="11270" max="11270" width="16.140625" style="433" customWidth="1"/>
    <col min="11271" max="11271" width="25.42578125" style="433" customWidth="1"/>
    <col min="11272" max="11272" width="19.5703125" style="433" customWidth="1"/>
    <col min="11273" max="11273" width="17" style="433" customWidth="1"/>
    <col min="11274" max="11274" width="14.85546875" style="433" customWidth="1"/>
    <col min="11275" max="11275" width="17.140625" style="433" customWidth="1"/>
    <col min="11276" max="11277" width="5.42578125" style="433" bestFit="1" customWidth="1"/>
    <col min="11278" max="11278" width="7.42578125" style="433" bestFit="1" customWidth="1"/>
    <col min="11279" max="11280" width="10" style="433" bestFit="1" customWidth="1"/>
    <col min="11281" max="11281" width="12" style="433" bestFit="1" customWidth="1"/>
    <col min="11282" max="11283" width="5.42578125" style="433" bestFit="1" customWidth="1"/>
    <col min="11284" max="11284" width="7.42578125" style="433" bestFit="1" customWidth="1"/>
    <col min="11285" max="11285" width="11.5703125" style="433" bestFit="1" customWidth="1"/>
    <col min="11286" max="11286" width="11.140625" style="433" bestFit="1" customWidth="1"/>
    <col min="11287" max="11287" width="11.5703125" style="433" bestFit="1" customWidth="1"/>
    <col min="11288" max="11289" width="5.42578125" style="433" bestFit="1" customWidth="1"/>
    <col min="11290" max="11290" width="7.42578125" style="433" bestFit="1" customWidth="1"/>
    <col min="11291" max="11292" width="12" style="433" bestFit="1" customWidth="1"/>
    <col min="11293" max="11293" width="11.5703125" style="433" bestFit="1" customWidth="1"/>
    <col min="11294" max="11295" width="5.42578125" style="433" bestFit="1" customWidth="1"/>
    <col min="11296" max="11296" width="7.42578125" style="433" bestFit="1" customWidth="1"/>
    <col min="11297" max="11297" width="11.140625" style="433" bestFit="1" customWidth="1"/>
    <col min="11298" max="11298" width="10" style="433" bestFit="1" customWidth="1"/>
    <col min="11299" max="11299" width="12" style="433" customWidth="1"/>
    <col min="11300" max="11300" width="13.7109375" style="433" customWidth="1"/>
    <col min="11301" max="11301" width="12.7109375" style="433" customWidth="1"/>
    <col min="11302" max="11302" width="9.85546875" style="433" customWidth="1"/>
    <col min="11303" max="11303" width="11.28515625" style="433" customWidth="1"/>
    <col min="11304" max="11304" width="11.85546875" style="433" customWidth="1"/>
    <col min="11305" max="11305" width="8.85546875" style="433" customWidth="1"/>
    <col min="11306" max="11306" width="20" style="433" customWidth="1"/>
    <col min="11307" max="11307" width="20.140625" style="433" customWidth="1"/>
    <col min="11308" max="11308" width="28.140625" style="433" customWidth="1"/>
    <col min="11309" max="11309" width="13.85546875" style="433" customWidth="1"/>
    <col min="11310" max="11311" width="11.42578125" style="433"/>
    <col min="11312" max="11312" width="12.28515625" style="433" bestFit="1" customWidth="1"/>
    <col min="11313" max="11520" width="11.42578125" style="433"/>
    <col min="11521" max="11521" width="6.28515625" style="433" customWidth="1"/>
    <col min="11522" max="11522" width="14.28515625" style="433" customWidth="1"/>
    <col min="11523" max="11523" width="25.5703125" style="433" customWidth="1"/>
    <col min="11524" max="11524" width="20.140625" style="433" customWidth="1"/>
    <col min="11525" max="11525" width="11.28515625" style="433" customWidth="1"/>
    <col min="11526" max="11526" width="16.140625" style="433" customWidth="1"/>
    <col min="11527" max="11527" width="25.42578125" style="433" customWidth="1"/>
    <col min="11528" max="11528" width="19.5703125" style="433" customWidth="1"/>
    <col min="11529" max="11529" width="17" style="433" customWidth="1"/>
    <col min="11530" max="11530" width="14.85546875" style="433" customWidth="1"/>
    <col min="11531" max="11531" width="17.140625" style="433" customWidth="1"/>
    <col min="11532" max="11533" width="5.42578125" style="433" bestFit="1" customWidth="1"/>
    <col min="11534" max="11534" width="7.42578125" style="433" bestFit="1" customWidth="1"/>
    <col min="11535" max="11536" width="10" style="433" bestFit="1" customWidth="1"/>
    <col min="11537" max="11537" width="12" style="433" bestFit="1" customWidth="1"/>
    <col min="11538" max="11539" width="5.42578125" style="433" bestFit="1" customWidth="1"/>
    <col min="11540" max="11540" width="7.42578125" style="433" bestFit="1" customWidth="1"/>
    <col min="11541" max="11541" width="11.5703125" style="433" bestFit="1" customWidth="1"/>
    <col min="11542" max="11542" width="11.140625" style="433" bestFit="1" customWidth="1"/>
    <col min="11543" max="11543" width="11.5703125" style="433" bestFit="1" customWidth="1"/>
    <col min="11544" max="11545" width="5.42578125" style="433" bestFit="1" customWidth="1"/>
    <col min="11546" max="11546" width="7.42578125" style="433" bestFit="1" customWidth="1"/>
    <col min="11547" max="11548" width="12" style="433" bestFit="1" customWidth="1"/>
    <col min="11549" max="11549" width="11.5703125" style="433" bestFit="1" customWidth="1"/>
    <col min="11550" max="11551" width="5.42578125" style="433" bestFit="1" customWidth="1"/>
    <col min="11552" max="11552" width="7.42578125" style="433" bestFit="1" customWidth="1"/>
    <col min="11553" max="11553" width="11.140625" style="433" bestFit="1" customWidth="1"/>
    <col min="11554" max="11554" width="10" style="433" bestFit="1" customWidth="1"/>
    <col min="11555" max="11555" width="12" style="433" customWidth="1"/>
    <col min="11556" max="11556" width="13.7109375" style="433" customWidth="1"/>
    <col min="11557" max="11557" width="12.7109375" style="433" customWidth="1"/>
    <col min="11558" max="11558" width="9.85546875" style="433" customWidth="1"/>
    <col min="11559" max="11559" width="11.28515625" style="433" customWidth="1"/>
    <col min="11560" max="11560" width="11.85546875" style="433" customWidth="1"/>
    <col min="11561" max="11561" width="8.85546875" style="433" customWidth="1"/>
    <col min="11562" max="11562" width="20" style="433" customWidth="1"/>
    <col min="11563" max="11563" width="20.140625" style="433" customWidth="1"/>
    <col min="11564" max="11564" width="28.140625" style="433" customWidth="1"/>
    <col min="11565" max="11565" width="13.85546875" style="433" customWidth="1"/>
    <col min="11566" max="11567" width="11.42578125" style="433"/>
    <col min="11568" max="11568" width="12.28515625" style="433" bestFit="1" customWidth="1"/>
    <col min="11569" max="11776" width="11.42578125" style="433"/>
    <col min="11777" max="11777" width="6.28515625" style="433" customWidth="1"/>
    <col min="11778" max="11778" width="14.28515625" style="433" customWidth="1"/>
    <col min="11779" max="11779" width="25.5703125" style="433" customWidth="1"/>
    <col min="11780" max="11780" width="20.140625" style="433" customWidth="1"/>
    <col min="11781" max="11781" width="11.28515625" style="433" customWidth="1"/>
    <col min="11782" max="11782" width="16.140625" style="433" customWidth="1"/>
    <col min="11783" max="11783" width="25.42578125" style="433" customWidth="1"/>
    <col min="11784" max="11784" width="19.5703125" style="433" customWidth="1"/>
    <col min="11785" max="11785" width="17" style="433" customWidth="1"/>
    <col min="11786" max="11786" width="14.85546875" style="433" customWidth="1"/>
    <col min="11787" max="11787" width="17.140625" style="433" customWidth="1"/>
    <col min="11788" max="11789" width="5.42578125" style="433" bestFit="1" customWidth="1"/>
    <col min="11790" max="11790" width="7.42578125" style="433" bestFit="1" customWidth="1"/>
    <col min="11791" max="11792" width="10" style="433" bestFit="1" customWidth="1"/>
    <col min="11793" max="11793" width="12" style="433" bestFit="1" customWidth="1"/>
    <col min="11794" max="11795" width="5.42578125" style="433" bestFit="1" customWidth="1"/>
    <col min="11796" max="11796" width="7.42578125" style="433" bestFit="1" customWidth="1"/>
    <col min="11797" max="11797" width="11.5703125" style="433" bestFit="1" customWidth="1"/>
    <col min="11798" max="11798" width="11.140625" style="433" bestFit="1" customWidth="1"/>
    <col min="11799" max="11799" width="11.5703125" style="433" bestFit="1" customWidth="1"/>
    <col min="11800" max="11801" width="5.42578125" style="433" bestFit="1" customWidth="1"/>
    <col min="11802" max="11802" width="7.42578125" style="433" bestFit="1" customWidth="1"/>
    <col min="11803" max="11804" width="12" style="433" bestFit="1" customWidth="1"/>
    <col min="11805" max="11805" width="11.5703125" style="433" bestFit="1" customWidth="1"/>
    <col min="11806" max="11807" width="5.42578125" style="433" bestFit="1" customWidth="1"/>
    <col min="11808" max="11808" width="7.42578125" style="433" bestFit="1" customWidth="1"/>
    <col min="11809" max="11809" width="11.140625" style="433" bestFit="1" customWidth="1"/>
    <col min="11810" max="11810" width="10" style="433" bestFit="1" customWidth="1"/>
    <col min="11811" max="11811" width="12" style="433" customWidth="1"/>
    <col min="11812" max="11812" width="13.7109375" style="433" customWidth="1"/>
    <col min="11813" max="11813" width="12.7109375" style="433" customWidth="1"/>
    <col min="11814" max="11814" width="9.85546875" style="433" customWidth="1"/>
    <col min="11815" max="11815" width="11.28515625" style="433" customWidth="1"/>
    <col min="11816" max="11816" width="11.85546875" style="433" customWidth="1"/>
    <col min="11817" max="11817" width="8.85546875" style="433" customWidth="1"/>
    <col min="11818" max="11818" width="20" style="433" customWidth="1"/>
    <col min="11819" max="11819" width="20.140625" style="433" customWidth="1"/>
    <col min="11820" max="11820" width="28.140625" style="433" customWidth="1"/>
    <col min="11821" max="11821" width="13.85546875" style="433" customWidth="1"/>
    <col min="11822" max="11823" width="11.42578125" style="433"/>
    <col min="11824" max="11824" width="12.28515625" style="433" bestFit="1" customWidth="1"/>
    <col min="11825" max="12032" width="11.42578125" style="433"/>
    <col min="12033" max="12033" width="6.28515625" style="433" customWidth="1"/>
    <col min="12034" max="12034" width="14.28515625" style="433" customWidth="1"/>
    <col min="12035" max="12035" width="25.5703125" style="433" customWidth="1"/>
    <col min="12036" max="12036" width="20.140625" style="433" customWidth="1"/>
    <col min="12037" max="12037" width="11.28515625" style="433" customWidth="1"/>
    <col min="12038" max="12038" width="16.140625" style="433" customWidth="1"/>
    <col min="12039" max="12039" width="25.42578125" style="433" customWidth="1"/>
    <col min="12040" max="12040" width="19.5703125" style="433" customWidth="1"/>
    <col min="12041" max="12041" width="17" style="433" customWidth="1"/>
    <col min="12042" max="12042" width="14.85546875" style="433" customWidth="1"/>
    <col min="12043" max="12043" width="17.140625" style="433" customWidth="1"/>
    <col min="12044" max="12045" width="5.42578125" style="433" bestFit="1" customWidth="1"/>
    <col min="12046" max="12046" width="7.42578125" style="433" bestFit="1" customWidth="1"/>
    <col min="12047" max="12048" width="10" style="433" bestFit="1" customWidth="1"/>
    <col min="12049" max="12049" width="12" style="433" bestFit="1" customWidth="1"/>
    <col min="12050" max="12051" width="5.42578125" style="433" bestFit="1" customWidth="1"/>
    <col min="12052" max="12052" width="7.42578125" style="433" bestFit="1" customWidth="1"/>
    <col min="12053" max="12053" width="11.5703125" style="433" bestFit="1" customWidth="1"/>
    <col min="12054" max="12054" width="11.140625" style="433" bestFit="1" customWidth="1"/>
    <col min="12055" max="12055" width="11.5703125" style="433" bestFit="1" customWidth="1"/>
    <col min="12056" max="12057" width="5.42578125" style="433" bestFit="1" customWidth="1"/>
    <col min="12058" max="12058" width="7.42578125" style="433" bestFit="1" customWidth="1"/>
    <col min="12059" max="12060" width="12" style="433" bestFit="1" customWidth="1"/>
    <col min="12061" max="12061" width="11.5703125" style="433" bestFit="1" customWidth="1"/>
    <col min="12062" max="12063" width="5.42578125" style="433" bestFit="1" customWidth="1"/>
    <col min="12064" max="12064" width="7.42578125" style="433" bestFit="1" customWidth="1"/>
    <col min="12065" max="12065" width="11.140625" style="433" bestFit="1" customWidth="1"/>
    <col min="12066" max="12066" width="10" style="433" bestFit="1" customWidth="1"/>
    <col min="12067" max="12067" width="12" style="433" customWidth="1"/>
    <col min="12068" max="12068" width="13.7109375" style="433" customWidth="1"/>
    <col min="12069" max="12069" width="12.7109375" style="433" customWidth="1"/>
    <col min="12070" max="12070" width="9.85546875" style="433" customWidth="1"/>
    <col min="12071" max="12071" width="11.28515625" style="433" customWidth="1"/>
    <col min="12072" max="12072" width="11.85546875" style="433" customWidth="1"/>
    <col min="12073" max="12073" width="8.85546875" style="433" customWidth="1"/>
    <col min="12074" max="12074" width="20" style="433" customWidth="1"/>
    <col min="12075" max="12075" width="20.140625" style="433" customWidth="1"/>
    <col min="12076" max="12076" width="28.140625" style="433" customWidth="1"/>
    <col min="12077" max="12077" width="13.85546875" style="433" customWidth="1"/>
    <col min="12078" max="12079" width="11.42578125" style="433"/>
    <col min="12080" max="12080" width="12.28515625" style="433" bestFit="1" customWidth="1"/>
    <col min="12081" max="12288" width="11.42578125" style="433"/>
    <col min="12289" max="12289" width="6.28515625" style="433" customWidth="1"/>
    <col min="12290" max="12290" width="14.28515625" style="433" customWidth="1"/>
    <col min="12291" max="12291" width="25.5703125" style="433" customWidth="1"/>
    <col min="12292" max="12292" width="20.140625" style="433" customWidth="1"/>
    <col min="12293" max="12293" width="11.28515625" style="433" customWidth="1"/>
    <col min="12294" max="12294" width="16.140625" style="433" customWidth="1"/>
    <col min="12295" max="12295" width="25.42578125" style="433" customWidth="1"/>
    <col min="12296" max="12296" width="19.5703125" style="433" customWidth="1"/>
    <col min="12297" max="12297" width="17" style="433" customWidth="1"/>
    <col min="12298" max="12298" width="14.85546875" style="433" customWidth="1"/>
    <col min="12299" max="12299" width="17.140625" style="433" customWidth="1"/>
    <col min="12300" max="12301" width="5.42578125" style="433" bestFit="1" customWidth="1"/>
    <col min="12302" max="12302" width="7.42578125" style="433" bestFit="1" customWidth="1"/>
    <col min="12303" max="12304" width="10" style="433" bestFit="1" customWidth="1"/>
    <col min="12305" max="12305" width="12" style="433" bestFit="1" customWidth="1"/>
    <col min="12306" max="12307" width="5.42578125" style="433" bestFit="1" customWidth="1"/>
    <col min="12308" max="12308" width="7.42578125" style="433" bestFit="1" customWidth="1"/>
    <col min="12309" max="12309" width="11.5703125" style="433" bestFit="1" customWidth="1"/>
    <col min="12310" max="12310" width="11.140625" style="433" bestFit="1" customWidth="1"/>
    <col min="12311" max="12311" width="11.5703125" style="433" bestFit="1" customWidth="1"/>
    <col min="12312" max="12313" width="5.42578125" style="433" bestFit="1" customWidth="1"/>
    <col min="12314" max="12314" width="7.42578125" style="433" bestFit="1" customWidth="1"/>
    <col min="12315" max="12316" width="12" style="433" bestFit="1" customWidth="1"/>
    <col min="12317" max="12317" width="11.5703125" style="433" bestFit="1" customWidth="1"/>
    <col min="12318" max="12319" width="5.42578125" style="433" bestFit="1" customWidth="1"/>
    <col min="12320" max="12320" width="7.42578125" style="433" bestFit="1" customWidth="1"/>
    <col min="12321" max="12321" width="11.140625" style="433" bestFit="1" customWidth="1"/>
    <col min="12322" max="12322" width="10" style="433" bestFit="1" customWidth="1"/>
    <col min="12323" max="12323" width="12" style="433" customWidth="1"/>
    <col min="12324" max="12324" width="13.7109375" style="433" customWidth="1"/>
    <col min="12325" max="12325" width="12.7109375" style="433" customWidth="1"/>
    <col min="12326" max="12326" width="9.85546875" style="433" customWidth="1"/>
    <col min="12327" max="12327" width="11.28515625" style="433" customWidth="1"/>
    <col min="12328" max="12328" width="11.85546875" style="433" customWidth="1"/>
    <col min="12329" max="12329" width="8.85546875" style="433" customWidth="1"/>
    <col min="12330" max="12330" width="20" style="433" customWidth="1"/>
    <col min="12331" max="12331" width="20.140625" style="433" customWidth="1"/>
    <col min="12332" max="12332" width="28.140625" style="433" customWidth="1"/>
    <col min="12333" max="12333" width="13.85546875" style="433" customWidth="1"/>
    <col min="12334" max="12335" width="11.42578125" style="433"/>
    <col min="12336" max="12336" width="12.28515625" style="433" bestFit="1" customWidth="1"/>
    <col min="12337" max="12544" width="11.42578125" style="433"/>
    <col min="12545" max="12545" width="6.28515625" style="433" customWidth="1"/>
    <col min="12546" max="12546" width="14.28515625" style="433" customWidth="1"/>
    <col min="12547" max="12547" width="25.5703125" style="433" customWidth="1"/>
    <col min="12548" max="12548" width="20.140625" style="433" customWidth="1"/>
    <col min="12549" max="12549" width="11.28515625" style="433" customWidth="1"/>
    <col min="12550" max="12550" width="16.140625" style="433" customWidth="1"/>
    <col min="12551" max="12551" width="25.42578125" style="433" customWidth="1"/>
    <col min="12552" max="12552" width="19.5703125" style="433" customWidth="1"/>
    <col min="12553" max="12553" width="17" style="433" customWidth="1"/>
    <col min="12554" max="12554" width="14.85546875" style="433" customWidth="1"/>
    <col min="12555" max="12555" width="17.140625" style="433" customWidth="1"/>
    <col min="12556" max="12557" width="5.42578125" style="433" bestFit="1" customWidth="1"/>
    <col min="12558" max="12558" width="7.42578125" style="433" bestFit="1" customWidth="1"/>
    <col min="12559" max="12560" width="10" style="433" bestFit="1" customWidth="1"/>
    <col min="12561" max="12561" width="12" style="433" bestFit="1" customWidth="1"/>
    <col min="12562" max="12563" width="5.42578125" style="433" bestFit="1" customWidth="1"/>
    <col min="12564" max="12564" width="7.42578125" style="433" bestFit="1" customWidth="1"/>
    <col min="12565" max="12565" width="11.5703125" style="433" bestFit="1" customWidth="1"/>
    <col min="12566" max="12566" width="11.140625" style="433" bestFit="1" customWidth="1"/>
    <col min="12567" max="12567" width="11.5703125" style="433" bestFit="1" customWidth="1"/>
    <col min="12568" max="12569" width="5.42578125" style="433" bestFit="1" customWidth="1"/>
    <col min="12570" max="12570" width="7.42578125" style="433" bestFit="1" customWidth="1"/>
    <col min="12571" max="12572" width="12" style="433" bestFit="1" customWidth="1"/>
    <col min="12573" max="12573" width="11.5703125" style="433" bestFit="1" customWidth="1"/>
    <col min="12574" max="12575" width="5.42578125" style="433" bestFit="1" customWidth="1"/>
    <col min="12576" max="12576" width="7.42578125" style="433" bestFit="1" customWidth="1"/>
    <col min="12577" max="12577" width="11.140625" style="433" bestFit="1" customWidth="1"/>
    <col min="12578" max="12578" width="10" style="433" bestFit="1" customWidth="1"/>
    <col min="12579" max="12579" width="12" style="433" customWidth="1"/>
    <col min="12580" max="12580" width="13.7109375" style="433" customWidth="1"/>
    <col min="12581" max="12581" width="12.7109375" style="433" customWidth="1"/>
    <col min="12582" max="12582" width="9.85546875" style="433" customWidth="1"/>
    <col min="12583" max="12583" width="11.28515625" style="433" customWidth="1"/>
    <col min="12584" max="12584" width="11.85546875" style="433" customWidth="1"/>
    <col min="12585" max="12585" width="8.85546875" style="433" customWidth="1"/>
    <col min="12586" max="12586" width="20" style="433" customWidth="1"/>
    <col min="12587" max="12587" width="20.140625" style="433" customWidth="1"/>
    <col min="12588" max="12588" width="28.140625" style="433" customWidth="1"/>
    <col min="12589" max="12589" width="13.85546875" style="433" customWidth="1"/>
    <col min="12590" max="12591" width="11.42578125" style="433"/>
    <col min="12592" max="12592" width="12.28515625" style="433" bestFit="1" customWidth="1"/>
    <col min="12593" max="12800" width="11.42578125" style="433"/>
    <col min="12801" max="12801" width="6.28515625" style="433" customWidth="1"/>
    <col min="12802" max="12802" width="14.28515625" style="433" customWidth="1"/>
    <col min="12803" max="12803" width="25.5703125" style="433" customWidth="1"/>
    <col min="12804" max="12804" width="20.140625" style="433" customWidth="1"/>
    <col min="12805" max="12805" width="11.28515625" style="433" customWidth="1"/>
    <col min="12806" max="12806" width="16.140625" style="433" customWidth="1"/>
    <col min="12807" max="12807" width="25.42578125" style="433" customWidth="1"/>
    <col min="12808" max="12808" width="19.5703125" style="433" customWidth="1"/>
    <col min="12809" max="12809" width="17" style="433" customWidth="1"/>
    <col min="12810" max="12810" width="14.85546875" style="433" customWidth="1"/>
    <col min="12811" max="12811" width="17.140625" style="433" customWidth="1"/>
    <col min="12812" max="12813" width="5.42578125" style="433" bestFit="1" customWidth="1"/>
    <col min="12814" max="12814" width="7.42578125" style="433" bestFit="1" customWidth="1"/>
    <col min="12815" max="12816" width="10" style="433" bestFit="1" customWidth="1"/>
    <col min="12817" max="12817" width="12" style="433" bestFit="1" customWidth="1"/>
    <col min="12818" max="12819" width="5.42578125" style="433" bestFit="1" customWidth="1"/>
    <col min="12820" max="12820" width="7.42578125" style="433" bestFit="1" customWidth="1"/>
    <col min="12821" max="12821" width="11.5703125" style="433" bestFit="1" customWidth="1"/>
    <col min="12822" max="12822" width="11.140625" style="433" bestFit="1" customWidth="1"/>
    <col min="12823" max="12823" width="11.5703125" style="433" bestFit="1" customWidth="1"/>
    <col min="12824" max="12825" width="5.42578125" style="433" bestFit="1" customWidth="1"/>
    <col min="12826" max="12826" width="7.42578125" style="433" bestFit="1" customWidth="1"/>
    <col min="12827" max="12828" width="12" style="433" bestFit="1" customWidth="1"/>
    <col min="12829" max="12829" width="11.5703125" style="433" bestFit="1" customWidth="1"/>
    <col min="12830" max="12831" width="5.42578125" style="433" bestFit="1" customWidth="1"/>
    <col min="12832" max="12832" width="7.42578125" style="433" bestFit="1" customWidth="1"/>
    <col min="12833" max="12833" width="11.140625" style="433" bestFit="1" customWidth="1"/>
    <col min="12834" max="12834" width="10" style="433" bestFit="1" customWidth="1"/>
    <col min="12835" max="12835" width="12" style="433" customWidth="1"/>
    <col min="12836" max="12836" width="13.7109375" style="433" customWidth="1"/>
    <col min="12837" max="12837" width="12.7109375" style="433" customWidth="1"/>
    <col min="12838" max="12838" width="9.85546875" style="433" customWidth="1"/>
    <col min="12839" max="12839" width="11.28515625" style="433" customWidth="1"/>
    <col min="12840" max="12840" width="11.85546875" style="433" customWidth="1"/>
    <col min="12841" max="12841" width="8.85546875" style="433" customWidth="1"/>
    <col min="12842" max="12842" width="20" style="433" customWidth="1"/>
    <col min="12843" max="12843" width="20.140625" style="433" customWidth="1"/>
    <col min="12844" max="12844" width="28.140625" style="433" customWidth="1"/>
    <col min="12845" max="12845" width="13.85546875" style="433" customWidth="1"/>
    <col min="12846" max="12847" width="11.42578125" style="433"/>
    <col min="12848" max="12848" width="12.28515625" style="433" bestFit="1" customWidth="1"/>
    <col min="12849" max="13056" width="11.42578125" style="433"/>
    <col min="13057" max="13057" width="6.28515625" style="433" customWidth="1"/>
    <col min="13058" max="13058" width="14.28515625" style="433" customWidth="1"/>
    <col min="13059" max="13059" width="25.5703125" style="433" customWidth="1"/>
    <col min="13060" max="13060" width="20.140625" style="433" customWidth="1"/>
    <col min="13061" max="13061" width="11.28515625" style="433" customWidth="1"/>
    <col min="13062" max="13062" width="16.140625" style="433" customWidth="1"/>
    <col min="13063" max="13063" width="25.42578125" style="433" customWidth="1"/>
    <col min="13064" max="13064" width="19.5703125" style="433" customWidth="1"/>
    <col min="13065" max="13065" width="17" style="433" customWidth="1"/>
    <col min="13066" max="13066" width="14.85546875" style="433" customWidth="1"/>
    <col min="13067" max="13067" width="17.140625" style="433" customWidth="1"/>
    <col min="13068" max="13069" width="5.42578125" style="433" bestFit="1" customWidth="1"/>
    <col min="13070" max="13070" width="7.42578125" style="433" bestFit="1" customWidth="1"/>
    <col min="13071" max="13072" width="10" style="433" bestFit="1" customWidth="1"/>
    <col min="13073" max="13073" width="12" style="433" bestFit="1" customWidth="1"/>
    <col min="13074" max="13075" width="5.42578125" style="433" bestFit="1" customWidth="1"/>
    <col min="13076" max="13076" width="7.42578125" style="433" bestFit="1" customWidth="1"/>
    <col min="13077" max="13077" width="11.5703125" style="433" bestFit="1" customWidth="1"/>
    <col min="13078" max="13078" width="11.140625" style="433" bestFit="1" customWidth="1"/>
    <col min="13079" max="13079" width="11.5703125" style="433" bestFit="1" customWidth="1"/>
    <col min="13080" max="13081" width="5.42578125" style="433" bestFit="1" customWidth="1"/>
    <col min="13082" max="13082" width="7.42578125" style="433" bestFit="1" customWidth="1"/>
    <col min="13083" max="13084" width="12" style="433" bestFit="1" customWidth="1"/>
    <col min="13085" max="13085" width="11.5703125" style="433" bestFit="1" customWidth="1"/>
    <col min="13086" max="13087" width="5.42578125" style="433" bestFit="1" customWidth="1"/>
    <col min="13088" max="13088" width="7.42578125" style="433" bestFit="1" customWidth="1"/>
    <col min="13089" max="13089" width="11.140625" style="433" bestFit="1" customWidth="1"/>
    <col min="13090" max="13090" width="10" style="433" bestFit="1" customWidth="1"/>
    <col min="13091" max="13091" width="12" style="433" customWidth="1"/>
    <col min="13092" max="13092" width="13.7109375" style="433" customWidth="1"/>
    <col min="13093" max="13093" width="12.7109375" style="433" customWidth="1"/>
    <col min="13094" max="13094" width="9.85546875" style="433" customWidth="1"/>
    <col min="13095" max="13095" width="11.28515625" style="433" customWidth="1"/>
    <col min="13096" max="13096" width="11.85546875" style="433" customWidth="1"/>
    <col min="13097" max="13097" width="8.85546875" style="433" customWidth="1"/>
    <col min="13098" max="13098" width="20" style="433" customWidth="1"/>
    <col min="13099" max="13099" width="20.140625" style="433" customWidth="1"/>
    <col min="13100" max="13100" width="28.140625" style="433" customWidth="1"/>
    <col min="13101" max="13101" width="13.85546875" style="433" customWidth="1"/>
    <col min="13102" max="13103" width="11.42578125" style="433"/>
    <col min="13104" max="13104" width="12.28515625" style="433" bestFit="1" customWidth="1"/>
    <col min="13105" max="13312" width="11.42578125" style="433"/>
    <col min="13313" max="13313" width="6.28515625" style="433" customWidth="1"/>
    <col min="13314" max="13314" width="14.28515625" style="433" customWidth="1"/>
    <col min="13315" max="13315" width="25.5703125" style="433" customWidth="1"/>
    <col min="13316" max="13316" width="20.140625" style="433" customWidth="1"/>
    <col min="13317" max="13317" width="11.28515625" style="433" customWidth="1"/>
    <col min="13318" max="13318" width="16.140625" style="433" customWidth="1"/>
    <col min="13319" max="13319" width="25.42578125" style="433" customWidth="1"/>
    <col min="13320" max="13320" width="19.5703125" style="433" customWidth="1"/>
    <col min="13321" max="13321" width="17" style="433" customWidth="1"/>
    <col min="13322" max="13322" width="14.85546875" style="433" customWidth="1"/>
    <col min="13323" max="13323" width="17.140625" style="433" customWidth="1"/>
    <col min="13324" max="13325" width="5.42578125" style="433" bestFit="1" customWidth="1"/>
    <col min="13326" max="13326" width="7.42578125" style="433" bestFit="1" customWidth="1"/>
    <col min="13327" max="13328" width="10" style="433" bestFit="1" customWidth="1"/>
    <col min="13329" max="13329" width="12" style="433" bestFit="1" customWidth="1"/>
    <col min="13330" max="13331" width="5.42578125" style="433" bestFit="1" customWidth="1"/>
    <col min="13332" max="13332" width="7.42578125" style="433" bestFit="1" customWidth="1"/>
    <col min="13333" max="13333" width="11.5703125" style="433" bestFit="1" customWidth="1"/>
    <col min="13334" max="13334" width="11.140625" style="433" bestFit="1" customWidth="1"/>
    <col min="13335" max="13335" width="11.5703125" style="433" bestFit="1" customWidth="1"/>
    <col min="13336" max="13337" width="5.42578125" style="433" bestFit="1" customWidth="1"/>
    <col min="13338" max="13338" width="7.42578125" style="433" bestFit="1" customWidth="1"/>
    <col min="13339" max="13340" width="12" style="433" bestFit="1" customWidth="1"/>
    <col min="13341" max="13341" width="11.5703125" style="433" bestFit="1" customWidth="1"/>
    <col min="13342" max="13343" width="5.42578125" style="433" bestFit="1" customWidth="1"/>
    <col min="13344" max="13344" width="7.42578125" style="433" bestFit="1" customWidth="1"/>
    <col min="13345" max="13345" width="11.140625" style="433" bestFit="1" customWidth="1"/>
    <col min="13346" max="13346" width="10" style="433" bestFit="1" customWidth="1"/>
    <col min="13347" max="13347" width="12" style="433" customWidth="1"/>
    <col min="13348" max="13348" width="13.7109375" style="433" customWidth="1"/>
    <col min="13349" max="13349" width="12.7109375" style="433" customWidth="1"/>
    <col min="13350" max="13350" width="9.85546875" style="433" customWidth="1"/>
    <col min="13351" max="13351" width="11.28515625" style="433" customWidth="1"/>
    <col min="13352" max="13352" width="11.85546875" style="433" customWidth="1"/>
    <col min="13353" max="13353" width="8.85546875" style="433" customWidth="1"/>
    <col min="13354" max="13354" width="20" style="433" customWidth="1"/>
    <col min="13355" max="13355" width="20.140625" style="433" customWidth="1"/>
    <col min="13356" max="13356" width="28.140625" style="433" customWidth="1"/>
    <col min="13357" max="13357" width="13.85546875" style="433" customWidth="1"/>
    <col min="13358" max="13359" width="11.42578125" style="433"/>
    <col min="13360" max="13360" width="12.28515625" style="433" bestFit="1" customWidth="1"/>
    <col min="13361" max="13568" width="11.42578125" style="433"/>
    <col min="13569" max="13569" width="6.28515625" style="433" customWidth="1"/>
    <col min="13570" max="13570" width="14.28515625" style="433" customWidth="1"/>
    <col min="13571" max="13571" width="25.5703125" style="433" customWidth="1"/>
    <col min="13572" max="13572" width="20.140625" style="433" customWidth="1"/>
    <col min="13573" max="13573" width="11.28515625" style="433" customWidth="1"/>
    <col min="13574" max="13574" width="16.140625" style="433" customWidth="1"/>
    <col min="13575" max="13575" width="25.42578125" style="433" customWidth="1"/>
    <col min="13576" max="13576" width="19.5703125" style="433" customWidth="1"/>
    <col min="13577" max="13577" width="17" style="433" customWidth="1"/>
    <col min="13578" max="13578" width="14.85546875" style="433" customWidth="1"/>
    <col min="13579" max="13579" width="17.140625" style="433" customWidth="1"/>
    <col min="13580" max="13581" width="5.42578125" style="433" bestFit="1" customWidth="1"/>
    <col min="13582" max="13582" width="7.42578125" style="433" bestFit="1" customWidth="1"/>
    <col min="13583" max="13584" width="10" style="433" bestFit="1" customWidth="1"/>
    <col min="13585" max="13585" width="12" style="433" bestFit="1" customWidth="1"/>
    <col min="13586" max="13587" width="5.42578125" style="433" bestFit="1" customWidth="1"/>
    <col min="13588" max="13588" width="7.42578125" style="433" bestFit="1" customWidth="1"/>
    <col min="13589" max="13589" width="11.5703125" style="433" bestFit="1" customWidth="1"/>
    <col min="13590" max="13590" width="11.140625" style="433" bestFit="1" customWidth="1"/>
    <col min="13591" max="13591" width="11.5703125" style="433" bestFit="1" customWidth="1"/>
    <col min="13592" max="13593" width="5.42578125" style="433" bestFit="1" customWidth="1"/>
    <col min="13594" max="13594" width="7.42578125" style="433" bestFit="1" customWidth="1"/>
    <col min="13595" max="13596" width="12" style="433" bestFit="1" customWidth="1"/>
    <col min="13597" max="13597" width="11.5703125" style="433" bestFit="1" customWidth="1"/>
    <col min="13598" max="13599" width="5.42578125" style="433" bestFit="1" customWidth="1"/>
    <col min="13600" max="13600" width="7.42578125" style="433" bestFit="1" customWidth="1"/>
    <col min="13601" max="13601" width="11.140625" style="433" bestFit="1" customWidth="1"/>
    <col min="13602" max="13602" width="10" style="433" bestFit="1" customWidth="1"/>
    <col min="13603" max="13603" width="12" style="433" customWidth="1"/>
    <col min="13604" max="13604" width="13.7109375" style="433" customWidth="1"/>
    <col min="13605" max="13605" width="12.7109375" style="433" customWidth="1"/>
    <col min="13606" max="13606" width="9.85546875" style="433" customWidth="1"/>
    <col min="13607" max="13607" width="11.28515625" style="433" customWidth="1"/>
    <col min="13608" max="13608" width="11.85546875" style="433" customWidth="1"/>
    <col min="13609" max="13609" width="8.85546875" style="433" customWidth="1"/>
    <col min="13610" max="13610" width="20" style="433" customWidth="1"/>
    <col min="13611" max="13611" width="20.140625" style="433" customWidth="1"/>
    <col min="13612" max="13612" width="28.140625" style="433" customWidth="1"/>
    <col min="13613" max="13613" width="13.85546875" style="433" customWidth="1"/>
    <col min="13614" max="13615" width="11.42578125" style="433"/>
    <col min="13616" max="13616" width="12.28515625" style="433" bestFit="1" customWidth="1"/>
    <col min="13617" max="13824" width="11.42578125" style="433"/>
    <col min="13825" max="13825" width="6.28515625" style="433" customWidth="1"/>
    <col min="13826" max="13826" width="14.28515625" style="433" customWidth="1"/>
    <col min="13827" max="13827" width="25.5703125" style="433" customWidth="1"/>
    <col min="13828" max="13828" width="20.140625" style="433" customWidth="1"/>
    <col min="13829" max="13829" width="11.28515625" style="433" customWidth="1"/>
    <col min="13830" max="13830" width="16.140625" style="433" customWidth="1"/>
    <col min="13831" max="13831" width="25.42578125" style="433" customWidth="1"/>
    <col min="13832" max="13832" width="19.5703125" style="433" customWidth="1"/>
    <col min="13833" max="13833" width="17" style="433" customWidth="1"/>
    <col min="13834" max="13834" width="14.85546875" style="433" customWidth="1"/>
    <col min="13835" max="13835" width="17.140625" style="433" customWidth="1"/>
    <col min="13836" max="13837" width="5.42578125" style="433" bestFit="1" customWidth="1"/>
    <col min="13838" max="13838" width="7.42578125" style="433" bestFit="1" customWidth="1"/>
    <col min="13839" max="13840" width="10" style="433" bestFit="1" customWidth="1"/>
    <col min="13841" max="13841" width="12" style="433" bestFit="1" customWidth="1"/>
    <col min="13842" max="13843" width="5.42578125" style="433" bestFit="1" customWidth="1"/>
    <col min="13844" max="13844" width="7.42578125" style="433" bestFit="1" customWidth="1"/>
    <col min="13845" max="13845" width="11.5703125" style="433" bestFit="1" customWidth="1"/>
    <col min="13846" max="13846" width="11.140625" style="433" bestFit="1" customWidth="1"/>
    <col min="13847" max="13847" width="11.5703125" style="433" bestFit="1" customWidth="1"/>
    <col min="13848" max="13849" width="5.42578125" style="433" bestFit="1" customWidth="1"/>
    <col min="13850" max="13850" width="7.42578125" style="433" bestFit="1" customWidth="1"/>
    <col min="13851" max="13852" width="12" style="433" bestFit="1" customWidth="1"/>
    <col min="13853" max="13853" width="11.5703125" style="433" bestFit="1" customWidth="1"/>
    <col min="13854" max="13855" width="5.42578125" style="433" bestFit="1" customWidth="1"/>
    <col min="13856" max="13856" width="7.42578125" style="433" bestFit="1" customWidth="1"/>
    <col min="13857" max="13857" width="11.140625" style="433" bestFit="1" customWidth="1"/>
    <col min="13858" max="13858" width="10" style="433" bestFit="1" customWidth="1"/>
    <col min="13859" max="13859" width="12" style="433" customWidth="1"/>
    <col min="13860" max="13860" width="13.7109375" style="433" customWidth="1"/>
    <col min="13861" max="13861" width="12.7109375" style="433" customWidth="1"/>
    <col min="13862" max="13862" width="9.85546875" style="433" customWidth="1"/>
    <col min="13863" max="13863" width="11.28515625" style="433" customWidth="1"/>
    <col min="13864" max="13864" width="11.85546875" style="433" customWidth="1"/>
    <col min="13865" max="13865" width="8.85546875" style="433" customWidth="1"/>
    <col min="13866" max="13866" width="20" style="433" customWidth="1"/>
    <col min="13867" max="13867" width="20.140625" style="433" customWidth="1"/>
    <col min="13868" max="13868" width="28.140625" style="433" customWidth="1"/>
    <col min="13869" max="13869" width="13.85546875" style="433" customWidth="1"/>
    <col min="13870" max="13871" width="11.42578125" style="433"/>
    <col min="13872" max="13872" width="12.28515625" style="433" bestFit="1" customWidth="1"/>
    <col min="13873" max="14080" width="11.42578125" style="433"/>
    <col min="14081" max="14081" width="6.28515625" style="433" customWidth="1"/>
    <col min="14082" max="14082" width="14.28515625" style="433" customWidth="1"/>
    <col min="14083" max="14083" width="25.5703125" style="433" customWidth="1"/>
    <col min="14084" max="14084" width="20.140625" style="433" customWidth="1"/>
    <col min="14085" max="14085" width="11.28515625" style="433" customWidth="1"/>
    <col min="14086" max="14086" width="16.140625" style="433" customWidth="1"/>
    <col min="14087" max="14087" width="25.42578125" style="433" customWidth="1"/>
    <col min="14088" max="14088" width="19.5703125" style="433" customWidth="1"/>
    <col min="14089" max="14089" width="17" style="433" customWidth="1"/>
    <col min="14090" max="14090" width="14.85546875" style="433" customWidth="1"/>
    <col min="14091" max="14091" width="17.140625" style="433" customWidth="1"/>
    <col min="14092" max="14093" width="5.42578125" style="433" bestFit="1" customWidth="1"/>
    <col min="14094" max="14094" width="7.42578125" style="433" bestFit="1" customWidth="1"/>
    <col min="14095" max="14096" width="10" style="433" bestFit="1" customWidth="1"/>
    <col min="14097" max="14097" width="12" style="433" bestFit="1" customWidth="1"/>
    <col min="14098" max="14099" width="5.42578125" style="433" bestFit="1" customWidth="1"/>
    <col min="14100" max="14100" width="7.42578125" style="433" bestFit="1" customWidth="1"/>
    <col min="14101" max="14101" width="11.5703125" style="433" bestFit="1" customWidth="1"/>
    <col min="14102" max="14102" width="11.140625" style="433" bestFit="1" customWidth="1"/>
    <col min="14103" max="14103" width="11.5703125" style="433" bestFit="1" customWidth="1"/>
    <col min="14104" max="14105" width="5.42578125" style="433" bestFit="1" customWidth="1"/>
    <col min="14106" max="14106" width="7.42578125" style="433" bestFit="1" customWidth="1"/>
    <col min="14107" max="14108" width="12" style="433" bestFit="1" customWidth="1"/>
    <col min="14109" max="14109" width="11.5703125" style="433" bestFit="1" customWidth="1"/>
    <col min="14110" max="14111" width="5.42578125" style="433" bestFit="1" customWidth="1"/>
    <col min="14112" max="14112" width="7.42578125" style="433" bestFit="1" customWidth="1"/>
    <col min="14113" max="14113" width="11.140625" style="433" bestFit="1" customWidth="1"/>
    <col min="14114" max="14114" width="10" style="433" bestFit="1" customWidth="1"/>
    <col min="14115" max="14115" width="12" style="433" customWidth="1"/>
    <col min="14116" max="14116" width="13.7109375" style="433" customWidth="1"/>
    <col min="14117" max="14117" width="12.7109375" style="433" customWidth="1"/>
    <col min="14118" max="14118" width="9.85546875" style="433" customWidth="1"/>
    <col min="14119" max="14119" width="11.28515625" style="433" customWidth="1"/>
    <col min="14120" max="14120" width="11.85546875" style="433" customWidth="1"/>
    <col min="14121" max="14121" width="8.85546875" style="433" customWidth="1"/>
    <col min="14122" max="14122" width="20" style="433" customWidth="1"/>
    <col min="14123" max="14123" width="20.140625" style="433" customWidth="1"/>
    <col min="14124" max="14124" width="28.140625" style="433" customWidth="1"/>
    <col min="14125" max="14125" width="13.85546875" style="433" customWidth="1"/>
    <col min="14126" max="14127" width="11.42578125" style="433"/>
    <col min="14128" max="14128" width="12.28515625" style="433" bestFit="1" customWidth="1"/>
    <col min="14129" max="14336" width="11.42578125" style="433"/>
    <col min="14337" max="14337" width="6.28515625" style="433" customWidth="1"/>
    <col min="14338" max="14338" width="14.28515625" style="433" customWidth="1"/>
    <col min="14339" max="14339" width="25.5703125" style="433" customWidth="1"/>
    <col min="14340" max="14340" width="20.140625" style="433" customWidth="1"/>
    <col min="14341" max="14341" width="11.28515625" style="433" customWidth="1"/>
    <col min="14342" max="14342" width="16.140625" style="433" customWidth="1"/>
    <col min="14343" max="14343" width="25.42578125" style="433" customWidth="1"/>
    <col min="14344" max="14344" width="19.5703125" style="433" customWidth="1"/>
    <col min="14345" max="14345" width="17" style="433" customWidth="1"/>
    <col min="14346" max="14346" width="14.85546875" style="433" customWidth="1"/>
    <col min="14347" max="14347" width="17.140625" style="433" customWidth="1"/>
    <col min="14348" max="14349" width="5.42578125" style="433" bestFit="1" customWidth="1"/>
    <col min="14350" max="14350" width="7.42578125" style="433" bestFit="1" customWidth="1"/>
    <col min="14351" max="14352" width="10" style="433" bestFit="1" customWidth="1"/>
    <col min="14353" max="14353" width="12" style="433" bestFit="1" customWidth="1"/>
    <col min="14354" max="14355" width="5.42578125" style="433" bestFit="1" customWidth="1"/>
    <col min="14356" max="14356" width="7.42578125" style="433" bestFit="1" customWidth="1"/>
    <col min="14357" max="14357" width="11.5703125" style="433" bestFit="1" customWidth="1"/>
    <col min="14358" max="14358" width="11.140625" style="433" bestFit="1" customWidth="1"/>
    <col min="14359" max="14359" width="11.5703125" style="433" bestFit="1" customWidth="1"/>
    <col min="14360" max="14361" width="5.42578125" style="433" bestFit="1" customWidth="1"/>
    <col min="14362" max="14362" width="7.42578125" style="433" bestFit="1" customWidth="1"/>
    <col min="14363" max="14364" width="12" style="433" bestFit="1" customWidth="1"/>
    <col min="14365" max="14365" width="11.5703125" style="433" bestFit="1" customWidth="1"/>
    <col min="14366" max="14367" width="5.42578125" style="433" bestFit="1" customWidth="1"/>
    <col min="14368" max="14368" width="7.42578125" style="433" bestFit="1" customWidth="1"/>
    <col min="14369" max="14369" width="11.140625" style="433" bestFit="1" customWidth="1"/>
    <col min="14370" max="14370" width="10" style="433" bestFit="1" customWidth="1"/>
    <col min="14371" max="14371" width="12" style="433" customWidth="1"/>
    <col min="14372" max="14372" width="13.7109375" style="433" customWidth="1"/>
    <col min="14373" max="14373" width="12.7109375" style="433" customWidth="1"/>
    <col min="14374" max="14374" width="9.85546875" style="433" customWidth="1"/>
    <col min="14375" max="14375" width="11.28515625" style="433" customWidth="1"/>
    <col min="14376" max="14376" width="11.85546875" style="433" customWidth="1"/>
    <col min="14377" max="14377" width="8.85546875" style="433" customWidth="1"/>
    <col min="14378" max="14378" width="20" style="433" customWidth="1"/>
    <col min="14379" max="14379" width="20.140625" style="433" customWidth="1"/>
    <col min="14380" max="14380" width="28.140625" style="433" customWidth="1"/>
    <col min="14381" max="14381" width="13.85546875" style="433" customWidth="1"/>
    <col min="14382" max="14383" width="11.42578125" style="433"/>
    <col min="14384" max="14384" width="12.28515625" style="433" bestFit="1" customWidth="1"/>
    <col min="14385" max="14592" width="11.42578125" style="433"/>
    <col min="14593" max="14593" width="6.28515625" style="433" customWidth="1"/>
    <col min="14594" max="14594" width="14.28515625" style="433" customWidth="1"/>
    <col min="14595" max="14595" width="25.5703125" style="433" customWidth="1"/>
    <col min="14596" max="14596" width="20.140625" style="433" customWidth="1"/>
    <col min="14597" max="14597" width="11.28515625" style="433" customWidth="1"/>
    <col min="14598" max="14598" width="16.140625" style="433" customWidth="1"/>
    <col min="14599" max="14599" width="25.42578125" style="433" customWidth="1"/>
    <col min="14600" max="14600" width="19.5703125" style="433" customWidth="1"/>
    <col min="14601" max="14601" width="17" style="433" customWidth="1"/>
    <col min="14602" max="14602" width="14.85546875" style="433" customWidth="1"/>
    <col min="14603" max="14603" width="17.140625" style="433" customWidth="1"/>
    <col min="14604" max="14605" width="5.42578125" style="433" bestFit="1" customWidth="1"/>
    <col min="14606" max="14606" width="7.42578125" style="433" bestFit="1" customWidth="1"/>
    <col min="14607" max="14608" width="10" style="433" bestFit="1" customWidth="1"/>
    <col min="14609" max="14609" width="12" style="433" bestFit="1" customWidth="1"/>
    <col min="14610" max="14611" width="5.42578125" style="433" bestFit="1" customWidth="1"/>
    <col min="14612" max="14612" width="7.42578125" style="433" bestFit="1" customWidth="1"/>
    <col min="14613" max="14613" width="11.5703125" style="433" bestFit="1" customWidth="1"/>
    <col min="14614" max="14614" width="11.140625" style="433" bestFit="1" customWidth="1"/>
    <col min="14615" max="14615" width="11.5703125" style="433" bestFit="1" customWidth="1"/>
    <col min="14616" max="14617" width="5.42578125" style="433" bestFit="1" customWidth="1"/>
    <col min="14618" max="14618" width="7.42578125" style="433" bestFit="1" customWidth="1"/>
    <col min="14619" max="14620" width="12" style="433" bestFit="1" customWidth="1"/>
    <col min="14621" max="14621" width="11.5703125" style="433" bestFit="1" customWidth="1"/>
    <col min="14622" max="14623" width="5.42578125" style="433" bestFit="1" customWidth="1"/>
    <col min="14624" max="14624" width="7.42578125" style="433" bestFit="1" customWidth="1"/>
    <col min="14625" max="14625" width="11.140625" style="433" bestFit="1" customWidth="1"/>
    <col min="14626" max="14626" width="10" style="433" bestFit="1" customWidth="1"/>
    <col min="14627" max="14627" width="12" style="433" customWidth="1"/>
    <col min="14628" max="14628" width="13.7109375" style="433" customWidth="1"/>
    <col min="14629" max="14629" width="12.7109375" style="433" customWidth="1"/>
    <col min="14630" max="14630" width="9.85546875" style="433" customWidth="1"/>
    <col min="14631" max="14631" width="11.28515625" style="433" customWidth="1"/>
    <col min="14632" max="14632" width="11.85546875" style="433" customWidth="1"/>
    <col min="14633" max="14633" width="8.85546875" style="433" customWidth="1"/>
    <col min="14634" max="14634" width="20" style="433" customWidth="1"/>
    <col min="14635" max="14635" width="20.140625" style="433" customWidth="1"/>
    <col min="14636" max="14636" width="28.140625" style="433" customWidth="1"/>
    <col min="14637" max="14637" width="13.85546875" style="433" customWidth="1"/>
    <col min="14638" max="14639" width="11.42578125" style="433"/>
    <col min="14640" max="14640" width="12.28515625" style="433" bestFit="1" customWidth="1"/>
    <col min="14641" max="14848" width="11.42578125" style="433"/>
    <col min="14849" max="14849" width="6.28515625" style="433" customWidth="1"/>
    <col min="14850" max="14850" width="14.28515625" style="433" customWidth="1"/>
    <col min="14851" max="14851" width="25.5703125" style="433" customWidth="1"/>
    <col min="14852" max="14852" width="20.140625" style="433" customWidth="1"/>
    <col min="14853" max="14853" width="11.28515625" style="433" customWidth="1"/>
    <col min="14854" max="14854" width="16.140625" style="433" customWidth="1"/>
    <col min="14855" max="14855" width="25.42578125" style="433" customWidth="1"/>
    <col min="14856" max="14856" width="19.5703125" style="433" customWidth="1"/>
    <col min="14857" max="14857" width="17" style="433" customWidth="1"/>
    <col min="14858" max="14858" width="14.85546875" style="433" customWidth="1"/>
    <col min="14859" max="14859" width="17.140625" style="433" customWidth="1"/>
    <col min="14860" max="14861" width="5.42578125" style="433" bestFit="1" customWidth="1"/>
    <col min="14862" max="14862" width="7.42578125" style="433" bestFit="1" customWidth="1"/>
    <col min="14863" max="14864" width="10" style="433" bestFit="1" customWidth="1"/>
    <col min="14865" max="14865" width="12" style="433" bestFit="1" customWidth="1"/>
    <col min="14866" max="14867" width="5.42578125" style="433" bestFit="1" customWidth="1"/>
    <col min="14868" max="14868" width="7.42578125" style="433" bestFit="1" customWidth="1"/>
    <col min="14869" max="14869" width="11.5703125" style="433" bestFit="1" customWidth="1"/>
    <col min="14870" max="14870" width="11.140625" style="433" bestFit="1" customWidth="1"/>
    <col min="14871" max="14871" width="11.5703125" style="433" bestFit="1" customWidth="1"/>
    <col min="14872" max="14873" width="5.42578125" style="433" bestFit="1" customWidth="1"/>
    <col min="14874" max="14874" width="7.42578125" style="433" bestFit="1" customWidth="1"/>
    <col min="14875" max="14876" width="12" style="433" bestFit="1" customWidth="1"/>
    <col min="14877" max="14877" width="11.5703125" style="433" bestFit="1" customWidth="1"/>
    <col min="14878" max="14879" width="5.42578125" style="433" bestFit="1" customWidth="1"/>
    <col min="14880" max="14880" width="7.42578125" style="433" bestFit="1" customWidth="1"/>
    <col min="14881" max="14881" width="11.140625" style="433" bestFit="1" customWidth="1"/>
    <col min="14882" max="14882" width="10" style="433" bestFit="1" customWidth="1"/>
    <col min="14883" max="14883" width="12" style="433" customWidth="1"/>
    <col min="14884" max="14884" width="13.7109375" style="433" customWidth="1"/>
    <col min="14885" max="14885" width="12.7109375" style="433" customWidth="1"/>
    <col min="14886" max="14886" width="9.85546875" style="433" customWidth="1"/>
    <col min="14887" max="14887" width="11.28515625" style="433" customWidth="1"/>
    <col min="14888" max="14888" width="11.85546875" style="433" customWidth="1"/>
    <col min="14889" max="14889" width="8.85546875" style="433" customWidth="1"/>
    <col min="14890" max="14890" width="20" style="433" customWidth="1"/>
    <col min="14891" max="14891" width="20.140625" style="433" customWidth="1"/>
    <col min="14892" max="14892" width="28.140625" style="433" customWidth="1"/>
    <col min="14893" max="14893" width="13.85546875" style="433" customWidth="1"/>
    <col min="14894" max="14895" width="11.42578125" style="433"/>
    <col min="14896" max="14896" width="12.28515625" style="433" bestFit="1" customWidth="1"/>
    <col min="14897" max="15104" width="11.42578125" style="433"/>
    <col min="15105" max="15105" width="6.28515625" style="433" customWidth="1"/>
    <col min="15106" max="15106" width="14.28515625" style="433" customWidth="1"/>
    <col min="15107" max="15107" width="25.5703125" style="433" customWidth="1"/>
    <col min="15108" max="15108" width="20.140625" style="433" customWidth="1"/>
    <col min="15109" max="15109" width="11.28515625" style="433" customWidth="1"/>
    <col min="15110" max="15110" width="16.140625" style="433" customWidth="1"/>
    <col min="15111" max="15111" width="25.42578125" style="433" customWidth="1"/>
    <col min="15112" max="15112" width="19.5703125" style="433" customWidth="1"/>
    <col min="15113" max="15113" width="17" style="433" customWidth="1"/>
    <col min="15114" max="15114" width="14.85546875" style="433" customWidth="1"/>
    <col min="15115" max="15115" width="17.140625" style="433" customWidth="1"/>
    <col min="15116" max="15117" width="5.42578125" style="433" bestFit="1" customWidth="1"/>
    <col min="15118" max="15118" width="7.42578125" style="433" bestFit="1" customWidth="1"/>
    <col min="15119" max="15120" width="10" style="433" bestFit="1" customWidth="1"/>
    <col min="15121" max="15121" width="12" style="433" bestFit="1" customWidth="1"/>
    <col min="15122" max="15123" width="5.42578125" style="433" bestFit="1" customWidth="1"/>
    <col min="15124" max="15124" width="7.42578125" style="433" bestFit="1" customWidth="1"/>
    <col min="15125" max="15125" width="11.5703125" style="433" bestFit="1" customWidth="1"/>
    <col min="15126" max="15126" width="11.140625" style="433" bestFit="1" customWidth="1"/>
    <col min="15127" max="15127" width="11.5703125" style="433" bestFit="1" customWidth="1"/>
    <col min="15128" max="15129" width="5.42578125" style="433" bestFit="1" customWidth="1"/>
    <col min="15130" max="15130" width="7.42578125" style="433" bestFit="1" customWidth="1"/>
    <col min="15131" max="15132" width="12" style="433" bestFit="1" customWidth="1"/>
    <col min="15133" max="15133" width="11.5703125" style="433" bestFit="1" customWidth="1"/>
    <col min="15134" max="15135" width="5.42578125" style="433" bestFit="1" customWidth="1"/>
    <col min="15136" max="15136" width="7.42578125" style="433" bestFit="1" customWidth="1"/>
    <col min="15137" max="15137" width="11.140625" style="433" bestFit="1" customWidth="1"/>
    <col min="15138" max="15138" width="10" style="433" bestFit="1" customWidth="1"/>
    <col min="15139" max="15139" width="12" style="433" customWidth="1"/>
    <col min="15140" max="15140" width="13.7109375" style="433" customWidth="1"/>
    <col min="15141" max="15141" width="12.7109375" style="433" customWidth="1"/>
    <col min="15142" max="15142" width="9.85546875" style="433" customWidth="1"/>
    <col min="15143" max="15143" width="11.28515625" style="433" customWidth="1"/>
    <col min="15144" max="15144" width="11.85546875" style="433" customWidth="1"/>
    <col min="15145" max="15145" width="8.85546875" style="433" customWidth="1"/>
    <col min="15146" max="15146" width="20" style="433" customWidth="1"/>
    <col min="15147" max="15147" width="20.140625" style="433" customWidth="1"/>
    <col min="15148" max="15148" width="28.140625" style="433" customWidth="1"/>
    <col min="15149" max="15149" width="13.85546875" style="433" customWidth="1"/>
    <col min="15150" max="15151" width="11.42578125" style="433"/>
    <col min="15152" max="15152" width="12.28515625" style="433" bestFit="1" customWidth="1"/>
    <col min="15153" max="15360" width="11.42578125" style="433"/>
    <col min="15361" max="15361" width="6.28515625" style="433" customWidth="1"/>
    <col min="15362" max="15362" width="14.28515625" style="433" customWidth="1"/>
    <col min="15363" max="15363" width="25.5703125" style="433" customWidth="1"/>
    <col min="15364" max="15364" width="20.140625" style="433" customWidth="1"/>
    <col min="15365" max="15365" width="11.28515625" style="433" customWidth="1"/>
    <col min="15366" max="15366" width="16.140625" style="433" customWidth="1"/>
    <col min="15367" max="15367" width="25.42578125" style="433" customWidth="1"/>
    <col min="15368" max="15368" width="19.5703125" style="433" customWidth="1"/>
    <col min="15369" max="15369" width="17" style="433" customWidth="1"/>
    <col min="15370" max="15370" width="14.85546875" style="433" customWidth="1"/>
    <col min="15371" max="15371" width="17.140625" style="433" customWidth="1"/>
    <col min="15372" max="15373" width="5.42578125" style="433" bestFit="1" customWidth="1"/>
    <col min="15374" max="15374" width="7.42578125" style="433" bestFit="1" customWidth="1"/>
    <col min="15375" max="15376" width="10" style="433" bestFit="1" customWidth="1"/>
    <col min="15377" max="15377" width="12" style="433" bestFit="1" customWidth="1"/>
    <col min="15378" max="15379" width="5.42578125" style="433" bestFit="1" customWidth="1"/>
    <col min="15380" max="15380" width="7.42578125" style="433" bestFit="1" customWidth="1"/>
    <col min="15381" max="15381" width="11.5703125" style="433" bestFit="1" customWidth="1"/>
    <col min="15382" max="15382" width="11.140625" style="433" bestFit="1" customWidth="1"/>
    <col min="15383" max="15383" width="11.5703125" style="433" bestFit="1" customWidth="1"/>
    <col min="15384" max="15385" width="5.42578125" style="433" bestFit="1" customWidth="1"/>
    <col min="15386" max="15386" width="7.42578125" style="433" bestFit="1" customWidth="1"/>
    <col min="15387" max="15388" width="12" style="433" bestFit="1" customWidth="1"/>
    <col min="15389" max="15389" width="11.5703125" style="433" bestFit="1" customWidth="1"/>
    <col min="15390" max="15391" width="5.42578125" style="433" bestFit="1" customWidth="1"/>
    <col min="15392" max="15392" width="7.42578125" style="433" bestFit="1" customWidth="1"/>
    <col min="15393" max="15393" width="11.140625" style="433" bestFit="1" customWidth="1"/>
    <col min="15394" max="15394" width="10" style="433" bestFit="1" customWidth="1"/>
    <col min="15395" max="15395" width="12" style="433" customWidth="1"/>
    <col min="15396" max="15396" width="13.7109375" style="433" customWidth="1"/>
    <col min="15397" max="15397" width="12.7109375" style="433" customWidth="1"/>
    <col min="15398" max="15398" width="9.85546875" style="433" customWidth="1"/>
    <col min="15399" max="15399" width="11.28515625" style="433" customWidth="1"/>
    <col min="15400" max="15400" width="11.85546875" style="433" customWidth="1"/>
    <col min="15401" max="15401" width="8.85546875" style="433" customWidth="1"/>
    <col min="15402" max="15402" width="20" style="433" customWidth="1"/>
    <col min="15403" max="15403" width="20.140625" style="433" customWidth="1"/>
    <col min="15404" max="15404" width="28.140625" style="433" customWidth="1"/>
    <col min="15405" max="15405" width="13.85546875" style="433" customWidth="1"/>
    <col min="15406" max="15407" width="11.42578125" style="433"/>
    <col min="15408" max="15408" width="12.28515625" style="433" bestFit="1" customWidth="1"/>
    <col min="15409" max="15616" width="11.42578125" style="433"/>
    <col min="15617" max="15617" width="6.28515625" style="433" customWidth="1"/>
    <col min="15618" max="15618" width="14.28515625" style="433" customWidth="1"/>
    <col min="15619" max="15619" width="25.5703125" style="433" customWidth="1"/>
    <col min="15620" max="15620" width="20.140625" style="433" customWidth="1"/>
    <col min="15621" max="15621" width="11.28515625" style="433" customWidth="1"/>
    <col min="15622" max="15622" width="16.140625" style="433" customWidth="1"/>
    <col min="15623" max="15623" width="25.42578125" style="433" customWidth="1"/>
    <col min="15624" max="15624" width="19.5703125" style="433" customWidth="1"/>
    <col min="15625" max="15625" width="17" style="433" customWidth="1"/>
    <col min="15626" max="15626" width="14.85546875" style="433" customWidth="1"/>
    <col min="15627" max="15627" width="17.140625" style="433" customWidth="1"/>
    <col min="15628" max="15629" width="5.42578125" style="433" bestFit="1" customWidth="1"/>
    <col min="15630" max="15630" width="7.42578125" style="433" bestFit="1" customWidth="1"/>
    <col min="15631" max="15632" width="10" style="433" bestFit="1" customWidth="1"/>
    <col min="15633" max="15633" width="12" style="433" bestFit="1" customWidth="1"/>
    <col min="15634" max="15635" width="5.42578125" style="433" bestFit="1" customWidth="1"/>
    <col min="15636" max="15636" width="7.42578125" style="433" bestFit="1" customWidth="1"/>
    <col min="15637" max="15637" width="11.5703125" style="433" bestFit="1" customWidth="1"/>
    <col min="15638" max="15638" width="11.140625" style="433" bestFit="1" customWidth="1"/>
    <col min="15639" max="15639" width="11.5703125" style="433" bestFit="1" customWidth="1"/>
    <col min="15640" max="15641" width="5.42578125" style="433" bestFit="1" customWidth="1"/>
    <col min="15642" max="15642" width="7.42578125" style="433" bestFit="1" customWidth="1"/>
    <col min="15643" max="15644" width="12" style="433" bestFit="1" customWidth="1"/>
    <col min="15645" max="15645" width="11.5703125" style="433" bestFit="1" customWidth="1"/>
    <col min="15646" max="15647" width="5.42578125" style="433" bestFit="1" customWidth="1"/>
    <col min="15648" max="15648" width="7.42578125" style="433" bestFit="1" customWidth="1"/>
    <col min="15649" max="15649" width="11.140625" style="433" bestFit="1" customWidth="1"/>
    <col min="15650" max="15650" width="10" style="433" bestFit="1" customWidth="1"/>
    <col min="15651" max="15651" width="12" style="433" customWidth="1"/>
    <col min="15652" max="15652" width="13.7109375" style="433" customWidth="1"/>
    <col min="15653" max="15653" width="12.7109375" style="433" customWidth="1"/>
    <col min="15654" max="15654" width="9.85546875" style="433" customWidth="1"/>
    <col min="15655" max="15655" width="11.28515625" style="433" customWidth="1"/>
    <col min="15656" max="15656" width="11.85546875" style="433" customWidth="1"/>
    <col min="15657" max="15657" width="8.85546875" style="433" customWidth="1"/>
    <col min="15658" max="15658" width="20" style="433" customWidth="1"/>
    <col min="15659" max="15659" width="20.140625" style="433" customWidth="1"/>
    <col min="15660" max="15660" width="28.140625" style="433" customWidth="1"/>
    <col min="15661" max="15661" width="13.85546875" style="433" customWidth="1"/>
    <col min="15662" max="15663" width="11.42578125" style="433"/>
    <col min="15664" max="15664" width="12.28515625" style="433" bestFit="1" customWidth="1"/>
    <col min="15665" max="15872" width="11.42578125" style="433"/>
    <col min="15873" max="15873" width="6.28515625" style="433" customWidth="1"/>
    <col min="15874" max="15874" width="14.28515625" style="433" customWidth="1"/>
    <col min="15875" max="15875" width="25.5703125" style="433" customWidth="1"/>
    <col min="15876" max="15876" width="20.140625" style="433" customWidth="1"/>
    <col min="15877" max="15877" width="11.28515625" style="433" customWidth="1"/>
    <col min="15878" max="15878" width="16.140625" style="433" customWidth="1"/>
    <col min="15879" max="15879" width="25.42578125" style="433" customWidth="1"/>
    <col min="15880" max="15880" width="19.5703125" style="433" customWidth="1"/>
    <col min="15881" max="15881" width="17" style="433" customWidth="1"/>
    <col min="15882" max="15882" width="14.85546875" style="433" customWidth="1"/>
    <col min="15883" max="15883" width="17.140625" style="433" customWidth="1"/>
    <col min="15884" max="15885" width="5.42578125" style="433" bestFit="1" customWidth="1"/>
    <col min="15886" max="15886" width="7.42578125" style="433" bestFit="1" customWidth="1"/>
    <col min="15887" max="15888" width="10" style="433" bestFit="1" customWidth="1"/>
    <col min="15889" max="15889" width="12" style="433" bestFit="1" customWidth="1"/>
    <col min="15890" max="15891" width="5.42578125" style="433" bestFit="1" customWidth="1"/>
    <col min="15892" max="15892" width="7.42578125" style="433" bestFit="1" customWidth="1"/>
    <col min="15893" max="15893" width="11.5703125" style="433" bestFit="1" customWidth="1"/>
    <col min="15894" max="15894" width="11.140625" style="433" bestFit="1" customWidth="1"/>
    <col min="15895" max="15895" width="11.5703125" style="433" bestFit="1" customWidth="1"/>
    <col min="15896" max="15897" width="5.42578125" style="433" bestFit="1" customWidth="1"/>
    <col min="15898" max="15898" width="7.42578125" style="433" bestFit="1" customWidth="1"/>
    <col min="15899" max="15900" width="12" style="433" bestFit="1" customWidth="1"/>
    <col min="15901" max="15901" width="11.5703125" style="433" bestFit="1" customWidth="1"/>
    <col min="15902" max="15903" width="5.42578125" style="433" bestFit="1" customWidth="1"/>
    <col min="15904" max="15904" width="7.42578125" style="433" bestFit="1" customWidth="1"/>
    <col min="15905" max="15905" width="11.140625" style="433" bestFit="1" customWidth="1"/>
    <col min="15906" max="15906" width="10" style="433" bestFit="1" customWidth="1"/>
    <col min="15907" max="15907" width="12" style="433" customWidth="1"/>
    <col min="15908" max="15908" width="13.7109375" style="433" customWidth="1"/>
    <col min="15909" max="15909" width="12.7109375" style="433" customWidth="1"/>
    <col min="15910" max="15910" width="9.85546875" style="433" customWidth="1"/>
    <col min="15911" max="15911" width="11.28515625" style="433" customWidth="1"/>
    <col min="15912" max="15912" width="11.85546875" style="433" customWidth="1"/>
    <col min="15913" max="15913" width="8.85546875" style="433" customWidth="1"/>
    <col min="15914" max="15914" width="20" style="433" customWidth="1"/>
    <col min="15915" max="15915" width="20.140625" style="433" customWidth="1"/>
    <col min="15916" max="15916" width="28.140625" style="433" customWidth="1"/>
    <col min="15917" max="15917" width="13.85546875" style="433" customWidth="1"/>
    <col min="15918" max="15919" width="11.42578125" style="433"/>
    <col min="15920" max="15920" width="12.28515625" style="433" bestFit="1" customWidth="1"/>
    <col min="15921" max="16128" width="11.42578125" style="433"/>
    <col min="16129" max="16129" width="6.28515625" style="433" customWidth="1"/>
    <col min="16130" max="16130" width="14.28515625" style="433" customWidth="1"/>
    <col min="16131" max="16131" width="25.5703125" style="433" customWidth="1"/>
    <col min="16132" max="16132" width="20.140625" style="433" customWidth="1"/>
    <col min="16133" max="16133" width="11.28515625" style="433" customWidth="1"/>
    <col min="16134" max="16134" width="16.140625" style="433" customWidth="1"/>
    <col min="16135" max="16135" width="25.42578125" style="433" customWidth="1"/>
    <col min="16136" max="16136" width="19.5703125" style="433" customWidth="1"/>
    <col min="16137" max="16137" width="17" style="433" customWidth="1"/>
    <col min="16138" max="16138" width="14.85546875" style="433" customWidth="1"/>
    <col min="16139" max="16139" width="17.140625" style="433" customWidth="1"/>
    <col min="16140" max="16141" width="5.42578125" style="433" bestFit="1" customWidth="1"/>
    <col min="16142" max="16142" width="7.42578125" style="433" bestFit="1" customWidth="1"/>
    <col min="16143" max="16144" width="10" style="433" bestFit="1" customWidth="1"/>
    <col min="16145" max="16145" width="12" style="433" bestFit="1" customWidth="1"/>
    <col min="16146" max="16147" width="5.42578125" style="433" bestFit="1" customWidth="1"/>
    <col min="16148" max="16148" width="7.42578125" style="433" bestFit="1" customWidth="1"/>
    <col min="16149" max="16149" width="11.5703125" style="433" bestFit="1" customWidth="1"/>
    <col min="16150" max="16150" width="11.140625" style="433" bestFit="1" customWidth="1"/>
    <col min="16151" max="16151" width="11.5703125" style="433" bestFit="1" customWidth="1"/>
    <col min="16152" max="16153" width="5.42578125" style="433" bestFit="1" customWidth="1"/>
    <col min="16154" max="16154" width="7.42578125" style="433" bestFit="1" customWidth="1"/>
    <col min="16155" max="16156" width="12" style="433" bestFit="1" customWidth="1"/>
    <col min="16157" max="16157" width="11.5703125" style="433" bestFit="1" customWidth="1"/>
    <col min="16158" max="16159" width="5.42578125" style="433" bestFit="1" customWidth="1"/>
    <col min="16160" max="16160" width="7.42578125" style="433" bestFit="1" customWidth="1"/>
    <col min="16161" max="16161" width="11.140625" style="433" bestFit="1" customWidth="1"/>
    <col min="16162" max="16162" width="10" style="433" bestFit="1" customWidth="1"/>
    <col min="16163" max="16163" width="12" style="433" customWidth="1"/>
    <col min="16164" max="16164" width="13.7109375" style="433" customWidth="1"/>
    <col min="16165" max="16165" width="12.7109375" style="433" customWidth="1"/>
    <col min="16166" max="16166" width="9.85546875" style="433" customWidth="1"/>
    <col min="16167" max="16167" width="11.28515625" style="433" customWidth="1"/>
    <col min="16168" max="16168" width="11.85546875" style="433" customWidth="1"/>
    <col min="16169" max="16169" width="8.85546875" style="433" customWidth="1"/>
    <col min="16170" max="16170" width="20" style="433" customWidth="1"/>
    <col min="16171" max="16171" width="20.140625" style="433" customWidth="1"/>
    <col min="16172" max="16172" width="28.140625" style="433" customWidth="1"/>
    <col min="16173" max="16173" width="13.85546875" style="433" customWidth="1"/>
    <col min="16174" max="16175" width="11.42578125" style="433"/>
    <col min="16176" max="16176" width="12.28515625" style="433" bestFit="1" customWidth="1"/>
    <col min="16177" max="16384" width="11.42578125" style="433"/>
  </cols>
  <sheetData>
    <row r="1" spans="1:62">
      <c r="A1" s="871" t="s">
        <v>0</v>
      </c>
      <c r="B1" s="871"/>
      <c r="C1" s="871"/>
      <c r="D1" s="871"/>
      <c r="E1" s="871"/>
      <c r="F1" s="871"/>
      <c r="G1" s="871"/>
      <c r="H1" s="871"/>
      <c r="I1" s="871"/>
      <c r="J1" s="871"/>
      <c r="K1" s="871"/>
      <c r="L1" s="871"/>
      <c r="M1" s="871"/>
      <c r="N1" s="871"/>
      <c r="O1" s="871"/>
      <c r="P1" s="871"/>
      <c r="Q1" s="871"/>
      <c r="R1" s="871"/>
      <c r="S1" s="871"/>
      <c r="T1" s="871"/>
      <c r="U1" s="871"/>
      <c r="V1" s="871"/>
      <c r="W1" s="871"/>
      <c r="X1" s="871"/>
      <c r="Y1" s="871"/>
      <c r="Z1" s="871"/>
      <c r="AA1" s="871"/>
      <c r="AB1" s="871"/>
      <c r="AC1" s="871"/>
      <c r="AD1" s="871"/>
      <c r="AE1" s="871"/>
      <c r="AF1" s="871"/>
      <c r="AG1" s="871"/>
      <c r="AH1" s="871"/>
      <c r="AI1" s="871"/>
      <c r="AJ1" s="871"/>
      <c r="AK1" s="871"/>
      <c r="AL1" s="871"/>
      <c r="AM1" s="871"/>
      <c r="AN1" s="871"/>
      <c r="AO1" s="871"/>
      <c r="AP1" s="871"/>
      <c r="AQ1" s="871"/>
      <c r="AR1" s="871"/>
    </row>
    <row r="2" spans="1:62">
      <c r="A2" s="871" t="s">
        <v>1</v>
      </c>
      <c r="B2" s="871"/>
      <c r="C2" s="871"/>
      <c r="D2" s="871"/>
      <c r="E2" s="871"/>
      <c r="F2" s="871"/>
      <c r="G2" s="871"/>
      <c r="H2" s="871"/>
      <c r="I2" s="871"/>
      <c r="J2" s="871"/>
      <c r="K2" s="871"/>
      <c r="L2" s="871"/>
      <c r="M2" s="871"/>
      <c r="N2" s="871"/>
      <c r="O2" s="871"/>
      <c r="P2" s="871"/>
      <c r="Q2" s="871"/>
      <c r="R2" s="871"/>
      <c r="S2" s="871"/>
      <c r="T2" s="871"/>
      <c r="U2" s="871"/>
      <c r="V2" s="871"/>
      <c r="W2" s="871"/>
      <c r="X2" s="871"/>
      <c r="Y2" s="871"/>
      <c r="Z2" s="871"/>
      <c r="AA2" s="871"/>
      <c r="AB2" s="871"/>
      <c r="AC2" s="871"/>
      <c r="AD2" s="871"/>
      <c r="AE2" s="871"/>
      <c r="AF2" s="871"/>
      <c r="AG2" s="871"/>
      <c r="AH2" s="871"/>
      <c r="AI2" s="871"/>
      <c r="AJ2" s="871"/>
      <c r="AK2" s="871"/>
      <c r="AL2" s="871"/>
      <c r="AM2" s="871"/>
      <c r="AN2" s="871"/>
      <c r="AO2" s="871"/>
      <c r="AP2" s="871"/>
      <c r="AQ2" s="871"/>
      <c r="AR2" s="871"/>
    </row>
    <row r="3" spans="1:62" ht="14.45" customHeight="1">
      <c r="A3" s="434"/>
      <c r="B3" s="434"/>
      <c r="C3" s="434"/>
      <c r="D3" s="575" t="s">
        <v>2</v>
      </c>
      <c r="E3" s="575"/>
      <c r="F3" s="579"/>
      <c r="G3" s="575"/>
      <c r="H3" s="575"/>
      <c r="I3" s="575"/>
      <c r="J3" s="575"/>
      <c r="K3" s="575"/>
      <c r="L3" s="575"/>
      <c r="M3" s="575"/>
      <c r="N3" s="575"/>
      <c r="O3" s="575"/>
      <c r="P3" s="575"/>
      <c r="Q3" s="575"/>
      <c r="R3" s="575"/>
      <c r="S3" s="575"/>
      <c r="T3" s="575"/>
      <c r="U3" s="575"/>
      <c r="V3" s="575"/>
      <c r="W3" s="575"/>
      <c r="X3" s="575"/>
      <c r="Y3" s="575"/>
      <c r="Z3" s="575"/>
      <c r="AA3" s="575"/>
      <c r="AB3" s="575"/>
      <c r="AC3" s="575"/>
      <c r="AD3" s="575"/>
      <c r="AE3" s="575"/>
      <c r="AF3" s="575"/>
      <c r="AG3" s="575"/>
      <c r="AH3" s="575"/>
      <c r="AI3" s="575"/>
      <c r="AJ3" s="575"/>
      <c r="AK3" s="575"/>
      <c r="AL3" s="575"/>
      <c r="AM3" s="575"/>
      <c r="AN3" s="575"/>
      <c r="AO3" s="575"/>
      <c r="AP3" s="575"/>
      <c r="AQ3" s="575"/>
      <c r="AR3" s="575"/>
    </row>
    <row r="4" spans="1:62" ht="16.149999999999999" customHeight="1">
      <c r="A4" s="434"/>
      <c r="B4" s="434"/>
      <c r="C4" s="434"/>
      <c r="D4" s="575" t="s">
        <v>1858</v>
      </c>
      <c r="E4" s="575"/>
      <c r="F4" s="579"/>
      <c r="G4" s="575"/>
      <c r="H4" s="575"/>
      <c r="I4" s="575"/>
      <c r="J4" s="575"/>
      <c r="K4" s="575"/>
      <c r="L4" s="575"/>
      <c r="M4" s="575"/>
      <c r="N4" s="575"/>
      <c r="O4" s="575"/>
      <c r="P4" s="575"/>
      <c r="Q4" s="575"/>
      <c r="R4" s="575"/>
      <c r="S4" s="575"/>
      <c r="T4" s="575"/>
      <c r="U4" s="575"/>
      <c r="V4" s="575"/>
      <c r="W4" s="575"/>
      <c r="X4" s="575"/>
      <c r="Y4" s="575"/>
      <c r="Z4" s="575"/>
      <c r="AA4" s="575"/>
      <c r="AB4" s="575"/>
      <c r="AC4" s="575"/>
      <c r="AD4" s="575"/>
      <c r="AE4" s="575"/>
      <c r="AF4" s="575"/>
      <c r="AG4" s="575"/>
      <c r="AH4" s="575"/>
      <c r="AI4" s="575"/>
      <c r="AJ4" s="575"/>
      <c r="AK4" s="575"/>
      <c r="AL4" s="575"/>
      <c r="AM4" s="575"/>
      <c r="AN4" s="575"/>
      <c r="AO4" s="575"/>
      <c r="AP4" s="575"/>
      <c r="AQ4" s="575"/>
      <c r="AR4" s="575"/>
    </row>
    <row r="5" spans="1:62" ht="16.149999999999999" customHeight="1">
      <c r="A5" s="434"/>
      <c r="B5" s="434"/>
      <c r="C5" s="434"/>
      <c r="D5" s="575" t="s">
        <v>402</v>
      </c>
      <c r="E5" s="575"/>
      <c r="F5" s="579"/>
      <c r="G5" s="434"/>
      <c r="H5" s="434"/>
      <c r="I5" s="434"/>
      <c r="J5" s="434"/>
      <c r="K5" s="436"/>
      <c r="L5" s="436"/>
      <c r="M5" s="436"/>
      <c r="N5" s="436"/>
      <c r="O5" s="436"/>
      <c r="P5" s="436"/>
      <c r="Q5" s="436"/>
      <c r="R5" s="436"/>
      <c r="S5" s="436"/>
      <c r="T5" s="436"/>
      <c r="U5" s="436"/>
      <c r="V5" s="436"/>
      <c r="W5" s="436"/>
      <c r="X5" s="436"/>
      <c r="Y5" s="436"/>
      <c r="Z5" s="436"/>
      <c r="AA5" s="436"/>
      <c r="AB5" s="436"/>
      <c r="AC5" s="436"/>
      <c r="AD5" s="436"/>
      <c r="AE5" s="436"/>
      <c r="AF5" s="436"/>
      <c r="AG5" s="436"/>
      <c r="AH5" s="436"/>
      <c r="AI5" s="436"/>
      <c r="AJ5" s="436"/>
      <c r="AK5" s="436"/>
      <c r="AL5" s="436"/>
      <c r="AM5" s="436"/>
      <c r="AN5" s="436"/>
      <c r="AO5" s="436"/>
      <c r="AP5" s="436"/>
      <c r="AQ5" s="436"/>
      <c r="AR5" s="436"/>
      <c r="AS5" s="437"/>
      <c r="AT5" s="437"/>
      <c r="AU5" s="437"/>
      <c r="AV5" s="437"/>
      <c r="AW5" s="437"/>
      <c r="AX5" s="437"/>
      <c r="AY5" s="437"/>
      <c r="AZ5" s="437"/>
      <c r="BA5" s="437"/>
      <c r="BB5" s="437"/>
      <c r="BC5" s="437"/>
      <c r="BD5" s="437"/>
      <c r="BE5" s="437"/>
      <c r="BF5" s="437"/>
      <c r="BG5" s="437"/>
      <c r="BH5" s="437"/>
      <c r="BI5" s="437"/>
      <c r="BJ5" s="437"/>
    </row>
    <row r="6" spans="1:62" s="243" customFormat="1" ht="15.75" customHeight="1">
      <c r="A6" s="872" t="s">
        <v>5</v>
      </c>
      <c r="B6" s="872"/>
      <c r="C6" s="872"/>
      <c r="D6" s="873" t="s">
        <v>6</v>
      </c>
      <c r="E6" s="874" t="s">
        <v>7</v>
      </c>
      <c r="F6" s="872" t="s">
        <v>8</v>
      </c>
      <c r="G6" s="872" t="s">
        <v>9</v>
      </c>
      <c r="H6" s="872" t="s">
        <v>10</v>
      </c>
      <c r="I6" s="872" t="s">
        <v>11</v>
      </c>
      <c r="J6" s="872" t="s">
        <v>12</v>
      </c>
      <c r="K6" s="872" t="s">
        <v>13</v>
      </c>
      <c r="L6" s="876" t="s">
        <v>14</v>
      </c>
      <c r="M6" s="877"/>
      <c r="N6" s="877"/>
      <c r="O6" s="877"/>
      <c r="P6" s="877"/>
      <c r="Q6" s="877"/>
      <c r="R6" s="877"/>
      <c r="S6" s="877"/>
      <c r="T6" s="877"/>
      <c r="U6" s="877"/>
      <c r="V6" s="877"/>
      <c r="W6" s="877"/>
      <c r="X6" s="877"/>
      <c r="Y6" s="877"/>
      <c r="Z6" s="877"/>
      <c r="AA6" s="877"/>
      <c r="AB6" s="877"/>
      <c r="AC6" s="877"/>
      <c r="AD6" s="877"/>
      <c r="AE6" s="877"/>
      <c r="AF6" s="877"/>
      <c r="AG6" s="877"/>
      <c r="AH6" s="877"/>
      <c r="AI6" s="877"/>
      <c r="AJ6" s="878"/>
      <c r="AK6" s="872" t="s">
        <v>15</v>
      </c>
      <c r="AL6" s="872"/>
      <c r="AM6" s="872"/>
      <c r="AN6" s="872"/>
      <c r="AO6" s="872"/>
      <c r="AP6" s="872" t="s">
        <v>16</v>
      </c>
      <c r="AQ6" s="872" t="s">
        <v>17</v>
      </c>
      <c r="AR6" s="872" t="s">
        <v>18</v>
      </c>
    </row>
    <row r="7" spans="1:62" s="243" customFormat="1">
      <c r="A7" s="872" t="s">
        <v>20</v>
      </c>
      <c r="B7" s="872" t="s">
        <v>21</v>
      </c>
      <c r="C7" s="872" t="s">
        <v>22</v>
      </c>
      <c r="D7" s="873"/>
      <c r="E7" s="874"/>
      <c r="F7" s="872"/>
      <c r="G7" s="872"/>
      <c r="H7" s="872"/>
      <c r="I7" s="872"/>
      <c r="J7" s="872"/>
      <c r="K7" s="872"/>
      <c r="L7" s="875" t="s">
        <v>23</v>
      </c>
      <c r="M7" s="875"/>
      <c r="N7" s="875"/>
      <c r="O7" s="875"/>
      <c r="P7" s="875"/>
      <c r="Q7" s="875"/>
      <c r="R7" s="875" t="s">
        <v>24</v>
      </c>
      <c r="S7" s="875"/>
      <c r="T7" s="875"/>
      <c r="U7" s="875"/>
      <c r="V7" s="875"/>
      <c r="W7" s="875"/>
      <c r="X7" s="875" t="s">
        <v>25</v>
      </c>
      <c r="Y7" s="875"/>
      <c r="Z7" s="875"/>
      <c r="AA7" s="875"/>
      <c r="AB7" s="875"/>
      <c r="AC7" s="875"/>
      <c r="AD7" s="875" t="s">
        <v>26</v>
      </c>
      <c r="AE7" s="875"/>
      <c r="AF7" s="875"/>
      <c r="AG7" s="875"/>
      <c r="AH7" s="875"/>
      <c r="AI7" s="875"/>
      <c r="AJ7" s="874" t="s">
        <v>162</v>
      </c>
      <c r="AK7" s="872" t="s">
        <v>28</v>
      </c>
      <c r="AL7" s="872" t="s">
        <v>29</v>
      </c>
      <c r="AM7" s="872" t="s">
        <v>30</v>
      </c>
      <c r="AN7" s="872" t="s">
        <v>163</v>
      </c>
      <c r="AO7" s="872" t="s">
        <v>32</v>
      </c>
      <c r="AP7" s="872"/>
      <c r="AQ7" s="872"/>
      <c r="AR7" s="872"/>
    </row>
    <row r="8" spans="1:62" s="243" customFormat="1">
      <c r="A8" s="872"/>
      <c r="B8" s="872"/>
      <c r="C8" s="872"/>
      <c r="D8" s="873"/>
      <c r="E8" s="874"/>
      <c r="F8" s="872"/>
      <c r="G8" s="872"/>
      <c r="H8" s="872"/>
      <c r="I8" s="872"/>
      <c r="J8" s="872"/>
      <c r="K8" s="872"/>
      <c r="L8" s="875" t="s">
        <v>33</v>
      </c>
      <c r="M8" s="875"/>
      <c r="N8" s="875"/>
      <c r="O8" s="875" t="s">
        <v>34</v>
      </c>
      <c r="P8" s="875"/>
      <c r="Q8" s="875"/>
      <c r="R8" s="875" t="s">
        <v>33</v>
      </c>
      <c r="S8" s="875"/>
      <c r="T8" s="875"/>
      <c r="U8" s="875" t="s">
        <v>34</v>
      </c>
      <c r="V8" s="875"/>
      <c r="W8" s="875"/>
      <c r="X8" s="875" t="s">
        <v>33</v>
      </c>
      <c r="Y8" s="875"/>
      <c r="Z8" s="875"/>
      <c r="AA8" s="875" t="s">
        <v>34</v>
      </c>
      <c r="AB8" s="875"/>
      <c r="AC8" s="875"/>
      <c r="AD8" s="875" t="s">
        <v>33</v>
      </c>
      <c r="AE8" s="875"/>
      <c r="AF8" s="875"/>
      <c r="AG8" s="875" t="s">
        <v>34</v>
      </c>
      <c r="AH8" s="875"/>
      <c r="AI8" s="875"/>
      <c r="AJ8" s="874"/>
      <c r="AK8" s="872"/>
      <c r="AL8" s="872"/>
      <c r="AM8" s="872"/>
      <c r="AN8" s="872"/>
      <c r="AO8" s="872"/>
      <c r="AP8" s="872"/>
      <c r="AQ8" s="872"/>
      <c r="AR8" s="872"/>
    </row>
    <row r="9" spans="1:62" s="243" customFormat="1">
      <c r="A9" s="872"/>
      <c r="B9" s="872"/>
      <c r="C9" s="872"/>
      <c r="D9" s="873"/>
      <c r="E9" s="874"/>
      <c r="F9" s="872"/>
      <c r="G9" s="872"/>
      <c r="H9" s="872"/>
      <c r="I9" s="872"/>
      <c r="J9" s="872"/>
      <c r="K9" s="872"/>
      <c r="L9" s="244" t="s">
        <v>35</v>
      </c>
      <c r="M9" s="244" t="s">
        <v>36</v>
      </c>
      <c r="N9" s="244" t="s">
        <v>37</v>
      </c>
      <c r="O9" s="244" t="s">
        <v>35</v>
      </c>
      <c r="P9" s="244" t="s">
        <v>36</v>
      </c>
      <c r="Q9" s="244" t="s">
        <v>37</v>
      </c>
      <c r="R9" s="244" t="s">
        <v>38</v>
      </c>
      <c r="S9" s="244" t="s">
        <v>37</v>
      </c>
      <c r="T9" s="244" t="s">
        <v>39</v>
      </c>
      <c r="U9" s="244" t="s">
        <v>38</v>
      </c>
      <c r="V9" s="244" t="s">
        <v>37</v>
      </c>
      <c r="W9" s="244" t="s">
        <v>39</v>
      </c>
      <c r="X9" s="244" t="s">
        <v>39</v>
      </c>
      <c r="Y9" s="244" t="s">
        <v>38</v>
      </c>
      <c r="Z9" s="244" t="s">
        <v>40</v>
      </c>
      <c r="AA9" s="244" t="s">
        <v>39</v>
      </c>
      <c r="AB9" s="244" t="s">
        <v>38</v>
      </c>
      <c r="AC9" s="244" t="s">
        <v>40</v>
      </c>
      <c r="AD9" s="244" t="s">
        <v>41</v>
      </c>
      <c r="AE9" s="244" t="s">
        <v>42</v>
      </c>
      <c r="AF9" s="244" t="s">
        <v>43</v>
      </c>
      <c r="AG9" s="244" t="s">
        <v>41</v>
      </c>
      <c r="AH9" s="244" t="s">
        <v>42</v>
      </c>
      <c r="AI9" s="244" t="s">
        <v>43</v>
      </c>
      <c r="AJ9" s="874"/>
      <c r="AK9" s="872"/>
      <c r="AL9" s="872"/>
      <c r="AM9" s="872"/>
      <c r="AN9" s="872"/>
      <c r="AO9" s="872"/>
      <c r="AP9" s="872"/>
      <c r="AQ9" s="872"/>
      <c r="AR9" s="872"/>
    </row>
    <row r="10" spans="1:62" s="523" customFormat="1" ht="63">
      <c r="A10" s="439" t="s">
        <v>44</v>
      </c>
      <c r="B10" s="439" t="s">
        <v>45</v>
      </c>
      <c r="C10" s="439" t="s">
        <v>1859</v>
      </c>
      <c r="D10" s="649" t="s">
        <v>1860</v>
      </c>
      <c r="E10" s="439"/>
      <c r="F10" s="580"/>
      <c r="G10" s="649"/>
      <c r="H10" s="649"/>
      <c r="I10" s="790">
        <f>AJ10/AJ71*100</f>
        <v>18.216144407538536</v>
      </c>
      <c r="J10" s="442">
        <v>10</v>
      </c>
      <c r="K10" s="442">
        <v>100</v>
      </c>
      <c r="L10" s="505"/>
      <c r="M10" s="505"/>
      <c r="N10" s="505"/>
      <c r="O10" s="505">
        <f>SUM(O11:O17)</f>
        <v>24820</v>
      </c>
      <c r="P10" s="505">
        <f>SUM(P11:P17)</f>
        <v>24820</v>
      </c>
      <c r="Q10" s="505">
        <f>SUM(Q11:Q17)</f>
        <v>40005</v>
      </c>
      <c r="R10" s="505"/>
      <c r="S10" s="505"/>
      <c r="T10" s="505"/>
      <c r="U10" s="505">
        <f>U12+U13+U14+U16+U17</f>
        <v>24820</v>
      </c>
      <c r="V10" s="505">
        <f>V12+V13+V14+V16+V17</f>
        <v>24820</v>
      </c>
      <c r="W10" s="505">
        <f>W11+W12+W13+W14+W15+W16+W17</f>
        <v>63960</v>
      </c>
      <c r="X10" s="505"/>
      <c r="Y10" s="505"/>
      <c r="Z10" s="505"/>
      <c r="AA10" s="505">
        <f>AA11+AA12+AA13+AA14+AA15+AA16+AA17</f>
        <v>48920</v>
      </c>
      <c r="AB10" s="505">
        <f>AB11+AB12+AB13+AB14+AB15+AB16+AB17</f>
        <v>48925</v>
      </c>
      <c r="AC10" s="505">
        <f>AC11+AC12+AC13+AC14+AC15+AC16+AC17</f>
        <v>40150</v>
      </c>
      <c r="AD10" s="505"/>
      <c r="AE10" s="505"/>
      <c r="AF10" s="505"/>
      <c r="AG10" s="505">
        <f>SUM(AG11:AG17)</f>
        <v>48920</v>
      </c>
      <c r="AH10" s="505">
        <f>SUM(AH11:AH17)</f>
        <v>24970</v>
      </c>
      <c r="AI10" s="505">
        <f>SUM(AI11:AI17)</f>
        <v>63975</v>
      </c>
      <c r="AJ10" s="505">
        <f>SUM(AJ11:AJ17)</f>
        <v>479105</v>
      </c>
      <c r="AK10" s="505">
        <f>SUM(AK11:AK17)</f>
        <v>286880</v>
      </c>
      <c r="AL10" s="505"/>
      <c r="AM10" s="505">
        <f>SUM(AM11:AM17)</f>
        <v>192225</v>
      </c>
      <c r="AN10" s="505"/>
      <c r="AO10" s="505"/>
      <c r="AP10" s="649"/>
      <c r="AQ10" s="649"/>
      <c r="AR10" s="649"/>
      <c r="AS10" s="622">
        <f>SUM(O10+P10+Q10+U10+V10+W10+AA10+AB10+AC10+AG10+AH10+AI10)</f>
        <v>479105</v>
      </c>
      <c r="AT10" s="623"/>
    </row>
    <row r="11" spans="1:62" ht="128.25" customHeight="1">
      <c r="A11" s="656" t="s">
        <v>44</v>
      </c>
      <c r="B11" s="656" t="s">
        <v>45</v>
      </c>
      <c r="C11" s="656" t="s">
        <v>1862</v>
      </c>
      <c r="D11" s="657" t="s">
        <v>1863</v>
      </c>
      <c r="E11" s="640">
        <f t="shared" ref="E11:E28" si="0">SUM(L11+M11+N11+R11+S11+T11+X11+Y11+Z11+AD11+AE11+AF11)</f>
        <v>5</v>
      </c>
      <c r="F11" s="791" t="s">
        <v>1864</v>
      </c>
      <c r="G11" s="657" t="s">
        <v>1865</v>
      </c>
      <c r="H11" s="657" t="s">
        <v>1866</v>
      </c>
      <c r="I11" s="792">
        <f>(AJ11/AJ10)*100</f>
        <v>24.999739096857681</v>
      </c>
      <c r="J11" s="640"/>
      <c r="K11" s="640">
        <v>20</v>
      </c>
      <c r="L11" s="683"/>
      <c r="M11" s="683"/>
      <c r="N11" s="683"/>
      <c r="O11" s="683"/>
      <c r="P11" s="683"/>
      <c r="Q11" s="683"/>
      <c r="R11" s="683"/>
      <c r="S11" s="624"/>
      <c r="T11" s="683">
        <v>1</v>
      </c>
      <c r="U11" s="683"/>
      <c r="V11" s="683"/>
      <c r="W11" s="683">
        <v>23955</v>
      </c>
      <c r="X11" s="683">
        <v>1</v>
      </c>
      <c r="Y11" s="683">
        <v>1</v>
      </c>
      <c r="Z11" s="683"/>
      <c r="AA11" s="683">
        <v>23955</v>
      </c>
      <c r="AB11" s="683">
        <v>23955</v>
      </c>
      <c r="AC11" s="625"/>
      <c r="AD11" s="683">
        <v>1</v>
      </c>
      <c r="AE11" s="683"/>
      <c r="AF11" s="683">
        <v>1</v>
      </c>
      <c r="AG11" s="683">
        <v>23955</v>
      </c>
      <c r="AH11" s="683"/>
      <c r="AI11" s="683">
        <v>23955</v>
      </c>
      <c r="AJ11" s="521">
        <f t="shared" ref="AJ11:AJ17" si="1">SUM(O11+P11+Q11+U11+V11+W11+AA11+AB11+AC11+AG11+AH11+AI11)</f>
        <v>119775</v>
      </c>
      <c r="AK11" s="683">
        <f t="shared" ref="AK11:AK17" si="2">SUM(AJ11-AM11)</f>
        <v>71720</v>
      </c>
      <c r="AL11" s="683"/>
      <c r="AM11" s="683">
        <v>48055</v>
      </c>
      <c r="AN11" s="683"/>
      <c r="AO11" s="683"/>
      <c r="AP11" s="1124" t="s">
        <v>1867</v>
      </c>
      <c r="AQ11" s="793" t="s">
        <v>1868</v>
      </c>
      <c r="AR11" s="1124" t="s">
        <v>1869</v>
      </c>
      <c r="AT11" s="623"/>
    </row>
    <row r="12" spans="1:62" ht="82.5" customHeight="1">
      <c r="A12" s="656" t="s">
        <v>44</v>
      </c>
      <c r="B12" s="656" t="s">
        <v>45</v>
      </c>
      <c r="C12" s="656" t="s">
        <v>1870</v>
      </c>
      <c r="D12" s="657" t="s">
        <v>1871</v>
      </c>
      <c r="E12" s="780">
        <f t="shared" si="0"/>
        <v>4410</v>
      </c>
      <c r="F12" s="791" t="s">
        <v>1864</v>
      </c>
      <c r="G12" s="657" t="s">
        <v>1872</v>
      </c>
      <c r="H12" s="657" t="s">
        <v>1873</v>
      </c>
      <c r="I12" s="792">
        <v>26.7</v>
      </c>
      <c r="J12" s="640"/>
      <c r="K12" s="640">
        <v>20</v>
      </c>
      <c r="L12" s="683">
        <v>365</v>
      </c>
      <c r="M12" s="683">
        <v>365</v>
      </c>
      <c r="N12" s="683">
        <v>365</v>
      </c>
      <c r="O12" s="683">
        <v>10565</v>
      </c>
      <c r="P12" s="683">
        <v>10565</v>
      </c>
      <c r="Q12" s="683">
        <v>10565</v>
      </c>
      <c r="R12" s="683">
        <v>365</v>
      </c>
      <c r="S12" s="683">
        <v>365</v>
      </c>
      <c r="T12" s="683">
        <v>365</v>
      </c>
      <c r="U12" s="683">
        <v>10565</v>
      </c>
      <c r="V12" s="683">
        <v>10565</v>
      </c>
      <c r="W12" s="683">
        <v>10565</v>
      </c>
      <c r="X12" s="683">
        <v>370</v>
      </c>
      <c r="Y12" s="683">
        <v>370</v>
      </c>
      <c r="Z12" s="683">
        <v>370</v>
      </c>
      <c r="AA12" s="683">
        <v>10710</v>
      </c>
      <c r="AB12" s="683">
        <v>10715</v>
      </c>
      <c r="AC12" s="683">
        <v>10715</v>
      </c>
      <c r="AD12" s="683">
        <v>370</v>
      </c>
      <c r="AE12" s="683">
        <v>370</v>
      </c>
      <c r="AF12" s="683">
        <v>370</v>
      </c>
      <c r="AG12" s="683">
        <v>10710</v>
      </c>
      <c r="AH12" s="683">
        <v>10715</v>
      </c>
      <c r="AI12" s="683">
        <v>10715</v>
      </c>
      <c r="AJ12" s="521">
        <f t="shared" si="1"/>
        <v>127670</v>
      </c>
      <c r="AK12" s="683">
        <f t="shared" si="2"/>
        <v>70000</v>
      </c>
      <c r="AL12" s="683"/>
      <c r="AM12" s="683">
        <v>57670</v>
      </c>
      <c r="AN12" s="683"/>
      <c r="AO12" s="683"/>
      <c r="AP12" s="1125"/>
      <c r="AQ12" s="793" t="s">
        <v>1868</v>
      </c>
      <c r="AR12" s="1125"/>
      <c r="AT12" s="623"/>
    </row>
    <row r="13" spans="1:62" s="523" customFormat="1" ht="119.25" customHeight="1">
      <c r="A13" s="781" t="s">
        <v>44</v>
      </c>
      <c r="B13" s="781" t="s">
        <v>45</v>
      </c>
      <c r="C13" s="781" t="s">
        <v>1874</v>
      </c>
      <c r="D13" s="638" t="s">
        <v>1875</v>
      </c>
      <c r="E13" s="783">
        <f>SUM(L13+M13+N13+R13+S13+T13+X13+Y13+Z13+AD13+AE13+AF13)</f>
        <v>448</v>
      </c>
      <c r="F13" s="639" t="s">
        <v>1876</v>
      </c>
      <c r="G13" s="638" t="s">
        <v>1877</v>
      </c>
      <c r="H13" s="638" t="s">
        <v>1878</v>
      </c>
      <c r="I13" s="792">
        <f>AJ13/AJ10*100</f>
        <v>17.046367706452656</v>
      </c>
      <c r="J13" s="458"/>
      <c r="K13" s="458">
        <v>15</v>
      </c>
      <c r="L13" s="521">
        <v>37</v>
      </c>
      <c r="M13" s="521">
        <v>37</v>
      </c>
      <c r="N13" s="521">
        <v>38</v>
      </c>
      <c r="O13" s="521">
        <v>6745</v>
      </c>
      <c r="P13" s="521">
        <v>6745</v>
      </c>
      <c r="Q13" s="521">
        <v>6930</v>
      </c>
      <c r="R13" s="521">
        <v>37</v>
      </c>
      <c r="S13" s="521">
        <v>37</v>
      </c>
      <c r="T13" s="521">
        <v>38</v>
      </c>
      <c r="U13" s="521">
        <v>6745</v>
      </c>
      <c r="V13" s="521">
        <v>6745</v>
      </c>
      <c r="W13" s="521">
        <v>6930</v>
      </c>
      <c r="X13" s="521">
        <v>37</v>
      </c>
      <c r="Y13" s="521">
        <v>37</v>
      </c>
      <c r="Z13" s="521">
        <v>38</v>
      </c>
      <c r="AA13" s="521">
        <v>6745</v>
      </c>
      <c r="AB13" s="521">
        <v>6745</v>
      </c>
      <c r="AC13" s="521">
        <v>6925</v>
      </c>
      <c r="AD13" s="521">
        <v>37</v>
      </c>
      <c r="AE13" s="521">
        <v>37</v>
      </c>
      <c r="AF13" s="521">
        <v>38</v>
      </c>
      <c r="AG13" s="521">
        <v>6745</v>
      </c>
      <c r="AH13" s="521">
        <v>6745</v>
      </c>
      <c r="AI13" s="521">
        <v>6925</v>
      </c>
      <c r="AJ13" s="521">
        <f t="shared" si="1"/>
        <v>81670</v>
      </c>
      <c r="AK13" s="683">
        <f t="shared" si="2"/>
        <v>50000</v>
      </c>
      <c r="AL13" s="521"/>
      <c r="AM13" s="521">
        <v>31670</v>
      </c>
      <c r="AN13" s="521"/>
      <c r="AO13" s="521"/>
      <c r="AP13" s="1125"/>
      <c r="AQ13" s="794" t="s">
        <v>1879</v>
      </c>
      <c r="AR13" s="1125"/>
      <c r="AT13" s="623"/>
    </row>
    <row r="14" spans="1:62" ht="82.5" customHeight="1">
      <c r="A14" s="656" t="s">
        <v>44</v>
      </c>
      <c r="B14" s="656" t="s">
        <v>45</v>
      </c>
      <c r="C14" s="656" t="s">
        <v>1880</v>
      </c>
      <c r="D14" s="657" t="s">
        <v>1881</v>
      </c>
      <c r="E14" s="780">
        <f t="shared" si="0"/>
        <v>1198</v>
      </c>
      <c r="F14" s="791" t="s">
        <v>1864</v>
      </c>
      <c r="G14" s="657" t="s">
        <v>1882</v>
      </c>
      <c r="H14" s="657" t="s">
        <v>1873</v>
      </c>
      <c r="I14" s="792">
        <f>AJ14/AJ10*100</f>
        <v>16.278268855470095</v>
      </c>
      <c r="J14" s="640"/>
      <c r="K14" s="640">
        <v>15</v>
      </c>
      <c r="L14" s="683">
        <v>100</v>
      </c>
      <c r="M14" s="683">
        <v>100</v>
      </c>
      <c r="N14" s="683">
        <v>100</v>
      </c>
      <c r="O14" s="683">
        <v>6510</v>
      </c>
      <c r="P14" s="683">
        <v>6510</v>
      </c>
      <c r="Q14" s="683">
        <v>6510</v>
      </c>
      <c r="R14" s="683">
        <v>100</v>
      </c>
      <c r="S14" s="683">
        <v>100</v>
      </c>
      <c r="T14" s="683">
        <v>100</v>
      </c>
      <c r="U14" s="683">
        <v>6510</v>
      </c>
      <c r="V14" s="683">
        <v>6510</v>
      </c>
      <c r="W14" s="683">
        <v>6510</v>
      </c>
      <c r="X14" s="683">
        <v>100</v>
      </c>
      <c r="Y14" s="683">
        <v>100</v>
      </c>
      <c r="Z14" s="683">
        <v>100</v>
      </c>
      <c r="AA14" s="683">
        <v>6510</v>
      </c>
      <c r="AB14" s="683">
        <v>6510</v>
      </c>
      <c r="AC14" s="683">
        <v>6510</v>
      </c>
      <c r="AD14" s="683">
        <v>100</v>
      </c>
      <c r="AE14" s="683">
        <v>100</v>
      </c>
      <c r="AF14" s="683">
        <v>98</v>
      </c>
      <c r="AG14" s="683">
        <v>6510</v>
      </c>
      <c r="AH14" s="683">
        <v>6510</v>
      </c>
      <c r="AI14" s="683">
        <v>6380</v>
      </c>
      <c r="AJ14" s="521">
        <f t="shared" si="1"/>
        <v>77990</v>
      </c>
      <c r="AK14" s="683">
        <f t="shared" si="2"/>
        <v>47990</v>
      </c>
      <c r="AL14" s="683"/>
      <c r="AM14" s="683">
        <v>30000</v>
      </c>
      <c r="AN14" s="683"/>
      <c r="AO14" s="683"/>
      <c r="AP14" s="1125"/>
      <c r="AQ14" s="793" t="s">
        <v>1883</v>
      </c>
      <c r="AR14" s="1125"/>
      <c r="AT14" s="623"/>
    </row>
    <row r="15" spans="1:62" ht="67.5" customHeight="1">
      <c r="A15" s="656" t="s">
        <v>44</v>
      </c>
      <c r="B15" s="656" t="s">
        <v>45</v>
      </c>
      <c r="C15" s="656" t="s">
        <v>1884</v>
      </c>
      <c r="D15" s="657" t="s">
        <v>1885</v>
      </c>
      <c r="E15" s="780">
        <f t="shared" si="0"/>
        <v>4</v>
      </c>
      <c r="F15" s="791" t="s">
        <v>168</v>
      </c>
      <c r="G15" s="657" t="s">
        <v>1886</v>
      </c>
      <c r="H15" s="657" t="s">
        <v>1887</v>
      </c>
      <c r="I15" s="792">
        <f>AJ15/AJ10*100</f>
        <v>12.523350831237412</v>
      </c>
      <c r="J15" s="640"/>
      <c r="K15" s="640">
        <v>20</v>
      </c>
      <c r="L15" s="683"/>
      <c r="M15" s="683"/>
      <c r="N15" s="683">
        <v>1</v>
      </c>
      <c r="O15" s="683"/>
      <c r="P15" s="683"/>
      <c r="Q15" s="683">
        <v>15000</v>
      </c>
      <c r="R15" s="683"/>
      <c r="S15" s="683"/>
      <c r="T15" s="683">
        <v>1</v>
      </c>
      <c r="U15" s="683"/>
      <c r="V15" s="683"/>
      <c r="W15" s="683">
        <v>15000</v>
      </c>
      <c r="X15" s="683"/>
      <c r="Y15" s="683"/>
      <c r="Z15" s="683">
        <v>1</v>
      </c>
      <c r="AA15" s="683"/>
      <c r="AB15" s="683"/>
      <c r="AC15" s="683">
        <v>15000</v>
      </c>
      <c r="AD15" s="683"/>
      <c r="AE15" s="683"/>
      <c r="AF15" s="683">
        <v>1</v>
      </c>
      <c r="AG15" s="683"/>
      <c r="AH15" s="683"/>
      <c r="AI15" s="683">
        <v>15000</v>
      </c>
      <c r="AJ15" s="521">
        <f t="shared" si="1"/>
        <v>60000</v>
      </c>
      <c r="AK15" s="683">
        <f t="shared" si="2"/>
        <v>40000</v>
      </c>
      <c r="AL15" s="683"/>
      <c r="AM15" s="683">
        <v>20000</v>
      </c>
      <c r="AN15" s="683"/>
      <c r="AO15" s="683"/>
      <c r="AP15" s="1125"/>
      <c r="AQ15" s="793" t="s">
        <v>1888</v>
      </c>
      <c r="AR15" s="1125"/>
      <c r="AT15" s="623"/>
    </row>
    <row r="16" spans="1:62" ht="39.75" customHeight="1">
      <c r="A16" s="1127" t="s">
        <v>44</v>
      </c>
      <c r="B16" s="1127" t="s">
        <v>45</v>
      </c>
      <c r="C16" s="1127" t="s">
        <v>1889</v>
      </c>
      <c r="D16" s="1122" t="s">
        <v>1890</v>
      </c>
      <c r="E16" s="640">
        <v>3928</v>
      </c>
      <c r="F16" s="791" t="s">
        <v>1891</v>
      </c>
      <c r="G16" s="1122" t="s">
        <v>1892</v>
      </c>
      <c r="H16" s="1122" t="s">
        <v>1893</v>
      </c>
      <c r="I16" s="1129">
        <v>2.5</v>
      </c>
      <c r="J16" s="1131"/>
      <c r="K16" s="1131">
        <v>10</v>
      </c>
      <c r="L16" s="683">
        <v>325</v>
      </c>
      <c r="M16" s="683">
        <v>325</v>
      </c>
      <c r="N16" s="683">
        <v>325</v>
      </c>
      <c r="O16" s="683">
        <v>700</v>
      </c>
      <c r="P16" s="683">
        <v>700</v>
      </c>
      <c r="Q16" s="683">
        <v>700</v>
      </c>
      <c r="R16" s="683">
        <v>325</v>
      </c>
      <c r="S16" s="683">
        <v>325</v>
      </c>
      <c r="T16" s="683">
        <v>325</v>
      </c>
      <c r="U16" s="683">
        <v>700</v>
      </c>
      <c r="V16" s="683">
        <v>700</v>
      </c>
      <c r="W16" s="683">
        <v>700</v>
      </c>
      <c r="X16" s="683">
        <v>330</v>
      </c>
      <c r="Y16" s="683">
        <v>330</v>
      </c>
      <c r="Z16" s="683">
        <v>330</v>
      </c>
      <c r="AA16" s="683">
        <v>700</v>
      </c>
      <c r="AB16" s="683">
        <v>700</v>
      </c>
      <c r="AC16" s="683">
        <v>700</v>
      </c>
      <c r="AD16" s="683">
        <v>330</v>
      </c>
      <c r="AE16" s="683">
        <v>329</v>
      </c>
      <c r="AF16" s="683">
        <v>329</v>
      </c>
      <c r="AG16" s="683">
        <v>700</v>
      </c>
      <c r="AH16" s="683">
        <v>700</v>
      </c>
      <c r="AI16" s="683">
        <v>700</v>
      </c>
      <c r="AJ16" s="521">
        <f t="shared" si="1"/>
        <v>8400</v>
      </c>
      <c r="AK16" s="683">
        <f t="shared" si="2"/>
        <v>5020</v>
      </c>
      <c r="AL16" s="683"/>
      <c r="AM16" s="683">
        <v>3380</v>
      </c>
      <c r="AN16" s="1131"/>
      <c r="AO16" s="1131"/>
      <c r="AP16" s="1125"/>
      <c r="AQ16" s="1133" t="s">
        <v>1879</v>
      </c>
      <c r="AR16" s="1125"/>
      <c r="AS16" s="626"/>
      <c r="AT16" s="623"/>
      <c r="AV16" s="470">
        <f>SUM(AT11:AT16)</f>
        <v>0</v>
      </c>
      <c r="AW16" s="626">
        <f>SUM(I11:I27)</f>
        <v>213.72502405652725</v>
      </c>
    </row>
    <row r="17" spans="1:49" ht="39.75" customHeight="1">
      <c r="A17" s="1128"/>
      <c r="B17" s="1128"/>
      <c r="C17" s="1128"/>
      <c r="D17" s="1123"/>
      <c r="E17" s="780">
        <v>1680</v>
      </c>
      <c r="F17" s="795" t="s">
        <v>1894</v>
      </c>
      <c r="G17" s="1123"/>
      <c r="H17" s="1123"/>
      <c r="I17" s="1130"/>
      <c r="J17" s="1132"/>
      <c r="K17" s="1132"/>
      <c r="L17" s="796">
        <v>140</v>
      </c>
      <c r="M17" s="796">
        <v>140</v>
      </c>
      <c r="N17" s="796">
        <v>140</v>
      </c>
      <c r="O17" s="796">
        <v>300</v>
      </c>
      <c r="P17" s="796">
        <v>300</v>
      </c>
      <c r="Q17" s="796">
        <v>300</v>
      </c>
      <c r="R17" s="796">
        <v>140</v>
      </c>
      <c r="S17" s="796">
        <v>140</v>
      </c>
      <c r="T17" s="796">
        <v>140</v>
      </c>
      <c r="U17" s="796">
        <v>300</v>
      </c>
      <c r="V17" s="796">
        <v>300</v>
      </c>
      <c r="W17" s="796">
        <v>300</v>
      </c>
      <c r="X17" s="796">
        <v>140</v>
      </c>
      <c r="Y17" s="796">
        <v>140</v>
      </c>
      <c r="Z17" s="796">
        <v>140</v>
      </c>
      <c r="AA17" s="796">
        <v>300</v>
      </c>
      <c r="AB17" s="796">
        <v>300</v>
      </c>
      <c r="AC17" s="796">
        <v>300</v>
      </c>
      <c r="AD17" s="796">
        <v>140</v>
      </c>
      <c r="AE17" s="796">
        <v>140</v>
      </c>
      <c r="AF17" s="796">
        <v>140</v>
      </c>
      <c r="AG17" s="796">
        <v>300</v>
      </c>
      <c r="AH17" s="796">
        <v>300</v>
      </c>
      <c r="AI17" s="796">
        <v>300</v>
      </c>
      <c r="AJ17" s="521">
        <f t="shared" si="1"/>
        <v>3600</v>
      </c>
      <c r="AK17" s="683">
        <f t="shared" si="2"/>
        <v>2150</v>
      </c>
      <c r="AL17" s="796"/>
      <c r="AM17" s="796">
        <v>1450</v>
      </c>
      <c r="AN17" s="1132"/>
      <c r="AO17" s="1132"/>
      <c r="AP17" s="1126"/>
      <c r="AQ17" s="1134"/>
      <c r="AR17" s="1126"/>
      <c r="AS17" s="626"/>
      <c r="AT17" s="623"/>
      <c r="AV17" s="470"/>
      <c r="AW17" s="626"/>
    </row>
    <row r="18" spans="1:49" s="523" customFormat="1" ht="56.25" customHeight="1">
      <c r="A18" s="633" t="s">
        <v>44</v>
      </c>
      <c r="B18" s="633" t="s">
        <v>45</v>
      </c>
      <c r="C18" s="633" t="s">
        <v>1895</v>
      </c>
      <c r="D18" s="631" t="s">
        <v>1896</v>
      </c>
      <c r="E18" s="633"/>
      <c r="F18" s="633"/>
      <c r="G18" s="631"/>
      <c r="H18" s="631"/>
      <c r="I18" s="790">
        <v>13.7</v>
      </c>
      <c r="J18" s="633" t="s">
        <v>1897</v>
      </c>
      <c r="K18" s="633" t="s">
        <v>1898</v>
      </c>
      <c r="L18" s="631"/>
      <c r="M18" s="631"/>
      <c r="N18" s="631"/>
      <c r="O18" s="635"/>
      <c r="P18" s="635"/>
      <c r="Q18" s="635">
        <f>SUM(Q19:Q28)</f>
        <v>70720</v>
      </c>
      <c r="R18" s="797"/>
      <c r="S18" s="797"/>
      <c r="T18" s="797"/>
      <c r="U18" s="635">
        <f>SUM(U19:U28)</f>
        <v>8250</v>
      </c>
      <c r="V18" s="635">
        <f>SUM(V19:V28)</f>
        <v>15000</v>
      </c>
      <c r="W18" s="635">
        <f>SUM(W19:W28)</f>
        <v>86365</v>
      </c>
      <c r="X18" s="797"/>
      <c r="Y18" s="797"/>
      <c r="Z18" s="797"/>
      <c r="AA18" s="635">
        <f>SUM(AA19:AA28)</f>
        <v>8250</v>
      </c>
      <c r="AB18" s="635"/>
      <c r="AC18" s="635">
        <f>SUM(AC19:AC28)</f>
        <v>100155</v>
      </c>
      <c r="AD18" s="635"/>
      <c r="AE18" s="635"/>
      <c r="AF18" s="635"/>
      <c r="AG18" s="635"/>
      <c r="AH18" s="635">
        <f>SUM(AH19:AH28)</f>
        <v>8250</v>
      </c>
      <c r="AI18" s="635">
        <f>SUM(AI19:AI28)</f>
        <v>64425</v>
      </c>
      <c r="AJ18" s="635">
        <f>SUM(AJ19:AJ28)</f>
        <v>361415</v>
      </c>
      <c r="AK18" s="635">
        <f>SUM(AK19:AK28)</f>
        <v>178185</v>
      </c>
      <c r="AL18" s="635"/>
      <c r="AM18" s="635">
        <f>SUM(AM19:AM28)</f>
        <v>183230</v>
      </c>
      <c r="AN18" s="797"/>
      <c r="AO18" s="797"/>
      <c r="AP18" s="631"/>
      <c r="AQ18" s="631"/>
      <c r="AR18" s="631"/>
      <c r="AS18" s="622">
        <f>SUM(O18+P18+Q18+U18+V18+W18+AA18+AB18+AC18+AG18+AH18+AI18)</f>
        <v>361415</v>
      </c>
      <c r="AT18" s="623"/>
    </row>
    <row r="19" spans="1:49" ht="31.5">
      <c r="A19" s="885" t="s">
        <v>44</v>
      </c>
      <c r="B19" s="885" t="s">
        <v>45</v>
      </c>
      <c r="C19" s="885" t="s">
        <v>1899</v>
      </c>
      <c r="D19" s="1100" t="s">
        <v>1900</v>
      </c>
      <c r="E19" s="798">
        <f t="shared" si="0"/>
        <v>1.2</v>
      </c>
      <c r="F19" s="639" t="s">
        <v>1901</v>
      </c>
      <c r="G19" s="1100" t="s">
        <v>1902</v>
      </c>
      <c r="H19" s="1100" t="s">
        <v>1903</v>
      </c>
      <c r="I19" s="1112">
        <v>69.7</v>
      </c>
      <c r="J19" s="1105"/>
      <c r="K19" s="1105" t="s">
        <v>1904</v>
      </c>
      <c r="L19" s="521"/>
      <c r="M19" s="521"/>
      <c r="N19" s="799">
        <v>0.26500000000000001</v>
      </c>
      <c r="O19" s="521"/>
      <c r="P19" s="521"/>
      <c r="Q19" s="521">
        <v>22275</v>
      </c>
      <c r="R19" s="800"/>
      <c r="S19" s="521"/>
      <c r="T19" s="799">
        <v>0.32</v>
      </c>
      <c r="U19" s="521"/>
      <c r="V19" s="521"/>
      <c r="W19" s="521">
        <v>26900</v>
      </c>
      <c r="X19" s="800"/>
      <c r="Y19" s="521"/>
      <c r="Z19" s="799">
        <v>0.29499999999999998</v>
      </c>
      <c r="AA19" s="521"/>
      <c r="AB19" s="521"/>
      <c r="AC19" s="521">
        <v>24790</v>
      </c>
      <c r="AD19" s="799"/>
      <c r="AE19" s="799"/>
      <c r="AF19" s="799">
        <v>0.32</v>
      </c>
      <c r="AG19" s="521"/>
      <c r="AH19" s="521"/>
      <c r="AI19" s="521">
        <v>26900</v>
      </c>
      <c r="AJ19" s="521">
        <f>SUM(O19+P19+Q19+U19+V19+W19+AA19+AB19+AC19+AG19+AH19+AI19)</f>
        <v>100865</v>
      </c>
      <c r="AK19" s="683">
        <f>SUM(AJ19-AM19)</f>
        <v>41820</v>
      </c>
      <c r="AL19" s="683"/>
      <c r="AM19" s="683">
        <v>59045</v>
      </c>
      <c r="AN19" s="521"/>
      <c r="AO19" s="801"/>
      <c r="AP19" s="1103" t="s">
        <v>1905</v>
      </c>
      <c r="AQ19" s="1103" t="s">
        <v>1906</v>
      </c>
      <c r="AR19" s="1103"/>
    </row>
    <row r="20" spans="1:49" ht="47.25">
      <c r="A20" s="886"/>
      <c r="B20" s="886"/>
      <c r="C20" s="886"/>
      <c r="D20" s="1101"/>
      <c r="E20" s="798">
        <f t="shared" si="0"/>
        <v>8.5</v>
      </c>
      <c r="F20" s="639" t="s">
        <v>1907</v>
      </c>
      <c r="G20" s="1101"/>
      <c r="H20" s="1101"/>
      <c r="I20" s="1113"/>
      <c r="J20" s="1115"/>
      <c r="K20" s="1115"/>
      <c r="L20" s="521"/>
      <c r="M20" s="521"/>
      <c r="N20" s="800">
        <v>2.8</v>
      </c>
      <c r="O20" s="521"/>
      <c r="P20" s="521"/>
      <c r="Q20" s="521">
        <v>25195</v>
      </c>
      <c r="R20" s="521"/>
      <c r="S20" s="521"/>
      <c r="T20" s="800">
        <v>2.8</v>
      </c>
      <c r="U20" s="521"/>
      <c r="V20" s="521"/>
      <c r="W20" s="521">
        <v>25195</v>
      </c>
      <c r="X20" s="521"/>
      <c r="Y20" s="521"/>
      <c r="Z20" s="800">
        <v>2.9</v>
      </c>
      <c r="AA20" s="521"/>
      <c r="AB20" s="521"/>
      <c r="AC20" s="521">
        <v>26095</v>
      </c>
      <c r="AD20" s="521"/>
      <c r="AE20" s="521"/>
      <c r="AF20" s="521"/>
      <c r="AG20" s="521"/>
      <c r="AH20" s="521"/>
      <c r="AI20" s="521"/>
      <c r="AJ20" s="521">
        <f>SUM(O20+P20+Q20+U20+V20+W20+AA20+AB20+AC20+AG20+AH20+AI20)</f>
        <v>76485</v>
      </c>
      <c r="AK20" s="683">
        <f>SUM(AJ20-AM20)</f>
        <v>25540</v>
      </c>
      <c r="AL20" s="683"/>
      <c r="AM20" s="683">
        <v>50945</v>
      </c>
      <c r="AN20" s="521"/>
      <c r="AO20" s="801"/>
      <c r="AP20" s="1111"/>
      <c r="AQ20" s="1111"/>
      <c r="AR20" s="1111"/>
    </row>
    <row r="21" spans="1:49" ht="39.75" customHeight="1">
      <c r="A21" s="886"/>
      <c r="B21" s="886"/>
      <c r="C21" s="886"/>
      <c r="D21" s="1101"/>
      <c r="E21" s="798">
        <f t="shared" si="0"/>
        <v>1.5</v>
      </c>
      <c r="F21" s="639" t="s">
        <v>1908</v>
      </c>
      <c r="G21" s="1101"/>
      <c r="H21" s="1101"/>
      <c r="I21" s="1113"/>
      <c r="J21" s="1115"/>
      <c r="K21" s="1115"/>
      <c r="L21" s="521"/>
      <c r="M21" s="521"/>
      <c r="N21" s="521"/>
      <c r="O21" s="521"/>
      <c r="P21" s="521"/>
      <c r="Q21" s="521"/>
      <c r="R21" s="521"/>
      <c r="S21" s="521"/>
      <c r="T21" s="800">
        <v>0.5</v>
      </c>
      <c r="U21" s="521"/>
      <c r="V21" s="521"/>
      <c r="W21" s="521">
        <v>15540</v>
      </c>
      <c r="X21" s="521"/>
      <c r="Y21" s="521"/>
      <c r="Z21" s="800">
        <v>0.5</v>
      </c>
      <c r="AA21" s="521"/>
      <c r="AB21" s="521"/>
      <c r="AC21" s="521">
        <v>15540</v>
      </c>
      <c r="AD21" s="800"/>
      <c r="AE21" s="521"/>
      <c r="AF21" s="800">
        <v>0.5</v>
      </c>
      <c r="AG21" s="521"/>
      <c r="AH21" s="521"/>
      <c r="AI21" s="521">
        <v>15540</v>
      </c>
      <c r="AJ21" s="521">
        <f>SUM(O21+P21+Q21+U21+V21+W21+AA21+AB21+AC21+AG21+AH21+AI21)</f>
        <v>46620</v>
      </c>
      <c r="AK21" s="683">
        <f>SUM(AJ21-AM21)</f>
        <v>26050</v>
      </c>
      <c r="AL21" s="683"/>
      <c r="AM21" s="683">
        <v>20570</v>
      </c>
      <c r="AN21" s="521"/>
      <c r="AO21" s="801"/>
      <c r="AP21" s="1111"/>
      <c r="AQ21" s="1111"/>
      <c r="AR21" s="1111"/>
      <c r="AT21" s="534"/>
    </row>
    <row r="22" spans="1:49" ht="40.5" customHeight="1">
      <c r="A22" s="1099"/>
      <c r="B22" s="1099"/>
      <c r="C22" s="1099"/>
      <c r="D22" s="1102"/>
      <c r="E22" s="798">
        <f t="shared" si="0"/>
        <v>0.8</v>
      </c>
      <c r="F22" s="639" t="s">
        <v>1909</v>
      </c>
      <c r="G22" s="1102"/>
      <c r="H22" s="1102"/>
      <c r="I22" s="1114"/>
      <c r="J22" s="1106"/>
      <c r="K22" s="1106"/>
      <c r="L22" s="521"/>
      <c r="M22" s="521"/>
      <c r="N22" s="521"/>
      <c r="O22" s="521"/>
      <c r="P22" s="521"/>
      <c r="Q22" s="521"/>
      <c r="R22" s="521"/>
      <c r="S22" s="521"/>
      <c r="T22" s="800">
        <v>0.3</v>
      </c>
      <c r="U22" s="521"/>
      <c r="V22" s="521"/>
      <c r="W22" s="521">
        <v>10480</v>
      </c>
      <c r="X22" s="521"/>
      <c r="Y22" s="521"/>
      <c r="Z22" s="800">
        <v>0.3</v>
      </c>
      <c r="AA22" s="521"/>
      <c r="AB22" s="521"/>
      <c r="AC22" s="521">
        <v>10480</v>
      </c>
      <c r="AD22" s="800"/>
      <c r="AE22" s="521"/>
      <c r="AF22" s="800">
        <v>0.2</v>
      </c>
      <c r="AG22" s="521"/>
      <c r="AH22" s="521"/>
      <c r="AI22" s="521">
        <v>6985</v>
      </c>
      <c r="AJ22" s="521">
        <f t="shared" ref="AJ22:AJ28" si="3">SUM(O22+P22+Q22+U22+V22+W22+AA22+AB22+AC22+AG22+AH22+AI22)</f>
        <v>27945</v>
      </c>
      <c r="AK22" s="683">
        <f t="shared" ref="AK22:AK28" si="4">SUM(AJ22-AM22)</f>
        <v>10955</v>
      </c>
      <c r="AL22" s="683"/>
      <c r="AM22" s="683">
        <v>16990</v>
      </c>
      <c r="AN22" s="521"/>
      <c r="AO22" s="801"/>
      <c r="AP22" s="1111"/>
      <c r="AQ22" s="1104"/>
      <c r="AR22" s="1111"/>
    </row>
    <row r="23" spans="1:49" ht="43.5" customHeight="1">
      <c r="A23" s="885" t="s">
        <v>44</v>
      </c>
      <c r="B23" s="885" t="s">
        <v>45</v>
      </c>
      <c r="C23" s="885" t="s">
        <v>1910</v>
      </c>
      <c r="D23" s="1100" t="s">
        <v>1911</v>
      </c>
      <c r="E23" s="640">
        <f t="shared" si="0"/>
        <v>6</v>
      </c>
      <c r="F23" s="639" t="s">
        <v>1912</v>
      </c>
      <c r="G23" s="1100" t="s">
        <v>1913</v>
      </c>
      <c r="H23" s="1100" t="s">
        <v>1914</v>
      </c>
      <c r="I23" s="1112">
        <f>(AJ23+AJ24+AJ25)/AJ18*100</f>
        <v>10.375883679426698</v>
      </c>
      <c r="J23" s="1105"/>
      <c r="K23" s="1105" t="s">
        <v>1904</v>
      </c>
      <c r="L23" s="521"/>
      <c r="M23" s="521"/>
      <c r="N23" s="521">
        <v>1</v>
      </c>
      <c r="O23" s="521"/>
      <c r="P23" s="521"/>
      <c r="Q23" s="521">
        <v>2500</v>
      </c>
      <c r="R23" s="521">
        <v>1</v>
      </c>
      <c r="S23" s="521"/>
      <c r="T23" s="521">
        <v>1</v>
      </c>
      <c r="U23" s="521">
        <v>2500</v>
      </c>
      <c r="V23" s="521"/>
      <c r="W23" s="521">
        <v>2500</v>
      </c>
      <c r="X23" s="521">
        <v>1</v>
      </c>
      <c r="Y23" s="521"/>
      <c r="Z23" s="521">
        <v>1</v>
      </c>
      <c r="AA23" s="521">
        <v>2500</v>
      </c>
      <c r="AB23" s="521"/>
      <c r="AC23" s="521">
        <v>2500</v>
      </c>
      <c r="AD23" s="521"/>
      <c r="AE23" s="521">
        <v>1</v>
      </c>
      <c r="AF23" s="521"/>
      <c r="AG23" s="521"/>
      <c r="AH23" s="521">
        <v>2500</v>
      </c>
      <c r="AI23" s="521"/>
      <c r="AJ23" s="521">
        <f t="shared" si="3"/>
        <v>15000</v>
      </c>
      <c r="AK23" s="683">
        <f t="shared" si="4"/>
        <v>10735</v>
      </c>
      <c r="AL23" s="683"/>
      <c r="AM23" s="683">
        <v>4265</v>
      </c>
      <c r="AN23" s="521"/>
      <c r="AO23" s="521"/>
      <c r="AP23" s="1111"/>
      <c r="AQ23" s="1103" t="s">
        <v>1915</v>
      </c>
      <c r="AR23" s="1111"/>
    </row>
    <row r="24" spans="1:49" ht="43.5" customHeight="1">
      <c r="A24" s="886"/>
      <c r="B24" s="886"/>
      <c r="C24" s="886"/>
      <c r="D24" s="1101"/>
      <c r="E24" s="640">
        <f t="shared" si="0"/>
        <v>72</v>
      </c>
      <c r="F24" s="639" t="s">
        <v>1916</v>
      </c>
      <c r="G24" s="1101"/>
      <c r="H24" s="1101"/>
      <c r="I24" s="1113"/>
      <c r="J24" s="1115"/>
      <c r="K24" s="1115"/>
      <c r="L24" s="521"/>
      <c r="M24" s="521"/>
      <c r="N24" s="521">
        <v>12</v>
      </c>
      <c r="O24" s="521"/>
      <c r="P24" s="521"/>
      <c r="Q24" s="521">
        <v>3000</v>
      </c>
      <c r="R24" s="521">
        <v>12</v>
      </c>
      <c r="S24" s="521"/>
      <c r="T24" s="521">
        <v>12</v>
      </c>
      <c r="U24" s="521">
        <v>3000</v>
      </c>
      <c r="V24" s="521"/>
      <c r="W24" s="521">
        <v>3000</v>
      </c>
      <c r="X24" s="521">
        <v>12</v>
      </c>
      <c r="Y24" s="521"/>
      <c r="Z24" s="521">
        <v>12</v>
      </c>
      <c r="AA24" s="521">
        <v>3000</v>
      </c>
      <c r="AB24" s="521"/>
      <c r="AC24" s="521">
        <v>3000</v>
      </c>
      <c r="AD24" s="521"/>
      <c r="AE24" s="521">
        <v>12</v>
      </c>
      <c r="AF24" s="521"/>
      <c r="AG24" s="521"/>
      <c r="AH24" s="521">
        <v>3000</v>
      </c>
      <c r="AI24" s="521"/>
      <c r="AJ24" s="521">
        <f t="shared" si="3"/>
        <v>18000</v>
      </c>
      <c r="AK24" s="683">
        <f t="shared" si="4"/>
        <v>12585</v>
      </c>
      <c r="AL24" s="683"/>
      <c r="AM24" s="683">
        <v>5415</v>
      </c>
      <c r="AN24" s="521"/>
      <c r="AO24" s="521"/>
      <c r="AP24" s="1111"/>
      <c r="AQ24" s="1111"/>
      <c r="AR24" s="1111"/>
    </row>
    <row r="25" spans="1:49" ht="43.5" customHeight="1">
      <c r="A25" s="1099"/>
      <c r="B25" s="1099"/>
      <c r="C25" s="1099"/>
      <c r="D25" s="1102"/>
      <c r="E25" s="640">
        <f t="shared" si="0"/>
        <v>18</v>
      </c>
      <c r="F25" s="639" t="s">
        <v>1917</v>
      </c>
      <c r="G25" s="1102"/>
      <c r="H25" s="1102"/>
      <c r="I25" s="1114"/>
      <c r="J25" s="1106"/>
      <c r="K25" s="1106"/>
      <c r="L25" s="521"/>
      <c r="M25" s="521"/>
      <c r="N25" s="521">
        <v>3</v>
      </c>
      <c r="O25" s="521"/>
      <c r="P25" s="521"/>
      <c r="Q25" s="521">
        <v>750</v>
      </c>
      <c r="R25" s="521">
        <v>3</v>
      </c>
      <c r="S25" s="500"/>
      <c r="T25" s="521">
        <v>3</v>
      </c>
      <c r="U25" s="521">
        <v>750</v>
      </c>
      <c r="V25" s="521"/>
      <c r="W25" s="521">
        <v>750</v>
      </c>
      <c r="X25" s="521">
        <v>3</v>
      </c>
      <c r="Y25" s="521"/>
      <c r="Z25" s="521">
        <v>3</v>
      </c>
      <c r="AA25" s="521">
        <v>750</v>
      </c>
      <c r="AB25" s="521"/>
      <c r="AC25" s="521">
        <v>750</v>
      </c>
      <c r="AD25" s="521"/>
      <c r="AE25" s="521">
        <v>3</v>
      </c>
      <c r="AF25" s="521"/>
      <c r="AG25" s="521"/>
      <c r="AH25" s="521">
        <v>750</v>
      </c>
      <c r="AI25" s="521"/>
      <c r="AJ25" s="521">
        <f t="shared" si="3"/>
        <v>4500</v>
      </c>
      <c r="AK25" s="683">
        <f t="shared" si="4"/>
        <v>3330</v>
      </c>
      <c r="AL25" s="683"/>
      <c r="AM25" s="683">
        <v>1170</v>
      </c>
      <c r="AN25" s="521"/>
      <c r="AO25" s="521"/>
      <c r="AP25" s="1111"/>
      <c r="AQ25" s="1104"/>
      <c r="AR25" s="1111"/>
    </row>
    <row r="26" spans="1:49" ht="80.25" customHeight="1">
      <c r="A26" s="781" t="s">
        <v>44</v>
      </c>
      <c r="B26" s="781" t="s">
        <v>45</v>
      </c>
      <c r="C26" s="781" t="s">
        <v>1918</v>
      </c>
      <c r="D26" s="638" t="s">
        <v>1919</v>
      </c>
      <c r="E26" s="640">
        <f t="shared" si="0"/>
        <v>4</v>
      </c>
      <c r="F26" s="639" t="s">
        <v>168</v>
      </c>
      <c r="G26" s="657" t="s">
        <v>1920</v>
      </c>
      <c r="H26" s="657" t="s">
        <v>1887</v>
      </c>
      <c r="I26" s="802">
        <f>AJ26/AJ18*100</f>
        <v>16.601413887082717</v>
      </c>
      <c r="J26" s="458"/>
      <c r="K26" s="458">
        <v>25</v>
      </c>
      <c r="L26" s="521"/>
      <c r="M26" s="521"/>
      <c r="N26" s="521">
        <v>1</v>
      </c>
      <c r="O26" s="521"/>
      <c r="P26" s="521"/>
      <c r="Q26" s="521">
        <v>15000</v>
      </c>
      <c r="R26" s="521"/>
      <c r="S26" s="521"/>
      <c r="T26" s="521">
        <v>1</v>
      </c>
      <c r="U26" s="521"/>
      <c r="V26" s="521">
        <v>15000</v>
      </c>
      <c r="W26" s="521"/>
      <c r="X26" s="521"/>
      <c r="Y26" s="521"/>
      <c r="Z26" s="521">
        <v>1</v>
      </c>
      <c r="AA26" s="521"/>
      <c r="AB26" s="521"/>
      <c r="AC26" s="521">
        <v>15000</v>
      </c>
      <c r="AD26" s="521"/>
      <c r="AE26" s="521"/>
      <c r="AF26" s="521">
        <v>1</v>
      </c>
      <c r="AG26" s="521"/>
      <c r="AH26" s="521"/>
      <c r="AI26" s="521">
        <v>15000</v>
      </c>
      <c r="AJ26" s="521">
        <f t="shared" si="3"/>
        <v>60000</v>
      </c>
      <c r="AK26" s="683">
        <f t="shared" si="4"/>
        <v>40000</v>
      </c>
      <c r="AL26" s="683"/>
      <c r="AM26" s="683">
        <v>20000</v>
      </c>
      <c r="AN26" s="521"/>
      <c r="AO26" s="521"/>
      <c r="AP26" s="1111"/>
      <c r="AQ26" s="794" t="s">
        <v>1888</v>
      </c>
      <c r="AR26" s="1111"/>
    </row>
    <row r="27" spans="1:49" ht="44.25" customHeight="1">
      <c r="A27" s="885" t="s">
        <v>44</v>
      </c>
      <c r="B27" s="885" t="s">
        <v>45</v>
      </c>
      <c r="C27" s="885" t="s">
        <v>1921</v>
      </c>
      <c r="D27" s="1100" t="s">
        <v>1922</v>
      </c>
      <c r="E27" s="640">
        <f t="shared" si="0"/>
        <v>72</v>
      </c>
      <c r="F27" s="639" t="s">
        <v>1923</v>
      </c>
      <c r="G27" s="1122" t="s">
        <v>1924</v>
      </c>
      <c r="H27" s="1122" t="s">
        <v>1925</v>
      </c>
      <c r="I27" s="1119">
        <v>3.3</v>
      </c>
      <c r="J27" s="899"/>
      <c r="K27" s="899"/>
      <c r="L27" s="803"/>
      <c r="M27" s="803"/>
      <c r="N27" s="521">
        <v>12</v>
      </c>
      <c r="O27" s="521"/>
      <c r="P27" s="521"/>
      <c r="Q27" s="521">
        <v>1600</v>
      </c>
      <c r="R27" s="521">
        <v>12</v>
      </c>
      <c r="S27" s="521"/>
      <c r="T27" s="521">
        <v>12</v>
      </c>
      <c r="U27" s="521">
        <v>1600</v>
      </c>
      <c r="V27" s="521"/>
      <c r="W27" s="521">
        <v>1600</v>
      </c>
      <c r="X27" s="521">
        <v>12</v>
      </c>
      <c r="Y27" s="521"/>
      <c r="Z27" s="521">
        <v>12</v>
      </c>
      <c r="AA27" s="521">
        <v>1600</v>
      </c>
      <c r="AB27" s="521"/>
      <c r="AC27" s="521">
        <v>1600</v>
      </c>
      <c r="AD27" s="521"/>
      <c r="AE27" s="521">
        <v>12</v>
      </c>
      <c r="AF27" s="521"/>
      <c r="AG27" s="521"/>
      <c r="AH27" s="521">
        <v>1600</v>
      </c>
      <c r="AI27" s="627"/>
      <c r="AJ27" s="521">
        <f t="shared" si="3"/>
        <v>9600</v>
      </c>
      <c r="AK27" s="683">
        <f t="shared" si="4"/>
        <v>5735</v>
      </c>
      <c r="AL27" s="683"/>
      <c r="AM27" s="683">
        <v>3865</v>
      </c>
      <c r="AN27" s="521"/>
      <c r="AO27" s="521"/>
      <c r="AP27" s="1111"/>
      <c r="AQ27" s="1103" t="s">
        <v>1926</v>
      </c>
      <c r="AR27" s="1111"/>
    </row>
    <row r="28" spans="1:49" ht="44.25" customHeight="1">
      <c r="A28" s="1099"/>
      <c r="B28" s="1099"/>
      <c r="C28" s="1099"/>
      <c r="D28" s="1102"/>
      <c r="E28" s="640">
        <f t="shared" si="0"/>
        <v>18</v>
      </c>
      <c r="F28" s="641" t="s">
        <v>1927</v>
      </c>
      <c r="G28" s="1123"/>
      <c r="H28" s="1123"/>
      <c r="I28" s="1121"/>
      <c r="J28" s="900"/>
      <c r="K28" s="900"/>
      <c r="L28" s="804"/>
      <c r="M28" s="804"/>
      <c r="N28" s="642">
        <v>3</v>
      </c>
      <c r="O28" s="642"/>
      <c r="P28" s="642"/>
      <c r="Q28" s="642">
        <v>400</v>
      </c>
      <c r="R28" s="642">
        <v>3</v>
      </c>
      <c r="S28" s="642"/>
      <c r="T28" s="642">
        <v>3</v>
      </c>
      <c r="U28" s="642">
        <v>400</v>
      </c>
      <c r="V28" s="642"/>
      <c r="W28" s="642">
        <v>400</v>
      </c>
      <c r="X28" s="642">
        <v>3</v>
      </c>
      <c r="Y28" s="642"/>
      <c r="Z28" s="642">
        <v>3</v>
      </c>
      <c r="AA28" s="642">
        <v>400</v>
      </c>
      <c r="AB28" s="642"/>
      <c r="AC28" s="642">
        <v>400</v>
      </c>
      <c r="AD28" s="642"/>
      <c r="AE28" s="642">
        <v>3</v>
      </c>
      <c r="AF28" s="642"/>
      <c r="AG28" s="642"/>
      <c r="AH28" s="642">
        <v>400</v>
      </c>
      <c r="AI28" s="627"/>
      <c r="AJ28" s="521">
        <f t="shared" si="3"/>
        <v>2400</v>
      </c>
      <c r="AK28" s="683">
        <f t="shared" si="4"/>
        <v>1435</v>
      </c>
      <c r="AL28" s="796"/>
      <c r="AM28" s="796">
        <v>965</v>
      </c>
      <c r="AN28" s="642"/>
      <c r="AO28" s="642"/>
      <c r="AP28" s="1104"/>
      <c r="AQ28" s="1104"/>
      <c r="AR28" s="1104"/>
    </row>
    <row r="29" spans="1:49" s="523" customFormat="1" ht="47.25">
      <c r="A29" s="633" t="s">
        <v>44</v>
      </c>
      <c r="B29" s="633" t="s">
        <v>45</v>
      </c>
      <c r="C29" s="633" t="s">
        <v>1928</v>
      </c>
      <c r="D29" s="631" t="s">
        <v>1929</v>
      </c>
      <c r="E29" s="633"/>
      <c r="F29" s="633"/>
      <c r="G29" s="631"/>
      <c r="H29" s="631"/>
      <c r="I29" s="790">
        <f>AJ29/AJ71*100</f>
        <v>29.737136669465023</v>
      </c>
      <c r="J29" s="633" t="s">
        <v>1897</v>
      </c>
      <c r="K29" s="633" t="s">
        <v>1898</v>
      </c>
      <c r="L29" s="631"/>
      <c r="M29" s="631"/>
      <c r="N29" s="631"/>
      <c r="O29" s="635">
        <f>SUM(O30:O40)</f>
        <v>9405</v>
      </c>
      <c r="P29" s="635">
        <f>SUM(P30:P40)</f>
        <v>9405</v>
      </c>
      <c r="Q29" s="635">
        <f>SUM(Q30:Q40)</f>
        <v>20460</v>
      </c>
      <c r="R29" s="635"/>
      <c r="S29" s="635"/>
      <c r="T29" s="635"/>
      <c r="U29" s="635">
        <f>SUM(U30:U40)</f>
        <v>105795</v>
      </c>
      <c r="V29" s="635">
        <f>SUM(V30:V40)</f>
        <v>105795</v>
      </c>
      <c r="W29" s="635">
        <f>SUM(W30:W40)</f>
        <v>35960</v>
      </c>
      <c r="X29" s="635"/>
      <c r="Y29" s="635"/>
      <c r="Z29" s="635"/>
      <c r="AA29" s="635">
        <f>SUM(AA30:AA40)</f>
        <v>124345</v>
      </c>
      <c r="AB29" s="635">
        <f>SUM(AB30:AB40)</f>
        <v>103355</v>
      </c>
      <c r="AC29" s="635">
        <f>SUM(AC30:AC40)</f>
        <v>116130</v>
      </c>
      <c r="AD29" s="635"/>
      <c r="AE29" s="635"/>
      <c r="AF29" s="635"/>
      <c r="AG29" s="635">
        <f>SUM(AG30:AG40)</f>
        <v>118865</v>
      </c>
      <c r="AH29" s="635">
        <f>SUM(AH30:AH40)</f>
        <v>20760</v>
      </c>
      <c r="AI29" s="635">
        <f>SUM(AI30:AI40)</f>
        <v>11845</v>
      </c>
      <c r="AJ29" s="635">
        <f>SUM(AJ30:AJ40)</f>
        <v>782120</v>
      </c>
      <c r="AK29" s="635">
        <f>SUM(AK30:AK40)</f>
        <v>608440</v>
      </c>
      <c r="AL29" s="635"/>
      <c r="AM29" s="635">
        <f>SUM(AM30:AM40)</f>
        <v>173680</v>
      </c>
      <c r="AN29" s="631"/>
      <c r="AO29" s="631"/>
      <c r="AP29" s="631"/>
      <c r="AQ29" s="631"/>
      <c r="AR29" s="631"/>
      <c r="AS29" s="622">
        <f>SUM(O29+P29+Q29+U29+V29+W29+AA29+AB29+AC29+AG29+AH29+AI29)</f>
        <v>782120</v>
      </c>
      <c r="AT29" s="623"/>
    </row>
    <row r="30" spans="1:49" s="523" customFormat="1" ht="44.25" customHeight="1">
      <c r="A30" s="885" t="s">
        <v>44</v>
      </c>
      <c r="B30" s="885" t="s">
        <v>45</v>
      </c>
      <c r="C30" s="885" t="s">
        <v>1930</v>
      </c>
      <c r="D30" s="1100" t="s">
        <v>1931</v>
      </c>
      <c r="E30" s="458">
        <f t="shared" ref="E30:E70" si="5">SUM(L30+M30+N30+R30+S30+T30+X30+Y30+Z30+AD30+AE30+AF30)</f>
        <v>220</v>
      </c>
      <c r="F30" s="639" t="s">
        <v>1916</v>
      </c>
      <c r="G30" s="1100" t="s">
        <v>1932</v>
      </c>
      <c r="H30" s="1100" t="s">
        <v>1933</v>
      </c>
      <c r="I30" s="1119">
        <f>(AJ30+AJ31+AJ32+AJ33)/AJ29*100</f>
        <v>13.305502991868256</v>
      </c>
      <c r="J30" s="1105"/>
      <c r="K30" s="1105" t="s">
        <v>1904</v>
      </c>
      <c r="L30" s="521">
        <v>18</v>
      </c>
      <c r="M30" s="521">
        <v>18</v>
      </c>
      <c r="N30" s="521">
        <v>18</v>
      </c>
      <c r="O30" s="521">
        <v>5510</v>
      </c>
      <c r="P30" s="521">
        <v>5510</v>
      </c>
      <c r="Q30" s="521">
        <v>5510</v>
      </c>
      <c r="R30" s="521">
        <v>18</v>
      </c>
      <c r="S30" s="521">
        <v>18</v>
      </c>
      <c r="T30" s="521">
        <v>18</v>
      </c>
      <c r="U30" s="521">
        <v>5510</v>
      </c>
      <c r="V30" s="521">
        <v>5510</v>
      </c>
      <c r="W30" s="521">
        <v>5510</v>
      </c>
      <c r="X30" s="521">
        <v>19</v>
      </c>
      <c r="Y30" s="521">
        <v>19</v>
      </c>
      <c r="Z30" s="521">
        <v>19</v>
      </c>
      <c r="AA30" s="521">
        <v>5815</v>
      </c>
      <c r="AB30" s="521">
        <v>5815</v>
      </c>
      <c r="AC30" s="521">
        <v>5815</v>
      </c>
      <c r="AD30" s="521">
        <v>19</v>
      </c>
      <c r="AE30" s="521">
        <v>19</v>
      </c>
      <c r="AF30" s="521">
        <v>17</v>
      </c>
      <c r="AG30" s="521">
        <v>5815</v>
      </c>
      <c r="AH30" s="521">
        <v>5815</v>
      </c>
      <c r="AI30" s="521">
        <v>5205</v>
      </c>
      <c r="AJ30" s="521">
        <f>SUM(O30+P30+Q30+U30+V30+W30+AA30+AB30+AC30+AG30+AH30+AI30)</f>
        <v>67340</v>
      </c>
      <c r="AK30" s="683">
        <f>SUM(AJ30-AM30)</f>
        <v>39625</v>
      </c>
      <c r="AL30" s="683"/>
      <c r="AM30" s="683">
        <v>27715</v>
      </c>
      <c r="AN30" s="521"/>
      <c r="AO30" s="521"/>
      <c r="AP30" s="1116" t="s">
        <v>1934</v>
      </c>
      <c r="AQ30" s="1103" t="s">
        <v>1935</v>
      </c>
      <c r="AR30" s="1116" t="s">
        <v>1936</v>
      </c>
    </row>
    <row r="31" spans="1:49" ht="44.25" customHeight="1">
      <c r="A31" s="886"/>
      <c r="B31" s="886"/>
      <c r="C31" s="886"/>
      <c r="D31" s="1101"/>
      <c r="E31" s="783">
        <f t="shared" si="5"/>
        <v>80</v>
      </c>
      <c r="F31" s="639" t="s">
        <v>1917</v>
      </c>
      <c r="G31" s="1101"/>
      <c r="H31" s="1101"/>
      <c r="I31" s="1120"/>
      <c r="J31" s="1115"/>
      <c r="K31" s="1115"/>
      <c r="L31" s="521">
        <v>6</v>
      </c>
      <c r="M31" s="521">
        <v>6</v>
      </c>
      <c r="N31" s="521">
        <v>8</v>
      </c>
      <c r="O31" s="521">
        <v>1835</v>
      </c>
      <c r="P31" s="521">
        <v>1835</v>
      </c>
      <c r="Q31" s="521">
        <v>2450</v>
      </c>
      <c r="R31" s="521">
        <v>6</v>
      </c>
      <c r="S31" s="521">
        <v>6</v>
      </c>
      <c r="T31" s="521">
        <v>8</v>
      </c>
      <c r="U31" s="521">
        <v>1835</v>
      </c>
      <c r="V31" s="521">
        <v>1835</v>
      </c>
      <c r="W31" s="521">
        <v>2450</v>
      </c>
      <c r="X31" s="521">
        <v>6</v>
      </c>
      <c r="Y31" s="521">
        <v>6</v>
      </c>
      <c r="Z31" s="521">
        <v>8</v>
      </c>
      <c r="AA31" s="521">
        <v>1835</v>
      </c>
      <c r="AB31" s="521">
        <v>1835</v>
      </c>
      <c r="AC31" s="521">
        <v>2450</v>
      </c>
      <c r="AD31" s="521">
        <v>6</v>
      </c>
      <c r="AE31" s="521">
        <v>6</v>
      </c>
      <c r="AF31" s="521">
        <v>8</v>
      </c>
      <c r="AG31" s="521">
        <v>1835</v>
      </c>
      <c r="AH31" s="521">
        <v>1835</v>
      </c>
      <c r="AI31" s="521">
        <v>2455</v>
      </c>
      <c r="AJ31" s="521">
        <f t="shared" ref="AJ31:AJ37" si="6">SUM(O31+P31+Q31+U31+V31+W31+AA31+AB31+AC31+AG31+AH31+AI31)</f>
        <v>24485</v>
      </c>
      <c r="AK31" s="683">
        <f t="shared" ref="AK31:AK40" si="7">SUM(AJ31-AM31)</f>
        <v>13810</v>
      </c>
      <c r="AL31" s="521"/>
      <c r="AM31" s="521">
        <v>10675</v>
      </c>
      <c r="AN31" s="521"/>
      <c r="AO31" s="521"/>
      <c r="AP31" s="1117"/>
      <c r="AQ31" s="1111"/>
      <c r="AR31" s="1117"/>
    </row>
    <row r="32" spans="1:49" ht="44.25" customHeight="1">
      <c r="A32" s="886"/>
      <c r="B32" s="886"/>
      <c r="C32" s="886"/>
      <c r="D32" s="1101"/>
      <c r="E32" s="783">
        <f t="shared" si="5"/>
        <v>20</v>
      </c>
      <c r="F32" s="639" t="s">
        <v>1937</v>
      </c>
      <c r="G32" s="1101"/>
      <c r="H32" s="1101"/>
      <c r="I32" s="1120"/>
      <c r="J32" s="1115"/>
      <c r="K32" s="1115"/>
      <c r="L32" s="521">
        <v>2</v>
      </c>
      <c r="M32" s="521">
        <v>2</v>
      </c>
      <c r="N32" s="521">
        <v>1</v>
      </c>
      <c r="O32" s="521">
        <v>610</v>
      </c>
      <c r="P32" s="521">
        <v>610</v>
      </c>
      <c r="Q32" s="521">
        <v>310</v>
      </c>
      <c r="R32" s="521">
        <v>2</v>
      </c>
      <c r="S32" s="521">
        <v>2</v>
      </c>
      <c r="T32" s="521">
        <v>1</v>
      </c>
      <c r="U32" s="521">
        <v>610</v>
      </c>
      <c r="V32" s="521">
        <v>610</v>
      </c>
      <c r="W32" s="521">
        <v>310</v>
      </c>
      <c r="X32" s="521">
        <v>2</v>
      </c>
      <c r="Y32" s="521">
        <v>2</v>
      </c>
      <c r="Z32" s="521">
        <v>1</v>
      </c>
      <c r="AA32" s="521">
        <v>610</v>
      </c>
      <c r="AB32" s="521">
        <v>610</v>
      </c>
      <c r="AC32" s="521">
        <v>310</v>
      </c>
      <c r="AD32" s="521">
        <v>2</v>
      </c>
      <c r="AE32" s="521">
        <v>2</v>
      </c>
      <c r="AF32" s="521">
        <v>1</v>
      </c>
      <c r="AG32" s="521">
        <v>610</v>
      </c>
      <c r="AH32" s="521">
        <v>610</v>
      </c>
      <c r="AI32" s="521">
        <v>310</v>
      </c>
      <c r="AJ32" s="521">
        <f t="shared" si="6"/>
        <v>6120</v>
      </c>
      <c r="AK32" s="683">
        <f t="shared" si="7"/>
        <v>3605</v>
      </c>
      <c r="AL32" s="521"/>
      <c r="AM32" s="521">
        <v>2515</v>
      </c>
      <c r="AN32" s="521"/>
      <c r="AO32" s="521"/>
      <c r="AP32" s="1117"/>
      <c r="AQ32" s="1111"/>
      <c r="AR32" s="1117"/>
    </row>
    <row r="33" spans="1:46" ht="44.25" customHeight="1">
      <c r="A33" s="1099"/>
      <c r="B33" s="1099"/>
      <c r="C33" s="1099"/>
      <c r="D33" s="1102"/>
      <c r="E33" s="783">
        <f t="shared" si="5"/>
        <v>20</v>
      </c>
      <c r="F33" s="639" t="s">
        <v>1938</v>
      </c>
      <c r="G33" s="1102"/>
      <c r="H33" s="1102"/>
      <c r="I33" s="1121"/>
      <c r="J33" s="1106"/>
      <c r="K33" s="1106"/>
      <c r="L33" s="521">
        <v>2</v>
      </c>
      <c r="M33" s="521">
        <v>2</v>
      </c>
      <c r="N33" s="521">
        <v>1</v>
      </c>
      <c r="O33" s="521">
        <v>610</v>
      </c>
      <c r="P33" s="521">
        <v>610</v>
      </c>
      <c r="Q33" s="521">
        <v>310</v>
      </c>
      <c r="R33" s="521">
        <v>2</v>
      </c>
      <c r="S33" s="521">
        <v>2</v>
      </c>
      <c r="T33" s="521">
        <v>1</v>
      </c>
      <c r="U33" s="521">
        <v>610</v>
      </c>
      <c r="V33" s="521">
        <v>610</v>
      </c>
      <c r="W33" s="521">
        <v>310</v>
      </c>
      <c r="X33" s="521">
        <v>2</v>
      </c>
      <c r="Y33" s="521">
        <v>2</v>
      </c>
      <c r="Z33" s="521">
        <v>1</v>
      </c>
      <c r="AA33" s="521">
        <v>610</v>
      </c>
      <c r="AB33" s="521">
        <v>610</v>
      </c>
      <c r="AC33" s="521">
        <v>310</v>
      </c>
      <c r="AD33" s="521">
        <v>2</v>
      </c>
      <c r="AE33" s="521">
        <v>2</v>
      </c>
      <c r="AF33" s="521">
        <v>1</v>
      </c>
      <c r="AG33" s="521">
        <v>610</v>
      </c>
      <c r="AH33" s="521">
        <v>610</v>
      </c>
      <c r="AI33" s="521">
        <v>310</v>
      </c>
      <c r="AJ33" s="521">
        <f t="shared" si="6"/>
        <v>6120</v>
      </c>
      <c r="AK33" s="683">
        <f t="shared" si="7"/>
        <v>3605</v>
      </c>
      <c r="AL33" s="521"/>
      <c r="AM33" s="521">
        <v>2515</v>
      </c>
      <c r="AN33" s="521"/>
      <c r="AO33" s="521"/>
      <c r="AP33" s="1117"/>
      <c r="AQ33" s="1104"/>
      <c r="AR33" s="1117"/>
    </row>
    <row r="34" spans="1:46" ht="44.25" customHeight="1">
      <c r="A34" s="886" t="s">
        <v>44</v>
      </c>
      <c r="B34" s="885" t="s">
        <v>45</v>
      </c>
      <c r="C34" s="885" t="s">
        <v>1939</v>
      </c>
      <c r="D34" s="1100" t="s">
        <v>1940</v>
      </c>
      <c r="E34" s="783">
        <f t="shared" si="5"/>
        <v>4</v>
      </c>
      <c r="F34" s="639" t="s">
        <v>1912</v>
      </c>
      <c r="G34" s="1100" t="s">
        <v>1941</v>
      </c>
      <c r="H34" s="1100" t="s">
        <v>1914</v>
      </c>
      <c r="I34" s="1119">
        <f>(AJ34+AJ35+AJ36)/AJ29*100</f>
        <v>7.6983071651408999</v>
      </c>
      <c r="J34" s="1105"/>
      <c r="K34" s="1105" t="s">
        <v>1904</v>
      </c>
      <c r="L34" s="521"/>
      <c r="M34" s="521"/>
      <c r="N34" s="521"/>
      <c r="O34" s="521"/>
      <c r="P34" s="521"/>
      <c r="Q34" s="521"/>
      <c r="R34" s="521"/>
      <c r="S34" s="521"/>
      <c r="T34" s="521">
        <v>1</v>
      </c>
      <c r="U34" s="521"/>
      <c r="V34" s="521"/>
      <c r="W34" s="521">
        <v>3750</v>
      </c>
      <c r="X34" s="521">
        <v>1</v>
      </c>
      <c r="Y34" s="521"/>
      <c r="Z34" s="521">
        <v>1</v>
      </c>
      <c r="AA34" s="521">
        <v>3750</v>
      </c>
      <c r="AB34" s="521"/>
      <c r="AC34" s="521">
        <v>3750</v>
      </c>
      <c r="AD34" s="521">
        <v>1</v>
      </c>
      <c r="AE34" s="521"/>
      <c r="AF34" s="521"/>
      <c r="AG34" s="521">
        <v>3750</v>
      </c>
      <c r="AH34" s="521"/>
      <c r="AI34" s="521"/>
      <c r="AJ34" s="521">
        <f t="shared" si="6"/>
        <v>15000</v>
      </c>
      <c r="AK34" s="683">
        <f t="shared" si="7"/>
        <v>10000</v>
      </c>
      <c r="AL34" s="521"/>
      <c r="AM34" s="521">
        <v>5000</v>
      </c>
      <c r="AN34" s="521"/>
      <c r="AO34" s="521"/>
      <c r="AP34" s="1117"/>
      <c r="AQ34" s="1105" t="s">
        <v>1942</v>
      </c>
      <c r="AR34" s="1117"/>
    </row>
    <row r="35" spans="1:46" ht="44.25" customHeight="1">
      <c r="A35" s="886"/>
      <c r="B35" s="886"/>
      <c r="C35" s="886"/>
      <c r="D35" s="1101"/>
      <c r="E35" s="783">
        <f t="shared" si="5"/>
        <v>48</v>
      </c>
      <c r="F35" s="639" t="s">
        <v>1916</v>
      </c>
      <c r="G35" s="1101"/>
      <c r="H35" s="1101"/>
      <c r="I35" s="1120"/>
      <c r="J35" s="1115"/>
      <c r="K35" s="1115"/>
      <c r="L35" s="521"/>
      <c r="M35" s="521"/>
      <c r="N35" s="521"/>
      <c r="O35" s="521"/>
      <c r="P35" s="521"/>
      <c r="Q35" s="521"/>
      <c r="R35" s="521"/>
      <c r="S35" s="521"/>
      <c r="T35" s="521">
        <v>12</v>
      </c>
      <c r="U35" s="521"/>
      <c r="V35" s="521"/>
      <c r="W35" s="521">
        <v>9040</v>
      </c>
      <c r="X35" s="521">
        <v>12</v>
      </c>
      <c r="Y35" s="521"/>
      <c r="Z35" s="521">
        <v>12</v>
      </c>
      <c r="AA35" s="521">
        <v>9040</v>
      </c>
      <c r="AB35" s="521"/>
      <c r="AC35" s="521">
        <v>9045</v>
      </c>
      <c r="AD35" s="521">
        <v>12</v>
      </c>
      <c r="AE35" s="521"/>
      <c r="AF35" s="521"/>
      <c r="AG35" s="521">
        <v>9045</v>
      </c>
      <c r="AH35" s="521"/>
      <c r="AI35" s="521"/>
      <c r="AJ35" s="521">
        <f t="shared" si="6"/>
        <v>36170</v>
      </c>
      <c r="AK35" s="683">
        <f t="shared" si="7"/>
        <v>19920</v>
      </c>
      <c r="AL35" s="521"/>
      <c r="AM35" s="521">
        <v>16250</v>
      </c>
      <c r="AN35" s="521"/>
      <c r="AO35" s="521"/>
      <c r="AP35" s="1117"/>
      <c r="AQ35" s="1115"/>
      <c r="AR35" s="1117"/>
    </row>
    <row r="36" spans="1:46" ht="44.25" customHeight="1">
      <c r="A36" s="1099"/>
      <c r="B36" s="1099"/>
      <c r="C36" s="1099"/>
      <c r="D36" s="1102"/>
      <c r="E36" s="783">
        <f t="shared" si="5"/>
        <v>12</v>
      </c>
      <c r="F36" s="639" t="s">
        <v>1917</v>
      </c>
      <c r="G36" s="1102"/>
      <c r="H36" s="1102"/>
      <c r="I36" s="1121"/>
      <c r="J36" s="1106"/>
      <c r="K36" s="1106"/>
      <c r="L36" s="521"/>
      <c r="M36" s="521"/>
      <c r="N36" s="521"/>
      <c r="O36" s="521"/>
      <c r="P36" s="521"/>
      <c r="Q36" s="521"/>
      <c r="R36" s="521"/>
      <c r="S36" s="521"/>
      <c r="T36" s="521">
        <v>3</v>
      </c>
      <c r="U36" s="521"/>
      <c r="V36" s="521"/>
      <c r="W36" s="521">
        <v>2260</v>
      </c>
      <c r="X36" s="521">
        <v>3</v>
      </c>
      <c r="Y36" s="521"/>
      <c r="Z36" s="521">
        <v>3</v>
      </c>
      <c r="AA36" s="521">
        <v>2260</v>
      </c>
      <c r="AB36" s="521"/>
      <c r="AC36" s="521">
        <v>2260</v>
      </c>
      <c r="AD36" s="521">
        <v>3</v>
      </c>
      <c r="AE36" s="628"/>
      <c r="AF36" s="521"/>
      <c r="AG36" s="521">
        <v>2260</v>
      </c>
      <c r="AH36" s="628"/>
      <c r="AI36" s="521"/>
      <c r="AJ36" s="521">
        <f t="shared" si="6"/>
        <v>9040</v>
      </c>
      <c r="AK36" s="683">
        <f t="shared" si="7"/>
        <v>4240</v>
      </c>
      <c r="AL36" s="521"/>
      <c r="AM36" s="521">
        <v>4800</v>
      </c>
      <c r="AN36" s="521"/>
      <c r="AO36" s="521"/>
      <c r="AP36" s="1117"/>
      <c r="AQ36" s="1106"/>
      <c r="AR36" s="1117"/>
    </row>
    <row r="37" spans="1:46" ht="96" customHeight="1">
      <c r="A37" s="781" t="s">
        <v>44</v>
      </c>
      <c r="B37" s="781" t="s">
        <v>45</v>
      </c>
      <c r="C37" s="781" t="s">
        <v>1943</v>
      </c>
      <c r="D37" s="638" t="s">
        <v>1944</v>
      </c>
      <c r="E37" s="783">
        <f t="shared" si="5"/>
        <v>12</v>
      </c>
      <c r="F37" s="639" t="s">
        <v>231</v>
      </c>
      <c r="G37" s="638" t="s">
        <v>1945</v>
      </c>
      <c r="H37" s="638" t="s">
        <v>1946</v>
      </c>
      <c r="I37" s="802">
        <f>AJ37/AJ29*100</f>
        <v>65.47652534137984</v>
      </c>
      <c r="J37" s="458"/>
      <c r="K37" s="458">
        <v>25</v>
      </c>
      <c r="L37" s="521"/>
      <c r="M37" s="521"/>
      <c r="N37" s="521"/>
      <c r="O37" s="521"/>
      <c r="P37" s="521"/>
      <c r="Q37" s="521"/>
      <c r="R37" s="521">
        <v>2</v>
      </c>
      <c r="S37" s="521">
        <v>2</v>
      </c>
      <c r="T37" s="521"/>
      <c r="U37" s="521">
        <v>85350</v>
      </c>
      <c r="V37" s="521">
        <v>85350</v>
      </c>
      <c r="W37" s="521"/>
      <c r="X37" s="521">
        <v>2</v>
      </c>
      <c r="Y37" s="521">
        <v>2</v>
      </c>
      <c r="Z37" s="521">
        <v>2</v>
      </c>
      <c r="AA37" s="521">
        <v>85350</v>
      </c>
      <c r="AB37" s="521">
        <v>85350</v>
      </c>
      <c r="AC37" s="521">
        <v>85350</v>
      </c>
      <c r="AD37" s="521">
        <v>2</v>
      </c>
      <c r="AE37" s="521"/>
      <c r="AF37" s="521"/>
      <c r="AG37" s="521">
        <v>85355</v>
      </c>
      <c r="AH37" s="521"/>
      <c r="AI37" s="521"/>
      <c r="AJ37" s="521">
        <f t="shared" si="6"/>
        <v>512105</v>
      </c>
      <c r="AK37" s="683">
        <f t="shared" si="7"/>
        <v>460000</v>
      </c>
      <c r="AL37" s="521"/>
      <c r="AM37" s="521">
        <v>52105</v>
      </c>
      <c r="AN37" s="521"/>
      <c r="AO37" s="521"/>
      <c r="AP37" s="1117"/>
      <c r="AQ37" s="794" t="s">
        <v>1947</v>
      </c>
      <c r="AR37" s="1117"/>
    </row>
    <row r="38" spans="1:46" ht="84.75" customHeight="1">
      <c r="A38" s="781" t="s">
        <v>44</v>
      </c>
      <c r="B38" s="781" t="s">
        <v>45</v>
      </c>
      <c r="C38" s="781" t="s">
        <v>1948</v>
      </c>
      <c r="D38" s="638" t="s">
        <v>1949</v>
      </c>
      <c r="E38" s="783">
        <f t="shared" si="5"/>
        <v>34</v>
      </c>
      <c r="F38" s="639" t="s">
        <v>1950</v>
      </c>
      <c r="G38" s="638" t="s">
        <v>1951</v>
      </c>
      <c r="H38" s="638" t="s">
        <v>1952</v>
      </c>
      <c r="I38" s="802">
        <f>AJ38/AJ29*100</f>
        <v>11.985373088528615</v>
      </c>
      <c r="J38" s="458"/>
      <c r="K38" s="458">
        <v>15</v>
      </c>
      <c r="L38" s="521"/>
      <c r="M38" s="521"/>
      <c r="N38" s="521">
        <v>4</v>
      </c>
      <c r="O38" s="521"/>
      <c r="P38" s="521"/>
      <c r="Q38" s="521">
        <v>11040</v>
      </c>
      <c r="R38" s="521">
        <v>4</v>
      </c>
      <c r="S38" s="521">
        <v>4</v>
      </c>
      <c r="T38" s="521">
        <v>4</v>
      </c>
      <c r="U38" s="521">
        <v>11040</v>
      </c>
      <c r="V38" s="521">
        <v>11040</v>
      </c>
      <c r="W38" s="521">
        <v>11040</v>
      </c>
      <c r="X38" s="521">
        <v>5</v>
      </c>
      <c r="Y38" s="521">
        <v>3</v>
      </c>
      <c r="Z38" s="521">
        <v>2</v>
      </c>
      <c r="AA38" s="521">
        <v>13755</v>
      </c>
      <c r="AB38" s="521">
        <v>8265</v>
      </c>
      <c r="AC38" s="521">
        <v>5520</v>
      </c>
      <c r="AD38" s="521">
        <v>3</v>
      </c>
      <c r="AE38" s="521">
        <v>4</v>
      </c>
      <c r="AF38" s="521">
        <v>1</v>
      </c>
      <c r="AG38" s="521">
        <v>8265</v>
      </c>
      <c r="AH38" s="521">
        <v>11020</v>
      </c>
      <c r="AI38" s="521">
        <v>2755</v>
      </c>
      <c r="AJ38" s="521">
        <f>SUM(O38+P38+Q38+U38+V38+W38+AA38+AB38+AC38+AG38+AH38+AI38)</f>
        <v>93740</v>
      </c>
      <c r="AK38" s="683">
        <f>SUM(AJ38-AM38)</f>
        <v>46465</v>
      </c>
      <c r="AL38" s="521"/>
      <c r="AM38" s="521">
        <v>47275</v>
      </c>
      <c r="AN38" s="521"/>
      <c r="AO38" s="521"/>
      <c r="AP38" s="1117"/>
      <c r="AQ38" s="794" t="s">
        <v>1861</v>
      </c>
      <c r="AR38" s="1117"/>
    </row>
    <row r="39" spans="1:46" s="523" customFormat="1" ht="42" customHeight="1">
      <c r="A39" s="885" t="s">
        <v>44</v>
      </c>
      <c r="B39" s="885" t="s">
        <v>45</v>
      </c>
      <c r="C39" s="885" t="s">
        <v>1953</v>
      </c>
      <c r="D39" s="1100" t="s">
        <v>1890</v>
      </c>
      <c r="E39" s="783">
        <f t="shared" si="5"/>
        <v>288</v>
      </c>
      <c r="F39" s="639" t="s">
        <v>1954</v>
      </c>
      <c r="G39" s="1100" t="s">
        <v>1955</v>
      </c>
      <c r="H39" s="1100" t="s">
        <v>1956</v>
      </c>
      <c r="I39" s="1119">
        <v>1.5</v>
      </c>
      <c r="J39" s="899"/>
      <c r="K39" s="899">
        <v>10</v>
      </c>
      <c r="L39" s="521">
        <v>20</v>
      </c>
      <c r="M39" s="521">
        <v>20</v>
      </c>
      <c r="N39" s="521">
        <v>19</v>
      </c>
      <c r="O39" s="521">
        <v>600</v>
      </c>
      <c r="P39" s="521">
        <v>600</v>
      </c>
      <c r="Q39" s="521">
        <v>570</v>
      </c>
      <c r="R39" s="521">
        <v>20</v>
      </c>
      <c r="S39" s="521">
        <v>20</v>
      </c>
      <c r="T39" s="521">
        <v>31</v>
      </c>
      <c r="U39" s="521">
        <v>600</v>
      </c>
      <c r="V39" s="521">
        <v>600</v>
      </c>
      <c r="W39" s="521">
        <v>930</v>
      </c>
      <c r="X39" s="521">
        <v>33</v>
      </c>
      <c r="Y39" s="521">
        <v>21</v>
      </c>
      <c r="Z39" s="521">
        <v>32</v>
      </c>
      <c r="AA39" s="521">
        <v>990</v>
      </c>
      <c r="AB39" s="521">
        <v>630</v>
      </c>
      <c r="AC39" s="521">
        <v>960</v>
      </c>
      <c r="AD39" s="521">
        <v>33</v>
      </c>
      <c r="AE39" s="521">
        <v>21</v>
      </c>
      <c r="AF39" s="521">
        <v>18</v>
      </c>
      <c r="AG39" s="521">
        <v>990</v>
      </c>
      <c r="AH39" s="521">
        <v>630</v>
      </c>
      <c r="AI39" s="521">
        <v>540</v>
      </c>
      <c r="AJ39" s="521">
        <f>SUM(O39+P39+Q39+U39+V39+W39+AA39+AB39+AC39+AG39+AH39+AI39)</f>
        <v>8640</v>
      </c>
      <c r="AK39" s="683">
        <f t="shared" si="7"/>
        <v>5170</v>
      </c>
      <c r="AL39" s="521"/>
      <c r="AM39" s="683">
        <v>3470</v>
      </c>
      <c r="AN39" s="521"/>
      <c r="AO39" s="521"/>
      <c r="AP39" s="1117"/>
      <c r="AQ39" s="1103" t="s">
        <v>1915</v>
      </c>
      <c r="AR39" s="1117"/>
      <c r="AS39" s="622"/>
    </row>
    <row r="40" spans="1:46" s="523" customFormat="1" ht="42" customHeight="1">
      <c r="A40" s="1099"/>
      <c r="B40" s="1099"/>
      <c r="C40" s="1099"/>
      <c r="D40" s="1102"/>
      <c r="E40" s="783">
        <f t="shared" si="5"/>
        <v>112</v>
      </c>
      <c r="F40" s="639" t="s">
        <v>1957</v>
      </c>
      <c r="G40" s="1102"/>
      <c r="H40" s="1102"/>
      <c r="I40" s="1121"/>
      <c r="J40" s="900"/>
      <c r="K40" s="900"/>
      <c r="L40" s="521">
        <v>8</v>
      </c>
      <c r="M40" s="521">
        <v>8</v>
      </c>
      <c r="N40" s="521">
        <v>9</v>
      </c>
      <c r="O40" s="521">
        <v>240</v>
      </c>
      <c r="P40" s="521">
        <v>240</v>
      </c>
      <c r="Q40" s="521">
        <v>270</v>
      </c>
      <c r="R40" s="521">
        <v>8</v>
      </c>
      <c r="S40" s="521">
        <v>8</v>
      </c>
      <c r="T40" s="521">
        <v>12</v>
      </c>
      <c r="U40" s="521">
        <v>240</v>
      </c>
      <c r="V40" s="521">
        <v>240</v>
      </c>
      <c r="W40" s="521">
        <v>360</v>
      </c>
      <c r="X40" s="521">
        <v>11</v>
      </c>
      <c r="Y40" s="521">
        <v>8</v>
      </c>
      <c r="Z40" s="521">
        <v>12</v>
      </c>
      <c r="AA40" s="521">
        <v>330</v>
      </c>
      <c r="AB40" s="521">
        <v>240</v>
      </c>
      <c r="AC40" s="521">
        <v>360</v>
      </c>
      <c r="AD40" s="521">
        <v>11</v>
      </c>
      <c r="AE40" s="521">
        <v>8</v>
      </c>
      <c r="AF40" s="521">
        <v>9</v>
      </c>
      <c r="AG40" s="521">
        <v>330</v>
      </c>
      <c r="AH40" s="521">
        <v>240</v>
      </c>
      <c r="AI40" s="521">
        <v>270</v>
      </c>
      <c r="AJ40" s="521">
        <f>SUM(O40+P40+Q40+U40+V40+W40+AA40+AB40+AC40+AG40+AH40+AI40)</f>
        <v>3360</v>
      </c>
      <c r="AK40" s="683">
        <f t="shared" si="7"/>
        <v>2000</v>
      </c>
      <c r="AL40" s="521"/>
      <c r="AM40" s="796">
        <v>1360</v>
      </c>
      <c r="AN40" s="521"/>
      <c r="AO40" s="521"/>
      <c r="AP40" s="1118"/>
      <c r="AQ40" s="1104"/>
      <c r="AR40" s="1118"/>
      <c r="AS40" s="622"/>
    </row>
    <row r="41" spans="1:46" s="523" customFormat="1" ht="119.25" customHeight="1">
      <c r="A41" s="580" t="s">
        <v>44</v>
      </c>
      <c r="B41" s="580" t="s">
        <v>1002</v>
      </c>
      <c r="C41" s="580" t="s">
        <v>1958</v>
      </c>
      <c r="D41" s="649" t="s">
        <v>1959</v>
      </c>
      <c r="E41" s="633"/>
      <c r="F41" s="580"/>
      <c r="G41" s="649"/>
      <c r="H41" s="649"/>
      <c r="I41" s="805">
        <f>AJ41/AJ71*100</f>
        <v>4.0910805319317198</v>
      </c>
      <c r="J41" s="580" t="s">
        <v>1960</v>
      </c>
      <c r="K41" s="580" t="s">
        <v>1898</v>
      </c>
      <c r="L41" s="649"/>
      <c r="M41" s="649"/>
      <c r="N41" s="649"/>
      <c r="O41" s="505"/>
      <c r="P41" s="505"/>
      <c r="Q41" s="505">
        <f>SUM(Q42:Q43)</f>
        <v>13450</v>
      </c>
      <c r="R41" s="649"/>
      <c r="S41" s="649"/>
      <c r="T41" s="649"/>
      <c r="U41" s="505"/>
      <c r="V41" s="505">
        <f>SUM(V42:V43)</f>
        <v>13450</v>
      </c>
      <c r="W41" s="505">
        <f>SUM(W42:W43)</f>
        <v>40350</v>
      </c>
      <c r="X41" s="505"/>
      <c r="Y41" s="505"/>
      <c r="Z41" s="505"/>
      <c r="AA41" s="505"/>
      <c r="AB41" s="505">
        <f>SUM(AB42:AB43)</f>
        <v>13450</v>
      </c>
      <c r="AC41" s="505">
        <f>SUM(AC42:AC43)</f>
        <v>13450</v>
      </c>
      <c r="AD41" s="505"/>
      <c r="AE41" s="505"/>
      <c r="AF41" s="505"/>
      <c r="AG41" s="505">
        <f>SUM(AG42:AG43)</f>
        <v>13450</v>
      </c>
      <c r="AH41" s="505"/>
      <c r="AI41" s="505"/>
      <c r="AJ41" s="505">
        <f>SUM(AJ42:AJ43)</f>
        <v>107600</v>
      </c>
      <c r="AK41" s="505">
        <f>SUM(AK42:AK43)</f>
        <v>64430</v>
      </c>
      <c r="AL41" s="505"/>
      <c r="AM41" s="505">
        <f>SUM(AM42:AM43)</f>
        <v>43170</v>
      </c>
      <c r="AN41" s="649"/>
      <c r="AO41" s="505"/>
      <c r="AP41" s="631"/>
      <c r="AQ41" s="649"/>
      <c r="AR41" s="649"/>
      <c r="AS41" s="622">
        <f>SUM(O41+P41+Q41+U41+V41+W41+AA41+AB41+AC41+AG41+AH41+AI41)</f>
        <v>107600</v>
      </c>
      <c r="AT41" s="623"/>
    </row>
    <row r="42" spans="1:46" s="523" customFormat="1" ht="119.25" customHeight="1">
      <c r="A42" s="775" t="s">
        <v>44</v>
      </c>
      <c r="B42" s="775" t="s">
        <v>1002</v>
      </c>
      <c r="C42" s="775" t="s">
        <v>1961</v>
      </c>
      <c r="D42" s="777" t="s">
        <v>1962</v>
      </c>
      <c r="E42" s="783">
        <f t="shared" si="5"/>
        <v>6</v>
      </c>
      <c r="F42" s="641" t="s">
        <v>1963</v>
      </c>
      <c r="G42" s="777" t="s">
        <v>1964</v>
      </c>
      <c r="H42" s="777" t="s">
        <v>1965</v>
      </c>
      <c r="I42" s="783">
        <f>AJ42/AJ41*100</f>
        <v>75</v>
      </c>
      <c r="J42" s="783"/>
      <c r="K42" s="783">
        <v>50</v>
      </c>
      <c r="L42" s="642"/>
      <c r="M42" s="642"/>
      <c r="N42" s="642">
        <v>1</v>
      </c>
      <c r="O42" s="642"/>
      <c r="P42" s="642"/>
      <c r="Q42" s="642">
        <v>13450</v>
      </c>
      <c r="R42" s="642"/>
      <c r="S42" s="642">
        <v>1</v>
      </c>
      <c r="T42" s="642">
        <v>1</v>
      </c>
      <c r="U42" s="642"/>
      <c r="V42" s="642">
        <v>13450</v>
      </c>
      <c r="W42" s="642">
        <v>13450</v>
      </c>
      <c r="X42" s="629"/>
      <c r="Y42" s="642">
        <v>1</v>
      </c>
      <c r="Z42" s="642">
        <v>1</v>
      </c>
      <c r="AA42" s="642"/>
      <c r="AB42" s="642">
        <v>13450</v>
      </c>
      <c r="AC42" s="642">
        <v>13450</v>
      </c>
      <c r="AD42" s="642">
        <v>1</v>
      </c>
      <c r="AE42" s="642"/>
      <c r="AF42" s="642"/>
      <c r="AG42" s="642">
        <v>13450</v>
      </c>
      <c r="AH42" s="642"/>
      <c r="AI42" s="642"/>
      <c r="AJ42" s="521">
        <f>SUM(O42+P42+Q42+U42+V42+W42+AA42+AB42+AC42+AG42+AH42+AI42)</f>
        <v>80700</v>
      </c>
      <c r="AK42" s="521">
        <f>SUM(AJ42-AM42)</f>
        <v>48320</v>
      </c>
      <c r="AL42" s="521"/>
      <c r="AM42" s="521">
        <v>32380</v>
      </c>
      <c r="AN42" s="642"/>
      <c r="AO42" s="642"/>
      <c r="AP42" s="777" t="s">
        <v>1966</v>
      </c>
      <c r="AQ42" s="778" t="s">
        <v>1861</v>
      </c>
      <c r="AR42" s="1103" t="s">
        <v>1967</v>
      </c>
    </row>
    <row r="43" spans="1:46" s="523" customFormat="1" ht="119.25" customHeight="1">
      <c r="A43" s="775" t="s">
        <v>44</v>
      </c>
      <c r="B43" s="775" t="s">
        <v>1002</v>
      </c>
      <c r="C43" s="775" t="s">
        <v>1968</v>
      </c>
      <c r="D43" s="777" t="s">
        <v>1969</v>
      </c>
      <c r="E43" s="783">
        <f t="shared" si="5"/>
        <v>1</v>
      </c>
      <c r="F43" s="641" t="s">
        <v>1963</v>
      </c>
      <c r="G43" s="777" t="s">
        <v>1970</v>
      </c>
      <c r="H43" s="777" t="s">
        <v>1965</v>
      </c>
      <c r="I43" s="783">
        <v>25</v>
      </c>
      <c r="J43" s="783"/>
      <c r="K43" s="783">
        <v>50</v>
      </c>
      <c r="L43" s="642"/>
      <c r="M43" s="642"/>
      <c r="N43" s="642"/>
      <c r="O43" s="642"/>
      <c r="P43" s="642"/>
      <c r="Q43" s="642"/>
      <c r="R43" s="642"/>
      <c r="S43" s="642"/>
      <c r="T43" s="642">
        <v>1</v>
      </c>
      <c r="U43" s="642"/>
      <c r="V43" s="642"/>
      <c r="W43" s="642">
        <v>26900</v>
      </c>
      <c r="X43" s="630"/>
      <c r="Y43" s="642"/>
      <c r="Z43" s="642"/>
      <c r="AA43" s="642"/>
      <c r="AB43" s="642"/>
      <c r="AC43" s="642"/>
      <c r="AD43" s="642"/>
      <c r="AE43" s="642"/>
      <c r="AF43" s="642"/>
      <c r="AG43" s="642"/>
      <c r="AH43" s="642"/>
      <c r="AI43" s="642"/>
      <c r="AJ43" s="521">
        <f>SUM(O43+P43+Q43+U43+V43+W43+AA43+AB43+AC43+AG43+AH43+AI43)</f>
        <v>26900</v>
      </c>
      <c r="AK43" s="521">
        <f>SUM(AJ43-AM43)</f>
        <v>16110</v>
      </c>
      <c r="AL43" s="642"/>
      <c r="AM43" s="642">
        <v>10790</v>
      </c>
      <c r="AN43" s="642"/>
      <c r="AO43" s="642"/>
      <c r="AP43" s="777" t="s">
        <v>1966</v>
      </c>
      <c r="AQ43" s="806" t="s">
        <v>1971</v>
      </c>
      <c r="AR43" s="1104"/>
    </row>
    <row r="44" spans="1:46" s="523" customFormat="1" ht="31.5">
      <c r="A44" s="644" t="s">
        <v>44</v>
      </c>
      <c r="B44" s="644" t="s">
        <v>480</v>
      </c>
      <c r="C44" s="644" t="s">
        <v>1972</v>
      </c>
      <c r="D44" s="631" t="s">
        <v>1973</v>
      </c>
      <c r="E44" s="632"/>
      <c r="F44" s="633"/>
      <c r="G44" s="631"/>
      <c r="H44" s="631"/>
      <c r="I44" s="634">
        <v>11.9</v>
      </c>
      <c r="J44" s="632">
        <v>10</v>
      </c>
      <c r="K44" s="632">
        <v>100</v>
      </c>
      <c r="L44" s="635"/>
      <c r="M44" s="635"/>
      <c r="N44" s="635"/>
      <c r="O44" s="635">
        <f>SUM(O45:O49)</f>
        <v>7895</v>
      </c>
      <c r="P44" s="635">
        <f>SUM(P45:P49)</f>
        <v>9590</v>
      </c>
      <c r="Q44" s="635">
        <f>SUM(Q45:Q49)</f>
        <v>9590</v>
      </c>
      <c r="R44" s="635"/>
      <c r="S44" s="635"/>
      <c r="T44" s="635"/>
      <c r="U44" s="635">
        <f>SUM(U45:U49)</f>
        <v>22895</v>
      </c>
      <c r="V44" s="635">
        <f>SUM(V45:V49)</f>
        <v>24590</v>
      </c>
      <c r="W44" s="635">
        <f>SUM(W45:W49)</f>
        <v>29590</v>
      </c>
      <c r="X44" s="636"/>
      <c r="Y44" s="635"/>
      <c r="Z44" s="635"/>
      <c r="AA44" s="635">
        <f>SUM(AA45:AA49)</f>
        <v>58465</v>
      </c>
      <c r="AB44" s="635">
        <f>SUM(AB45:AB49)</f>
        <v>59590</v>
      </c>
      <c r="AC44" s="635">
        <f>SUM(AC45:AC49)</f>
        <v>59590</v>
      </c>
      <c r="AD44" s="635"/>
      <c r="AE44" s="635"/>
      <c r="AF44" s="635"/>
      <c r="AG44" s="635">
        <f>SUM(AG45:AG49)</f>
        <v>9585</v>
      </c>
      <c r="AH44" s="635">
        <f>SUM(AH45:AH49)</f>
        <v>10710</v>
      </c>
      <c r="AI44" s="635">
        <f>SUM(AI45:AI49)</f>
        <v>10705</v>
      </c>
      <c r="AJ44" s="635">
        <f>SUM(AJ45:AJ49)</f>
        <v>312795</v>
      </c>
      <c r="AK44" s="635">
        <f>SUM(AK45:AK49)</f>
        <v>281995</v>
      </c>
      <c r="AL44" s="635"/>
      <c r="AM44" s="635">
        <f>SUM(AM45:AM49)</f>
        <v>30800</v>
      </c>
      <c r="AN44" s="635"/>
      <c r="AO44" s="635"/>
      <c r="AP44" s="631"/>
      <c r="AQ44" s="633"/>
      <c r="AR44" s="637"/>
      <c r="AS44" s="622">
        <f>SUM(O44+P44+Q44+U44+V44+W44+AA44+AB44+AC44+AG44+AH44+AI44)</f>
        <v>312795</v>
      </c>
    </row>
    <row r="45" spans="1:46" s="523" customFormat="1" ht="34.5" customHeight="1">
      <c r="A45" s="885" t="s">
        <v>44</v>
      </c>
      <c r="B45" s="885" t="s">
        <v>45</v>
      </c>
      <c r="C45" s="885" t="s">
        <v>1974</v>
      </c>
      <c r="D45" s="1100" t="s">
        <v>1975</v>
      </c>
      <c r="E45" s="640">
        <f>SUM(L45+M45+N45+R45+S45+T45+X45+Y45+Z45+AD45+AE45+AF45)</f>
        <v>120</v>
      </c>
      <c r="F45" s="639" t="s">
        <v>1916</v>
      </c>
      <c r="G45" s="1100" t="s">
        <v>1976</v>
      </c>
      <c r="H45" s="1100" t="s">
        <v>1977</v>
      </c>
      <c r="I45" s="1112">
        <v>36.1</v>
      </c>
      <c r="J45" s="807"/>
      <c r="K45" s="1105" t="s">
        <v>1978</v>
      </c>
      <c r="L45" s="521">
        <v>10</v>
      </c>
      <c r="M45" s="521">
        <v>10</v>
      </c>
      <c r="N45" s="521">
        <v>10</v>
      </c>
      <c r="O45" s="521">
        <v>5640</v>
      </c>
      <c r="P45" s="521">
        <v>5640</v>
      </c>
      <c r="Q45" s="521">
        <v>5640</v>
      </c>
      <c r="R45" s="521">
        <v>10</v>
      </c>
      <c r="S45" s="521">
        <v>10</v>
      </c>
      <c r="T45" s="521">
        <v>10</v>
      </c>
      <c r="U45" s="521">
        <v>5640</v>
      </c>
      <c r="V45" s="521">
        <v>5640</v>
      </c>
      <c r="W45" s="521">
        <v>5640</v>
      </c>
      <c r="X45" s="521">
        <v>10</v>
      </c>
      <c r="Y45" s="521">
        <v>10</v>
      </c>
      <c r="Z45" s="521">
        <v>10</v>
      </c>
      <c r="AA45" s="521">
        <v>5640</v>
      </c>
      <c r="AB45" s="521">
        <v>5640</v>
      </c>
      <c r="AC45" s="521">
        <v>5640</v>
      </c>
      <c r="AD45" s="521">
        <v>10</v>
      </c>
      <c r="AE45" s="521">
        <v>10</v>
      </c>
      <c r="AF45" s="521">
        <v>10</v>
      </c>
      <c r="AG45" s="521">
        <v>5640</v>
      </c>
      <c r="AH45" s="521">
        <v>5640</v>
      </c>
      <c r="AI45" s="521">
        <v>5635</v>
      </c>
      <c r="AJ45" s="521">
        <f>SUM(O45+P45+Q45+U45+V45+W45+AA45+AB45+AC45+AG45+AH45+AI45)</f>
        <v>67675</v>
      </c>
      <c r="AK45" s="683">
        <f>SUM(AJ45-AM45)</f>
        <v>47750</v>
      </c>
      <c r="AL45" s="683"/>
      <c r="AM45" s="683">
        <v>19925</v>
      </c>
      <c r="AN45" s="521"/>
      <c r="AO45" s="801"/>
      <c r="AP45" s="1103" t="s">
        <v>468</v>
      </c>
      <c r="AQ45" s="1103" t="s">
        <v>1906</v>
      </c>
      <c r="AR45" s="1103" t="s">
        <v>1979</v>
      </c>
      <c r="AS45" s="622"/>
    </row>
    <row r="46" spans="1:46" s="523" customFormat="1" ht="34.5" customHeight="1">
      <c r="A46" s="886"/>
      <c r="B46" s="886"/>
      <c r="C46" s="886"/>
      <c r="D46" s="1101"/>
      <c r="E46" s="640">
        <f>SUM(L46+M46+N46+R46+S46+T46+X46+Y46+Z46+AD46+AE46+AF46)</f>
        <v>50</v>
      </c>
      <c r="F46" s="639" t="s">
        <v>1917</v>
      </c>
      <c r="G46" s="1101"/>
      <c r="H46" s="1101"/>
      <c r="I46" s="1113"/>
      <c r="J46" s="808"/>
      <c r="K46" s="1115"/>
      <c r="L46" s="521">
        <v>2</v>
      </c>
      <c r="M46" s="521">
        <v>5</v>
      </c>
      <c r="N46" s="521">
        <v>5</v>
      </c>
      <c r="O46" s="521">
        <v>1125</v>
      </c>
      <c r="P46" s="521">
        <v>2820</v>
      </c>
      <c r="Q46" s="521">
        <v>2820</v>
      </c>
      <c r="R46" s="521">
        <v>2</v>
      </c>
      <c r="S46" s="521">
        <v>5</v>
      </c>
      <c r="T46" s="521">
        <v>5</v>
      </c>
      <c r="U46" s="521">
        <v>1125</v>
      </c>
      <c r="V46" s="521">
        <v>2820</v>
      </c>
      <c r="W46" s="521">
        <v>2820</v>
      </c>
      <c r="X46" s="521">
        <v>3</v>
      </c>
      <c r="Y46" s="521">
        <v>5</v>
      </c>
      <c r="Z46" s="521">
        <v>5</v>
      </c>
      <c r="AA46" s="521">
        <v>1695</v>
      </c>
      <c r="AB46" s="521">
        <v>2820</v>
      </c>
      <c r="AC46" s="521">
        <v>2820</v>
      </c>
      <c r="AD46" s="521">
        <v>3</v>
      </c>
      <c r="AE46" s="521">
        <v>5</v>
      </c>
      <c r="AF46" s="521">
        <v>5</v>
      </c>
      <c r="AG46" s="521">
        <v>1695</v>
      </c>
      <c r="AH46" s="521">
        <v>2820</v>
      </c>
      <c r="AI46" s="521">
        <v>2820</v>
      </c>
      <c r="AJ46" s="521">
        <f>SUM(O46+P46+Q46+U46+V46+W46+AA46+AB46+AC46+AG46+AH46+AI46)</f>
        <v>28200</v>
      </c>
      <c r="AK46" s="683">
        <f>SUM(AJ46-AM46)</f>
        <v>21875</v>
      </c>
      <c r="AL46" s="683"/>
      <c r="AM46" s="683">
        <v>6325</v>
      </c>
      <c r="AN46" s="521"/>
      <c r="AO46" s="801"/>
      <c r="AP46" s="1111"/>
      <c r="AQ46" s="1111"/>
      <c r="AR46" s="1111"/>
      <c r="AS46" s="622"/>
    </row>
    <row r="47" spans="1:46" s="523" customFormat="1" ht="34.5" customHeight="1">
      <c r="A47" s="886"/>
      <c r="B47" s="886"/>
      <c r="C47" s="886"/>
      <c r="D47" s="1101"/>
      <c r="E47" s="640">
        <f>SUM(L47+M47+N47+R47+S47+T47+X47+Y47+Z47+AD47+AE47+AF47)</f>
        <v>15</v>
      </c>
      <c r="F47" s="639" t="s">
        <v>1937</v>
      </c>
      <c r="G47" s="1101"/>
      <c r="H47" s="1101"/>
      <c r="I47" s="1113"/>
      <c r="J47" s="808"/>
      <c r="K47" s="1115"/>
      <c r="L47" s="521">
        <v>1</v>
      </c>
      <c r="M47" s="521">
        <v>1</v>
      </c>
      <c r="N47" s="521">
        <v>1</v>
      </c>
      <c r="O47" s="521">
        <v>565</v>
      </c>
      <c r="P47" s="521">
        <v>565</v>
      </c>
      <c r="Q47" s="521">
        <v>565</v>
      </c>
      <c r="R47" s="521">
        <v>1</v>
      </c>
      <c r="S47" s="521">
        <v>1</v>
      </c>
      <c r="T47" s="521">
        <v>1</v>
      </c>
      <c r="U47" s="521">
        <v>565</v>
      </c>
      <c r="V47" s="521">
        <v>565</v>
      </c>
      <c r="W47" s="521">
        <v>565</v>
      </c>
      <c r="X47" s="521">
        <v>1</v>
      </c>
      <c r="Y47" s="521">
        <v>1</v>
      </c>
      <c r="Z47" s="521">
        <v>1</v>
      </c>
      <c r="AA47" s="521">
        <v>565</v>
      </c>
      <c r="AB47" s="521">
        <v>565</v>
      </c>
      <c r="AC47" s="521">
        <v>565</v>
      </c>
      <c r="AD47" s="521">
        <v>2</v>
      </c>
      <c r="AE47" s="521">
        <v>2</v>
      </c>
      <c r="AF47" s="521">
        <v>2</v>
      </c>
      <c r="AG47" s="521">
        <v>1125</v>
      </c>
      <c r="AH47" s="521">
        <v>1125</v>
      </c>
      <c r="AI47" s="521">
        <v>1125</v>
      </c>
      <c r="AJ47" s="521">
        <f>SUM(O47+P47+Q47+U47+V47+W47+AA47+AB47+AC47+AG47+AH47+AI47)</f>
        <v>8460</v>
      </c>
      <c r="AK47" s="683">
        <f>SUM(AJ47-AM47)</f>
        <v>6185</v>
      </c>
      <c r="AL47" s="683"/>
      <c r="AM47" s="683">
        <v>2275</v>
      </c>
      <c r="AN47" s="521"/>
      <c r="AO47" s="801"/>
      <c r="AP47" s="1111"/>
      <c r="AQ47" s="1111"/>
      <c r="AR47" s="1111"/>
      <c r="AS47" s="622"/>
    </row>
    <row r="48" spans="1:46" s="523" customFormat="1" ht="34.5" customHeight="1">
      <c r="A48" s="886"/>
      <c r="B48" s="886"/>
      <c r="C48" s="1099"/>
      <c r="D48" s="1102"/>
      <c r="E48" s="640">
        <f>SUM(L48+M48+N48+R48+S48+T48+X48+Y48+Z48+AD48+AE48+AF48)</f>
        <v>15</v>
      </c>
      <c r="F48" s="639" t="s">
        <v>1938</v>
      </c>
      <c r="G48" s="1102"/>
      <c r="H48" s="1102"/>
      <c r="I48" s="1114"/>
      <c r="J48" s="809"/>
      <c r="K48" s="1106"/>
      <c r="L48" s="521">
        <v>1</v>
      </c>
      <c r="M48" s="521">
        <v>1</v>
      </c>
      <c r="N48" s="521">
        <v>1</v>
      </c>
      <c r="O48" s="521">
        <v>565</v>
      </c>
      <c r="P48" s="521">
        <v>565</v>
      </c>
      <c r="Q48" s="521">
        <v>565</v>
      </c>
      <c r="R48" s="521">
        <v>1</v>
      </c>
      <c r="S48" s="521">
        <v>1</v>
      </c>
      <c r="T48" s="521">
        <v>1</v>
      </c>
      <c r="U48" s="521">
        <v>565</v>
      </c>
      <c r="V48" s="521">
        <v>565</v>
      </c>
      <c r="W48" s="521">
        <v>565</v>
      </c>
      <c r="X48" s="521">
        <v>1</v>
      </c>
      <c r="Y48" s="521">
        <v>1</v>
      </c>
      <c r="Z48" s="521">
        <v>1</v>
      </c>
      <c r="AA48" s="521">
        <v>565</v>
      </c>
      <c r="AB48" s="521">
        <v>565</v>
      </c>
      <c r="AC48" s="521">
        <v>565</v>
      </c>
      <c r="AD48" s="521">
        <v>2</v>
      </c>
      <c r="AE48" s="521">
        <v>2</v>
      </c>
      <c r="AF48" s="521">
        <v>2</v>
      </c>
      <c r="AG48" s="521">
        <v>1125</v>
      </c>
      <c r="AH48" s="521">
        <v>1125</v>
      </c>
      <c r="AI48" s="521">
        <v>1125</v>
      </c>
      <c r="AJ48" s="521">
        <f>SUM(O48+P48+Q48+U48+V48+W48+AA48+AB48+AC48+AG48+AH48+AI48)</f>
        <v>8460</v>
      </c>
      <c r="AK48" s="683">
        <f>SUM(AJ48-AM48)</f>
        <v>6185</v>
      </c>
      <c r="AL48" s="683"/>
      <c r="AM48" s="683">
        <v>2275</v>
      </c>
      <c r="AN48" s="521"/>
      <c r="AO48" s="801"/>
      <c r="AP48" s="1111"/>
      <c r="AQ48" s="1111"/>
      <c r="AR48" s="1111"/>
      <c r="AS48" s="622"/>
    </row>
    <row r="49" spans="1:46" s="523" customFormat="1" ht="69.75" customHeight="1">
      <c r="A49" s="1099"/>
      <c r="B49" s="1099"/>
      <c r="C49" s="775" t="s">
        <v>1980</v>
      </c>
      <c r="D49" s="777" t="s">
        <v>1981</v>
      </c>
      <c r="E49" s="640">
        <f>SUM(L49+M49+N49+R49+S49+T49+X49+Y49+Z49+AD49+AE49+AF49)</f>
        <v>200</v>
      </c>
      <c r="F49" s="639" t="s">
        <v>1982</v>
      </c>
      <c r="G49" s="777" t="s">
        <v>1983</v>
      </c>
      <c r="H49" s="777" t="s">
        <v>1984</v>
      </c>
      <c r="I49" s="810">
        <v>63.9</v>
      </c>
      <c r="J49" s="809"/>
      <c r="K49" s="809" t="s">
        <v>1985</v>
      </c>
      <c r="L49" s="521"/>
      <c r="M49" s="521"/>
      <c r="N49" s="521"/>
      <c r="O49" s="521"/>
      <c r="P49" s="521"/>
      <c r="Q49" s="521"/>
      <c r="R49" s="521">
        <v>15</v>
      </c>
      <c r="S49" s="521">
        <v>15</v>
      </c>
      <c r="T49" s="521">
        <v>20</v>
      </c>
      <c r="U49" s="521">
        <v>15000</v>
      </c>
      <c r="V49" s="521">
        <v>15000</v>
      </c>
      <c r="W49" s="521">
        <v>20000</v>
      </c>
      <c r="X49" s="521">
        <v>50</v>
      </c>
      <c r="Y49" s="521">
        <v>50</v>
      </c>
      <c r="Z49" s="521">
        <v>50</v>
      </c>
      <c r="AA49" s="521">
        <v>50000</v>
      </c>
      <c r="AB49" s="521">
        <v>50000</v>
      </c>
      <c r="AC49" s="521">
        <v>50000</v>
      </c>
      <c r="AD49" s="521"/>
      <c r="AE49" s="521"/>
      <c r="AF49" s="521"/>
      <c r="AG49" s="521"/>
      <c r="AH49" s="521"/>
      <c r="AI49" s="521"/>
      <c r="AJ49" s="521">
        <f>SUM(O49+P49+Q49+U49+V49+W49+AA49+AB49+AC49+AG49+AH49+AI49)</f>
        <v>200000</v>
      </c>
      <c r="AK49" s="683">
        <f>SUM(AJ49-AM49)</f>
        <v>200000</v>
      </c>
      <c r="AL49" s="683"/>
      <c r="AM49" s="683"/>
      <c r="AN49" s="521"/>
      <c r="AO49" s="801"/>
      <c r="AP49" s="1104"/>
      <c r="AQ49" s="1104"/>
      <c r="AR49" s="1104"/>
      <c r="AS49" s="622"/>
    </row>
    <row r="50" spans="1:46" s="523" customFormat="1" ht="119.25" customHeight="1">
      <c r="A50" s="580" t="s">
        <v>44</v>
      </c>
      <c r="B50" s="580" t="s">
        <v>489</v>
      </c>
      <c r="C50" s="580" t="s">
        <v>1986</v>
      </c>
      <c r="D50" s="649" t="s">
        <v>1987</v>
      </c>
      <c r="E50" s="580"/>
      <c r="F50" s="580"/>
      <c r="G50" s="649"/>
      <c r="H50" s="649"/>
      <c r="I50" s="805">
        <f>AJ50/AJ71*100</f>
        <v>12.833103685318346</v>
      </c>
      <c r="J50" s="580" t="s">
        <v>1988</v>
      </c>
      <c r="K50" s="580" t="s">
        <v>1898</v>
      </c>
      <c r="L50" s="649"/>
      <c r="M50" s="649"/>
      <c r="N50" s="649"/>
      <c r="O50" s="505"/>
      <c r="P50" s="505"/>
      <c r="Q50" s="505">
        <f>SUM(Q51:Q54)</f>
        <v>11810</v>
      </c>
      <c r="R50" s="811"/>
      <c r="S50" s="811"/>
      <c r="T50" s="811"/>
      <c r="U50" s="811"/>
      <c r="V50" s="811"/>
      <c r="W50" s="505">
        <f>SUM(W51:W54)</f>
        <v>78435</v>
      </c>
      <c r="X50" s="505"/>
      <c r="Y50" s="505"/>
      <c r="Z50" s="505"/>
      <c r="AA50" s="505"/>
      <c r="AB50" s="505"/>
      <c r="AC50" s="505">
        <f>SUM(AC51:AC54)</f>
        <v>136675</v>
      </c>
      <c r="AD50" s="812"/>
      <c r="AE50" s="812"/>
      <c r="AF50" s="812"/>
      <c r="AG50" s="812"/>
      <c r="AH50" s="812"/>
      <c r="AI50" s="505">
        <f>SUM(AI51:AI54)</f>
        <v>110605</v>
      </c>
      <c r="AJ50" s="505">
        <f>SUM(AJ51:AJ54)</f>
        <v>337525</v>
      </c>
      <c r="AK50" s="505">
        <f>SUM(AK51:AK54)</f>
        <v>242225</v>
      </c>
      <c r="AL50" s="505"/>
      <c r="AM50" s="505">
        <f>SUM(AM51:AM54)</f>
        <v>95300</v>
      </c>
      <c r="AN50" s="811"/>
      <c r="AO50" s="811"/>
      <c r="AP50" s="631"/>
      <c r="AQ50" s="649"/>
      <c r="AR50" s="649"/>
      <c r="AS50" s="622">
        <f>SUM(O50+P50+Q50+U50+V50+W50+AA50+AB50+AC50+AG50+AH50+AI50)</f>
        <v>337525</v>
      </c>
      <c r="AT50" s="623"/>
    </row>
    <row r="51" spans="1:46" s="523" customFormat="1" ht="99.75" customHeight="1">
      <c r="A51" s="781" t="s">
        <v>44</v>
      </c>
      <c r="B51" s="781" t="s">
        <v>489</v>
      </c>
      <c r="C51" s="781" t="s">
        <v>1989</v>
      </c>
      <c r="D51" s="638" t="s">
        <v>1990</v>
      </c>
      <c r="E51" s="458">
        <f t="shared" si="5"/>
        <v>2</v>
      </c>
      <c r="F51" s="639" t="s">
        <v>171</v>
      </c>
      <c r="G51" s="638" t="s">
        <v>1991</v>
      </c>
      <c r="H51" s="638" t="s">
        <v>1992</v>
      </c>
      <c r="I51" s="802">
        <f>AJ51/AJ50*100</f>
        <v>34.508554921857645</v>
      </c>
      <c r="J51" s="458"/>
      <c r="K51" s="458">
        <v>30</v>
      </c>
      <c r="L51" s="521"/>
      <c r="M51" s="521"/>
      <c r="N51" s="521"/>
      <c r="O51" s="521"/>
      <c r="P51" s="521"/>
      <c r="Q51" s="521"/>
      <c r="R51" s="521"/>
      <c r="S51" s="521"/>
      <c r="T51" s="521"/>
      <c r="U51" s="521"/>
      <c r="V51" s="521"/>
      <c r="W51" s="521"/>
      <c r="X51" s="521"/>
      <c r="Y51" s="521"/>
      <c r="Z51" s="521">
        <v>1</v>
      </c>
      <c r="AA51" s="521"/>
      <c r="AB51" s="521"/>
      <c r="AC51" s="521">
        <v>58235</v>
      </c>
      <c r="AD51" s="521"/>
      <c r="AE51" s="521"/>
      <c r="AF51" s="521">
        <v>1</v>
      </c>
      <c r="AG51" s="521"/>
      <c r="AH51" s="521"/>
      <c r="AI51" s="521">
        <v>58240</v>
      </c>
      <c r="AJ51" s="521">
        <f>SUM(O51+P51+Q51+U51+V51+W51+AA51+AB51+AC51+AG51+AH51+AI51)</f>
        <v>116475</v>
      </c>
      <c r="AK51" s="521">
        <f>SUM(AJ51-AM51)</f>
        <v>83785</v>
      </c>
      <c r="AL51" s="521"/>
      <c r="AM51" s="521">
        <v>32690</v>
      </c>
      <c r="AN51" s="521"/>
      <c r="AO51" s="521"/>
      <c r="AP51" s="794" t="s">
        <v>1993</v>
      </c>
      <c r="AQ51" s="794" t="s">
        <v>1994</v>
      </c>
      <c r="AR51" s="1116" t="s">
        <v>1995</v>
      </c>
    </row>
    <row r="52" spans="1:46" s="523" customFormat="1" ht="66" customHeight="1">
      <c r="A52" s="781" t="s">
        <v>44</v>
      </c>
      <c r="B52" s="781" t="s">
        <v>489</v>
      </c>
      <c r="C52" s="781" t="s">
        <v>1996</v>
      </c>
      <c r="D52" s="638" t="s">
        <v>1997</v>
      </c>
      <c r="E52" s="458">
        <f t="shared" si="5"/>
        <v>3</v>
      </c>
      <c r="F52" s="639" t="s">
        <v>171</v>
      </c>
      <c r="G52" s="638" t="s">
        <v>1998</v>
      </c>
      <c r="H52" s="638" t="s">
        <v>1999</v>
      </c>
      <c r="I52" s="802">
        <f>AJ52/AJ50*100</f>
        <v>10.495518850455522</v>
      </c>
      <c r="J52" s="458"/>
      <c r="K52" s="458">
        <v>20</v>
      </c>
      <c r="L52" s="521"/>
      <c r="M52" s="521"/>
      <c r="N52" s="521">
        <v>1</v>
      </c>
      <c r="O52" s="521"/>
      <c r="P52" s="521"/>
      <c r="Q52" s="521">
        <v>11810</v>
      </c>
      <c r="R52" s="521"/>
      <c r="S52" s="521"/>
      <c r="T52" s="521">
        <v>1</v>
      </c>
      <c r="U52" s="521"/>
      <c r="V52" s="521"/>
      <c r="W52" s="521">
        <v>11810</v>
      </c>
      <c r="X52" s="521"/>
      <c r="Y52" s="521"/>
      <c r="Z52" s="521">
        <v>1</v>
      </c>
      <c r="AA52" s="521"/>
      <c r="AB52" s="521"/>
      <c r="AC52" s="521">
        <v>11805</v>
      </c>
      <c r="AD52" s="521"/>
      <c r="AE52" s="521"/>
      <c r="AF52" s="521"/>
      <c r="AG52" s="521"/>
      <c r="AH52" s="521"/>
      <c r="AI52" s="521"/>
      <c r="AJ52" s="521">
        <f>SUM(O52+P52+Q52+U52+V52+W52+AA52+AB52+AC52+AG52+AH52+AI52)</f>
        <v>35425</v>
      </c>
      <c r="AK52" s="521">
        <f>SUM(AJ52-AM52)</f>
        <v>27230</v>
      </c>
      <c r="AL52" s="521"/>
      <c r="AM52" s="521">
        <v>8195</v>
      </c>
      <c r="AN52" s="521"/>
      <c r="AO52" s="521"/>
      <c r="AP52" s="794" t="s">
        <v>1966</v>
      </c>
      <c r="AQ52" s="794" t="s">
        <v>1994</v>
      </c>
      <c r="AR52" s="1117"/>
    </row>
    <row r="53" spans="1:46" s="523" customFormat="1" ht="98.25" customHeight="1">
      <c r="A53" s="781" t="s">
        <v>44</v>
      </c>
      <c r="B53" s="781" t="s">
        <v>489</v>
      </c>
      <c r="C53" s="781" t="s">
        <v>2000</v>
      </c>
      <c r="D53" s="638" t="s">
        <v>2001</v>
      </c>
      <c r="E53" s="458">
        <f t="shared" si="5"/>
        <v>3</v>
      </c>
      <c r="F53" s="639" t="s">
        <v>171</v>
      </c>
      <c r="G53" s="638" t="s">
        <v>2002</v>
      </c>
      <c r="H53" s="638" t="s">
        <v>1992</v>
      </c>
      <c r="I53" s="802">
        <f>AJ53/AJ50*100</f>
        <v>46.54173764906303</v>
      </c>
      <c r="J53" s="458"/>
      <c r="K53" s="458">
        <v>60</v>
      </c>
      <c r="L53" s="521"/>
      <c r="M53" s="521"/>
      <c r="N53" s="521"/>
      <c r="O53" s="521"/>
      <c r="P53" s="521"/>
      <c r="Q53" s="521"/>
      <c r="R53" s="521"/>
      <c r="S53" s="521"/>
      <c r="T53" s="521">
        <v>1</v>
      </c>
      <c r="U53" s="521"/>
      <c r="V53" s="521"/>
      <c r="W53" s="521">
        <v>52360</v>
      </c>
      <c r="X53" s="521"/>
      <c r="Y53" s="521"/>
      <c r="Z53" s="521">
        <v>1</v>
      </c>
      <c r="AA53" s="521"/>
      <c r="AB53" s="521"/>
      <c r="AC53" s="521">
        <v>52365</v>
      </c>
      <c r="AD53" s="521"/>
      <c r="AE53" s="521"/>
      <c r="AF53" s="521">
        <v>1</v>
      </c>
      <c r="AG53" s="521"/>
      <c r="AH53" s="521"/>
      <c r="AI53" s="521">
        <v>52365</v>
      </c>
      <c r="AJ53" s="521">
        <f>SUM(O53+P53+Q53+U53+V53+W53+AA53+AB53+AC53+AG53+AH53+AI53)</f>
        <v>157090</v>
      </c>
      <c r="AK53" s="521">
        <f>SUM(AJ53-AM53)</f>
        <v>108105</v>
      </c>
      <c r="AL53" s="521"/>
      <c r="AM53" s="521">
        <v>48985</v>
      </c>
      <c r="AN53" s="521"/>
      <c r="AO53" s="521"/>
      <c r="AP53" s="809" t="s">
        <v>2003</v>
      </c>
      <c r="AQ53" s="794" t="s">
        <v>2004</v>
      </c>
      <c r="AR53" s="1117"/>
    </row>
    <row r="54" spans="1:46" s="523" customFormat="1" ht="80.25" customHeight="1">
      <c r="A54" s="781" t="s">
        <v>44</v>
      </c>
      <c r="B54" s="781" t="s">
        <v>489</v>
      </c>
      <c r="C54" s="781" t="s">
        <v>2005</v>
      </c>
      <c r="D54" s="777" t="s">
        <v>2006</v>
      </c>
      <c r="E54" s="458">
        <f t="shared" si="5"/>
        <v>2</v>
      </c>
      <c r="F54" s="639" t="s">
        <v>171</v>
      </c>
      <c r="G54" s="777" t="s">
        <v>2007</v>
      </c>
      <c r="H54" s="777" t="s">
        <v>1999</v>
      </c>
      <c r="I54" s="802">
        <f>AJ54/AJ50*100</f>
        <v>8.4541885786238051</v>
      </c>
      <c r="J54" s="783"/>
      <c r="K54" s="783">
        <v>20</v>
      </c>
      <c r="L54" s="642"/>
      <c r="M54" s="642"/>
      <c r="N54" s="642"/>
      <c r="O54" s="642"/>
      <c r="P54" s="642"/>
      <c r="Q54" s="642"/>
      <c r="R54" s="642"/>
      <c r="S54" s="642"/>
      <c r="T54" s="642">
        <v>1</v>
      </c>
      <c r="U54" s="642"/>
      <c r="V54" s="642"/>
      <c r="W54" s="642">
        <v>14265</v>
      </c>
      <c r="X54" s="642"/>
      <c r="Y54" s="642"/>
      <c r="Z54" s="642">
        <v>1</v>
      </c>
      <c r="AA54" s="642"/>
      <c r="AB54" s="642"/>
      <c r="AC54" s="642">
        <v>14270</v>
      </c>
      <c r="AD54" s="642"/>
      <c r="AE54" s="642"/>
      <c r="AF54" s="642"/>
      <c r="AG54" s="642"/>
      <c r="AH54" s="642"/>
      <c r="AI54" s="642"/>
      <c r="AJ54" s="521">
        <f>SUM(O54+P54+Q54+U54+V54+W54+AA54+AB54+AC54+AG54+AH54+AI54)</f>
        <v>28535</v>
      </c>
      <c r="AK54" s="521">
        <f>SUM(AJ54-AM54)</f>
        <v>23105</v>
      </c>
      <c r="AL54" s="642"/>
      <c r="AM54" s="642">
        <v>5430</v>
      </c>
      <c r="AN54" s="642"/>
      <c r="AO54" s="642"/>
      <c r="AP54" s="779" t="s">
        <v>1966</v>
      </c>
      <c r="AQ54" s="794" t="s">
        <v>2004</v>
      </c>
      <c r="AR54" s="1118"/>
      <c r="AS54" s="622"/>
    </row>
    <row r="55" spans="1:46" s="523" customFormat="1" ht="172.5" customHeight="1">
      <c r="A55" s="439" t="s">
        <v>1239</v>
      </c>
      <c r="B55" s="439" t="s">
        <v>2008</v>
      </c>
      <c r="C55" s="439" t="s">
        <v>2009</v>
      </c>
      <c r="D55" s="631" t="s">
        <v>2010</v>
      </c>
      <c r="E55" s="632"/>
      <c r="F55" s="580"/>
      <c r="G55" s="631"/>
      <c r="H55" s="631"/>
      <c r="I55" s="634">
        <f>AJ55/AJ71*100</f>
        <v>0.76631717584650394</v>
      </c>
      <c r="J55" s="632">
        <v>5</v>
      </c>
      <c r="K55" s="632">
        <v>100</v>
      </c>
      <c r="L55" s="635"/>
      <c r="M55" s="635"/>
      <c r="N55" s="635"/>
      <c r="O55" s="635"/>
      <c r="P55" s="635"/>
      <c r="Q55" s="635">
        <f>SUM(Q56:Q57)</f>
        <v>11775</v>
      </c>
      <c r="R55" s="635"/>
      <c r="S55" s="635"/>
      <c r="T55" s="635"/>
      <c r="U55" s="635">
        <f>SUM(U56:U57)</f>
        <v>8380</v>
      </c>
      <c r="V55" s="635"/>
      <c r="W55" s="635"/>
      <c r="X55" s="635"/>
      <c r="Y55" s="635"/>
      <c r="Z55" s="635"/>
      <c r="AA55" s="635"/>
      <c r="AB55" s="635"/>
      <c r="AC55" s="635"/>
      <c r="AD55" s="635"/>
      <c r="AE55" s="635"/>
      <c r="AF55" s="635"/>
      <c r="AG55" s="635"/>
      <c r="AH55" s="635"/>
      <c r="AI55" s="635"/>
      <c r="AJ55" s="635">
        <f>SUM(AJ56:AJ57)</f>
        <v>20155</v>
      </c>
      <c r="AK55" s="635">
        <f>SUM(AK56:AK57)</f>
        <v>16080</v>
      </c>
      <c r="AL55" s="635"/>
      <c r="AM55" s="635">
        <f>SUM(AM56:AM57)</f>
        <v>4075</v>
      </c>
      <c r="AN55" s="635"/>
      <c r="AO55" s="635"/>
      <c r="AP55" s="631"/>
      <c r="AQ55" s="637"/>
      <c r="AR55" s="637"/>
      <c r="AS55" s="622">
        <f>SUM(O55+P55+Q55+U55+V55+W55+AA55+AB55+AC55+AG55+AH55+AI55)</f>
        <v>20155</v>
      </c>
      <c r="AT55" s="623"/>
    </row>
    <row r="56" spans="1:46" s="523" customFormat="1" ht="102" customHeight="1">
      <c r="A56" s="781" t="s">
        <v>1239</v>
      </c>
      <c r="B56" s="781" t="s">
        <v>2008</v>
      </c>
      <c r="C56" s="781" t="s">
        <v>2011</v>
      </c>
      <c r="D56" s="638" t="s">
        <v>2012</v>
      </c>
      <c r="E56" s="640">
        <f>SUM(L56+M56+N56+R56+S56+T56+X56+Y56+Z56+AD56+AE56+AF56)</f>
        <v>2</v>
      </c>
      <c r="F56" s="774" t="s">
        <v>171</v>
      </c>
      <c r="G56" s="638" t="s">
        <v>2013</v>
      </c>
      <c r="H56" s="638" t="s">
        <v>2014</v>
      </c>
      <c r="I56" s="802">
        <f>AJ56/AJ55*100</f>
        <v>58.422227735053333</v>
      </c>
      <c r="J56" s="458"/>
      <c r="K56" s="458">
        <v>50</v>
      </c>
      <c r="L56" s="521"/>
      <c r="M56" s="521"/>
      <c r="N56" s="521">
        <v>2</v>
      </c>
      <c r="O56" s="521"/>
      <c r="P56" s="521"/>
      <c r="Q56" s="521">
        <v>11775</v>
      </c>
      <c r="R56" s="521"/>
      <c r="S56" s="521"/>
      <c r="T56" s="521"/>
      <c r="U56" s="521"/>
      <c r="V56" s="521"/>
      <c r="W56" s="521"/>
      <c r="X56" s="521"/>
      <c r="Y56" s="521"/>
      <c r="Z56" s="521"/>
      <c r="AA56" s="521"/>
      <c r="AB56" s="521"/>
      <c r="AC56" s="521"/>
      <c r="AD56" s="521"/>
      <c r="AE56" s="521"/>
      <c r="AF56" s="521"/>
      <c r="AG56" s="521"/>
      <c r="AH56" s="521"/>
      <c r="AI56" s="521"/>
      <c r="AJ56" s="521">
        <f>SUM(O56+P56+Q56+U56+V56+W56+AA56+AB56+AC56+AG56+AH56+AI56)</f>
        <v>11775</v>
      </c>
      <c r="AK56" s="521">
        <f>SUM(AJ56-AM56)</f>
        <v>9055</v>
      </c>
      <c r="AL56" s="521"/>
      <c r="AM56" s="521">
        <v>2720</v>
      </c>
      <c r="AN56" s="521"/>
      <c r="AO56" s="521"/>
      <c r="AP56" s="1103" t="s">
        <v>2015</v>
      </c>
      <c r="AQ56" s="1103" t="s">
        <v>2016</v>
      </c>
      <c r="AR56" s="1105"/>
    </row>
    <row r="57" spans="1:46" s="523" customFormat="1" ht="119.25" customHeight="1">
      <c r="A57" s="781" t="s">
        <v>1239</v>
      </c>
      <c r="B57" s="781" t="s">
        <v>2008</v>
      </c>
      <c r="C57" s="775" t="s">
        <v>2017</v>
      </c>
      <c r="D57" s="777" t="s">
        <v>2018</v>
      </c>
      <c r="E57" s="640">
        <f>SUM(L57+M57+N57+R57+S57+T57+X57+Y57+Z57+AD57+AE57+AF57)</f>
        <v>2</v>
      </c>
      <c r="F57" s="774" t="s">
        <v>171</v>
      </c>
      <c r="G57" s="777" t="s">
        <v>2019</v>
      </c>
      <c r="H57" s="777" t="s">
        <v>1999</v>
      </c>
      <c r="I57" s="813">
        <f>AJ57/AJ55*100</f>
        <v>41.57777226494666</v>
      </c>
      <c r="J57" s="783"/>
      <c r="K57" s="783">
        <v>50</v>
      </c>
      <c r="L57" s="642"/>
      <c r="M57" s="642"/>
      <c r="N57" s="642"/>
      <c r="O57" s="642"/>
      <c r="P57" s="642"/>
      <c r="Q57" s="642"/>
      <c r="R57" s="642">
        <v>2</v>
      </c>
      <c r="S57" s="642"/>
      <c r="T57" s="642"/>
      <c r="U57" s="642">
        <v>8380</v>
      </c>
      <c r="V57" s="642"/>
      <c r="W57" s="642"/>
      <c r="X57" s="642"/>
      <c r="Y57" s="642"/>
      <c r="Z57" s="642"/>
      <c r="AA57" s="642"/>
      <c r="AB57" s="642"/>
      <c r="AC57" s="642"/>
      <c r="AD57" s="642"/>
      <c r="AE57" s="642"/>
      <c r="AF57" s="642"/>
      <c r="AG57" s="642"/>
      <c r="AH57" s="642"/>
      <c r="AI57" s="642"/>
      <c r="AJ57" s="521">
        <f>SUM(O57+P57+Q57+U57+V57+W57+AA57+AB57+AC57+AG57+AH57+AI57)</f>
        <v>8380</v>
      </c>
      <c r="AK57" s="521">
        <f>SUM(AJ57-AM57)</f>
        <v>7025</v>
      </c>
      <c r="AL57" s="642"/>
      <c r="AM57" s="642">
        <v>1355</v>
      </c>
      <c r="AN57" s="642"/>
      <c r="AO57" s="642"/>
      <c r="AP57" s="1104"/>
      <c r="AQ57" s="1104"/>
      <c r="AR57" s="1106"/>
      <c r="AS57" s="622"/>
    </row>
    <row r="58" spans="1:46" s="523" customFormat="1" ht="138.75" customHeight="1">
      <c r="A58" s="633" t="s">
        <v>1239</v>
      </c>
      <c r="B58" s="633" t="s">
        <v>1254</v>
      </c>
      <c r="C58" s="633" t="s">
        <v>2020</v>
      </c>
      <c r="D58" s="631" t="s">
        <v>2021</v>
      </c>
      <c r="E58" s="633"/>
      <c r="F58" s="633"/>
      <c r="G58" s="631"/>
      <c r="H58" s="631"/>
      <c r="I58" s="814">
        <v>2.6</v>
      </c>
      <c r="J58" s="633" t="s">
        <v>1960</v>
      </c>
      <c r="K58" s="633" t="s">
        <v>1898</v>
      </c>
      <c r="L58" s="631"/>
      <c r="M58" s="631"/>
      <c r="N58" s="631"/>
      <c r="O58" s="635"/>
      <c r="P58" s="635"/>
      <c r="Q58" s="635">
        <f>SUM(Q59)</f>
        <v>13400</v>
      </c>
      <c r="R58" s="631"/>
      <c r="S58" s="631"/>
      <c r="T58" s="631"/>
      <c r="U58" s="631"/>
      <c r="V58" s="631"/>
      <c r="W58" s="635">
        <f>SUM(W59)</f>
        <v>20100</v>
      </c>
      <c r="X58" s="631"/>
      <c r="Y58" s="631"/>
      <c r="Z58" s="631"/>
      <c r="AA58" s="635"/>
      <c r="AB58" s="635"/>
      <c r="AC58" s="635">
        <f>SUM(AC59)</f>
        <v>20095</v>
      </c>
      <c r="AD58" s="635"/>
      <c r="AE58" s="635"/>
      <c r="AF58" s="635"/>
      <c r="AG58" s="635"/>
      <c r="AH58" s="635"/>
      <c r="AI58" s="635">
        <f>SUM(AI59)</f>
        <v>13400</v>
      </c>
      <c r="AJ58" s="635">
        <f>SUM(AJ59)</f>
        <v>66995</v>
      </c>
      <c r="AK58" s="635">
        <f>SUM(AK59)</f>
        <v>40115</v>
      </c>
      <c r="AL58" s="635"/>
      <c r="AM58" s="635">
        <f>SUM(AM59)</f>
        <v>26880</v>
      </c>
      <c r="AN58" s="631"/>
      <c r="AO58" s="631"/>
      <c r="AP58" s="631"/>
      <c r="AQ58" s="631"/>
      <c r="AR58" s="631"/>
      <c r="AS58" s="622">
        <f>SUM(O58+P58+Q58+U58+V58+W58+AA58+AB58+AC58+AG58+AH58+AI58)</f>
        <v>66995</v>
      </c>
      <c r="AT58" s="623"/>
    </row>
    <row r="59" spans="1:46" s="523" customFormat="1" ht="157.5" customHeight="1">
      <c r="A59" s="781" t="s">
        <v>1239</v>
      </c>
      <c r="B59" s="781" t="s">
        <v>1254</v>
      </c>
      <c r="C59" s="781" t="s">
        <v>2022</v>
      </c>
      <c r="D59" s="638" t="s">
        <v>2023</v>
      </c>
      <c r="E59" s="640">
        <v>1</v>
      </c>
      <c r="F59" s="639" t="s">
        <v>2024</v>
      </c>
      <c r="G59" s="638" t="s">
        <v>2025</v>
      </c>
      <c r="H59" s="638" t="s">
        <v>2026</v>
      </c>
      <c r="I59" s="458">
        <f>AJ59/AJ58*100</f>
        <v>100</v>
      </c>
      <c r="J59" s="458"/>
      <c r="K59" s="458">
        <v>100</v>
      </c>
      <c r="L59" s="521"/>
      <c r="M59" s="521"/>
      <c r="N59" s="801">
        <v>0.2</v>
      </c>
      <c r="O59" s="521"/>
      <c r="P59" s="521"/>
      <c r="Q59" s="521">
        <v>13400</v>
      </c>
      <c r="R59" s="521"/>
      <c r="S59" s="521"/>
      <c r="T59" s="801">
        <v>0.3</v>
      </c>
      <c r="U59" s="521"/>
      <c r="V59" s="521"/>
      <c r="W59" s="521">
        <v>20100</v>
      </c>
      <c r="X59" s="521"/>
      <c r="Y59" s="521"/>
      <c r="Z59" s="801">
        <v>0.3</v>
      </c>
      <c r="AA59" s="521"/>
      <c r="AB59" s="521"/>
      <c r="AC59" s="521">
        <v>20095</v>
      </c>
      <c r="AD59" s="521"/>
      <c r="AE59" s="521"/>
      <c r="AF59" s="801">
        <v>0.2</v>
      </c>
      <c r="AG59" s="521"/>
      <c r="AH59" s="521"/>
      <c r="AI59" s="521">
        <v>13400</v>
      </c>
      <c r="AJ59" s="521">
        <f>SUM(O59+P59+Q59+U59+V59+W59+AA59+AB59+AC59+AG59+AH59+AI59)</f>
        <v>66995</v>
      </c>
      <c r="AK59" s="521">
        <f>SUM(AJ59-AM59)</f>
        <v>40115</v>
      </c>
      <c r="AL59" s="521"/>
      <c r="AM59" s="521">
        <v>26880</v>
      </c>
      <c r="AN59" s="521"/>
      <c r="AO59" s="521"/>
      <c r="AP59" s="638" t="s">
        <v>1966</v>
      </c>
      <c r="AQ59" s="638" t="s">
        <v>2016</v>
      </c>
      <c r="AR59" s="638"/>
    </row>
    <row r="60" spans="1:46" s="523" customFormat="1" ht="98.25" customHeight="1">
      <c r="A60" s="580" t="s">
        <v>184</v>
      </c>
      <c r="B60" s="580" t="s">
        <v>521</v>
      </c>
      <c r="C60" s="580" t="s">
        <v>2027</v>
      </c>
      <c r="D60" s="649" t="s">
        <v>2028</v>
      </c>
      <c r="E60" s="580"/>
      <c r="F60" s="580"/>
      <c r="G60" s="649"/>
      <c r="H60" s="649"/>
      <c r="I60" s="805">
        <f>AJ60/AJ71*100</f>
        <v>2.0839416724458881</v>
      </c>
      <c r="J60" s="580" t="s">
        <v>1988</v>
      </c>
      <c r="K60" s="580" t="s">
        <v>1898</v>
      </c>
      <c r="L60" s="649"/>
      <c r="M60" s="649"/>
      <c r="N60" s="649"/>
      <c r="O60" s="649"/>
      <c r="P60" s="649"/>
      <c r="Q60" s="505">
        <f>SUM(Q61:Q66)</f>
        <v>5480</v>
      </c>
      <c r="R60" s="505"/>
      <c r="S60" s="505"/>
      <c r="T60" s="505"/>
      <c r="U60" s="505">
        <f>SUM(U61:U66)</f>
        <v>5480</v>
      </c>
      <c r="V60" s="505">
        <f>SUM(V61:V66)</f>
        <v>5480</v>
      </c>
      <c r="W60" s="505">
        <f>SUM(W61:W66)</f>
        <v>5480</v>
      </c>
      <c r="X60" s="505"/>
      <c r="Y60" s="505"/>
      <c r="Z60" s="505"/>
      <c r="AA60" s="505">
        <f>SUM(AA61:AA66)</f>
        <v>5480</v>
      </c>
      <c r="AB60" s="505">
        <f>SUM(AB61:AB66)</f>
        <v>5480</v>
      </c>
      <c r="AC60" s="505">
        <f>SUM(AC61:AC66)</f>
        <v>5480</v>
      </c>
      <c r="AD60" s="505"/>
      <c r="AE60" s="505"/>
      <c r="AF60" s="505"/>
      <c r="AG60" s="505">
        <f>SUM(AG61:AG66)</f>
        <v>5490</v>
      </c>
      <c r="AH60" s="505">
        <f>SUM(AH61:AH66)</f>
        <v>5480</v>
      </c>
      <c r="AI60" s="505">
        <f>SUM(AI61:AI66)</f>
        <v>5480</v>
      </c>
      <c r="AJ60" s="505">
        <f>SUM(AJ61:AJ66)</f>
        <v>54810</v>
      </c>
      <c r="AK60" s="505">
        <f>SUM(AK61:AK66)</f>
        <v>32820</v>
      </c>
      <c r="AL60" s="505"/>
      <c r="AM60" s="505">
        <f>SUM(AM61:AM66)</f>
        <v>21990</v>
      </c>
      <c r="AN60" s="649"/>
      <c r="AO60" s="649"/>
      <c r="AP60" s="631"/>
      <c r="AQ60" s="649"/>
      <c r="AR60" s="649"/>
      <c r="AS60" s="622">
        <f>SUM(O60+P60+Q60+U60+V60+W60+AA60+AB60+AC60+AG60+AH60+AI60)</f>
        <v>54810</v>
      </c>
      <c r="AT60" s="623"/>
    </row>
    <row r="61" spans="1:46" s="523" customFormat="1" ht="50.25" customHeight="1">
      <c r="A61" s="885" t="s">
        <v>184</v>
      </c>
      <c r="B61" s="885" t="s">
        <v>521</v>
      </c>
      <c r="C61" s="885" t="s">
        <v>2343</v>
      </c>
      <c r="D61" s="1100" t="s">
        <v>2029</v>
      </c>
      <c r="E61" s="458">
        <f t="shared" si="5"/>
        <v>10</v>
      </c>
      <c r="F61" s="639" t="s">
        <v>2030</v>
      </c>
      <c r="G61" s="1100" t="s">
        <v>2031</v>
      </c>
      <c r="H61" s="1100" t="s">
        <v>2032</v>
      </c>
      <c r="I61" s="899">
        <f>(AJ61+AJ62+AJ63)/AJ60*100</f>
        <v>50</v>
      </c>
      <c r="J61" s="899"/>
      <c r="K61" s="899">
        <v>50</v>
      </c>
      <c r="L61" s="521"/>
      <c r="M61" s="521"/>
      <c r="N61" s="521">
        <v>1</v>
      </c>
      <c r="O61" s="521"/>
      <c r="P61" s="521"/>
      <c r="Q61" s="521">
        <v>835</v>
      </c>
      <c r="R61" s="521">
        <v>1</v>
      </c>
      <c r="S61" s="521">
        <v>1</v>
      </c>
      <c r="T61" s="521">
        <v>1</v>
      </c>
      <c r="U61" s="521">
        <v>835</v>
      </c>
      <c r="V61" s="521">
        <v>835</v>
      </c>
      <c r="W61" s="521">
        <v>835</v>
      </c>
      <c r="X61" s="521">
        <v>1</v>
      </c>
      <c r="Y61" s="521">
        <v>1</v>
      </c>
      <c r="Z61" s="521">
        <v>1</v>
      </c>
      <c r="AA61" s="521">
        <v>835</v>
      </c>
      <c r="AB61" s="521">
        <v>835</v>
      </c>
      <c r="AC61" s="521">
        <v>835</v>
      </c>
      <c r="AD61" s="521">
        <v>1</v>
      </c>
      <c r="AE61" s="521">
        <v>1</v>
      </c>
      <c r="AF61" s="521">
        <v>1</v>
      </c>
      <c r="AG61" s="521">
        <v>835</v>
      </c>
      <c r="AH61" s="521">
        <v>835</v>
      </c>
      <c r="AI61" s="521">
        <v>835</v>
      </c>
      <c r="AJ61" s="521">
        <f t="shared" ref="AJ61:AJ66" si="8">SUM(O61+P61+Q61+U61+V61+W61+AA61+AB61+AC61+AG61+AH61+AI61)</f>
        <v>8350</v>
      </c>
      <c r="AK61" s="521">
        <f t="shared" ref="AK61:AK66" si="9">SUM(AJ61-AM61)</f>
        <v>5000</v>
      </c>
      <c r="AL61" s="521"/>
      <c r="AM61" s="521">
        <v>3350</v>
      </c>
      <c r="AN61" s="521"/>
      <c r="AO61" s="521"/>
      <c r="AP61" s="1108" t="s">
        <v>2033</v>
      </c>
      <c r="AQ61" s="1103" t="s">
        <v>2034</v>
      </c>
      <c r="AR61" s="1103"/>
    </row>
    <row r="62" spans="1:46" s="523" customFormat="1" ht="50.25" customHeight="1">
      <c r="A62" s="886"/>
      <c r="B62" s="886"/>
      <c r="C62" s="886"/>
      <c r="D62" s="1101"/>
      <c r="E62" s="783">
        <f t="shared" si="5"/>
        <v>120</v>
      </c>
      <c r="F62" s="639" t="s">
        <v>1916</v>
      </c>
      <c r="G62" s="1101"/>
      <c r="H62" s="1101"/>
      <c r="I62" s="1107"/>
      <c r="J62" s="1107"/>
      <c r="K62" s="1107"/>
      <c r="L62" s="521"/>
      <c r="M62" s="521"/>
      <c r="N62" s="521">
        <v>12</v>
      </c>
      <c r="O62" s="521"/>
      <c r="P62" s="521"/>
      <c r="Q62" s="521">
        <v>1525</v>
      </c>
      <c r="R62" s="521">
        <v>12</v>
      </c>
      <c r="S62" s="521">
        <v>12</v>
      </c>
      <c r="T62" s="521">
        <v>12</v>
      </c>
      <c r="U62" s="521">
        <v>1525</v>
      </c>
      <c r="V62" s="521">
        <v>1525</v>
      </c>
      <c r="W62" s="521">
        <v>1525</v>
      </c>
      <c r="X62" s="521">
        <v>12</v>
      </c>
      <c r="Y62" s="521">
        <v>12</v>
      </c>
      <c r="Z62" s="521">
        <v>12</v>
      </c>
      <c r="AA62" s="521">
        <v>1525</v>
      </c>
      <c r="AB62" s="521">
        <v>1525</v>
      </c>
      <c r="AC62" s="521">
        <v>1525</v>
      </c>
      <c r="AD62" s="521">
        <v>12</v>
      </c>
      <c r="AE62" s="521">
        <v>12</v>
      </c>
      <c r="AF62" s="521">
        <v>12</v>
      </c>
      <c r="AG62" s="521">
        <v>1525</v>
      </c>
      <c r="AH62" s="521">
        <v>1520</v>
      </c>
      <c r="AI62" s="521">
        <v>1520</v>
      </c>
      <c r="AJ62" s="521">
        <f t="shared" si="8"/>
        <v>15240</v>
      </c>
      <c r="AK62" s="521">
        <f t="shared" si="9"/>
        <v>9125</v>
      </c>
      <c r="AL62" s="521"/>
      <c r="AM62" s="521">
        <v>6115</v>
      </c>
      <c r="AN62" s="521"/>
      <c r="AO62" s="521"/>
      <c r="AP62" s="1109"/>
      <c r="AQ62" s="1111"/>
      <c r="AR62" s="1111"/>
    </row>
    <row r="63" spans="1:46" s="523" customFormat="1" ht="50.25" customHeight="1">
      <c r="A63" s="1099"/>
      <c r="B63" s="1099"/>
      <c r="C63" s="1099"/>
      <c r="D63" s="1102"/>
      <c r="E63" s="783">
        <f t="shared" si="5"/>
        <v>30</v>
      </c>
      <c r="F63" s="639" t="s">
        <v>1917</v>
      </c>
      <c r="G63" s="1102"/>
      <c r="H63" s="1102"/>
      <c r="I63" s="900"/>
      <c r="J63" s="900"/>
      <c r="K63" s="900"/>
      <c r="L63" s="521"/>
      <c r="M63" s="521"/>
      <c r="N63" s="521">
        <v>3</v>
      </c>
      <c r="O63" s="521"/>
      <c r="P63" s="521"/>
      <c r="Q63" s="521">
        <v>380</v>
      </c>
      <c r="R63" s="521">
        <v>3</v>
      </c>
      <c r="S63" s="521">
        <v>3</v>
      </c>
      <c r="T63" s="521">
        <v>3</v>
      </c>
      <c r="U63" s="521">
        <v>380</v>
      </c>
      <c r="V63" s="521">
        <v>380</v>
      </c>
      <c r="W63" s="521">
        <v>380</v>
      </c>
      <c r="X63" s="521">
        <v>3</v>
      </c>
      <c r="Y63" s="521">
        <v>3</v>
      </c>
      <c r="Z63" s="521">
        <v>3</v>
      </c>
      <c r="AA63" s="521">
        <v>380</v>
      </c>
      <c r="AB63" s="521">
        <v>380</v>
      </c>
      <c r="AC63" s="521">
        <v>380</v>
      </c>
      <c r="AD63" s="521">
        <v>3</v>
      </c>
      <c r="AE63" s="521">
        <v>3</v>
      </c>
      <c r="AF63" s="521">
        <v>3</v>
      </c>
      <c r="AG63" s="521">
        <v>385</v>
      </c>
      <c r="AH63" s="521">
        <v>385</v>
      </c>
      <c r="AI63" s="521">
        <v>385</v>
      </c>
      <c r="AJ63" s="521">
        <f t="shared" si="8"/>
        <v>3815</v>
      </c>
      <c r="AK63" s="521">
        <f t="shared" si="9"/>
        <v>2285</v>
      </c>
      <c r="AL63" s="521"/>
      <c r="AM63" s="521">
        <v>1530</v>
      </c>
      <c r="AN63" s="521"/>
      <c r="AO63" s="521"/>
      <c r="AP63" s="1109"/>
      <c r="AQ63" s="1111"/>
      <c r="AR63" s="1111"/>
    </row>
    <row r="64" spans="1:46" s="523" customFormat="1" ht="50.25" customHeight="1">
      <c r="A64" s="886" t="s">
        <v>184</v>
      </c>
      <c r="B64" s="885" t="s">
        <v>521</v>
      </c>
      <c r="C64" s="885" t="s">
        <v>2344</v>
      </c>
      <c r="D64" s="1100" t="s">
        <v>2035</v>
      </c>
      <c r="E64" s="783">
        <f t="shared" si="5"/>
        <v>10</v>
      </c>
      <c r="F64" s="639" t="s">
        <v>2030</v>
      </c>
      <c r="G64" s="1100" t="s">
        <v>2036</v>
      </c>
      <c r="H64" s="1100" t="s">
        <v>2032</v>
      </c>
      <c r="I64" s="899">
        <f>(AJ64+AJ65+AJ66)/AJ60*100</f>
        <v>50</v>
      </c>
      <c r="J64" s="899"/>
      <c r="K64" s="899">
        <v>50</v>
      </c>
      <c r="L64" s="521"/>
      <c r="M64" s="521"/>
      <c r="N64" s="521">
        <v>1</v>
      </c>
      <c r="O64" s="521"/>
      <c r="P64" s="521"/>
      <c r="Q64" s="521">
        <v>835</v>
      </c>
      <c r="R64" s="521">
        <v>1</v>
      </c>
      <c r="S64" s="521">
        <v>1</v>
      </c>
      <c r="T64" s="521">
        <v>1</v>
      </c>
      <c r="U64" s="521">
        <v>835</v>
      </c>
      <c r="V64" s="521">
        <v>835</v>
      </c>
      <c r="W64" s="521">
        <v>835</v>
      </c>
      <c r="X64" s="521">
        <v>1</v>
      </c>
      <c r="Y64" s="521">
        <v>1</v>
      </c>
      <c r="Z64" s="521">
        <v>1</v>
      </c>
      <c r="AA64" s="521">
        <v>835</v>
      </c>
      <c r="AB64" s="521">
        <v>835</v>
      </c>
      <c r="AC64" s="521">
        <v>835</v>
      </c>
      <c r="AD64" s="521">
        <v>1</v>
      </c>
      <c r="AE64" s="521">
        <v>1</v>
      </c>
      <c r="AF64" s="521">
        <v>1</v>
      </c>
      <c r="AG64" s="521">
        <v>835</v>
      </c>
      <c r="AH64" s="521">
        <v>835</v>
      </c>
      <c r="AI64" s="521">
        <v>835</v>
      </c>
      <c r="AJ64" s="521">
        <f t="shared" si="8"/>
        <v>8350</v>
      </c>
      <c r="AK64" s="521">
        <f t="shared" si="9"/>
        <v>5000</v>
      </c>
      <c r="AL64" s="521"/>
      <c r="AM64" s="521">
        <v>3350</v>
      </c>
      <c r="AN64" s="521"/>
      <c r="AO64" s="521"/>
      <c r="AP64" s="1109"/>
      <c r="AQ64" s="1111"/>
      <c r="AR64" s="1111"/>
    </row>
    <row r="65" spans="1:46" s="523" customFormat="1" ht="50.25" customHeight="1">
      <c r="A65" s="886"/>
      <c r="B65" s="886"/>
      <c r="C65" s="886"/>
      <c r="D65" s="1101"/>
      <c r="E65" s="783">
        <f t="shared" si="5"/>
        <v>120</v>
      </c>
      <c r="F65" s="639" t="s">
        <v>1916</v>
      </c>
      <c r="G65" s="1101"/>
      <c r="H65" s="1101"/>
      <c r="I65" s="1107"/>
      <c r="J65" s="1107"/>
      <c r="K65" s="1107"/>
      <c r="L65" s="521"/>
      <c r="M65" s="521"/>
      <c r="N65" s="521">
        <v>12</v>
      </c>
      <c r="O65" s="521"/>
      <c r="P65" s="521"/>
      <c r="Q65" s="521">
        <v>1525</v>
      </c>
      <c r="R65" s="521">
        <v>12</v>
      </c>
      <c r="S65" s="521">
        <v>12</v>
      </c>
      <c r="T65" s="521">
        <v>12</v>
      </c>
      <c r="U65" s="521">
        <v>1525</v>
      </c>
      <c r="V65" s="521">
        <v>1525</v>
      </c>
      <c r="W65" s="521">
        <v>1525</v>
      </c>
      <c r="X65" s="521">
        <v>12</v>
      </c>
      <c r="Y65" s="521">
        <v>12</v>
      </c>
      <c r="Z65" s="521">
        <v>12</v>
      </c>
      <c r="AA65" s="521">
        <v>1525</v>
      </c>
      <c r="AB65" s="521">
        <v>1525</v>
      </c>
      <c r="AC65" s="521">
        <v>1525</v>
      </c>
      <c r="AD65" s="521">
        <v>12</v>
      </c>
      <c r="AE65" s="521">
        <v>12</v>
      </c>
      <c r="AF65" s="521">
        <v>12</v>
      </c>
      <c r="AG65" s="521">
        <v>1525</v>
      </c>
      <c r="AH65" s="521">
        <v>1520</v>
      </c>
      <c r="AI65" s="521">
        <v>1520</v>
      </c>
      <c r="AJ65" s="521">
        <f t="shared" si="8"/>
        <v>15240</v>
      </c>
      <c r="AK65" s="521">
        <f t="shared" si="9"/>
        <v>9125</v>
      </c>
      <c r="AL65" s="521"/>
      <c r="AM65" s="521">
        <v>6115</v>
      </c>
      <c r="AN65" s="521"/>
      <c r="AO65" s="521"/>
      <c r="AP65" s="1109"/>
      <c r="AQ65" s="1111"/>
      <c r="AR65" s="1111"/>
    </row>
    <row r="66" spans="1:46" s="523" customFormat="1" ht="50.25" customHeight="1">
      <c r="A66" s="1099"/>
      <c r="B66" s="1099"/>
      <c r="C66" s="1099"/>
      <c r="D66" s="1102"/>
      <c r="E66" s="783">
        <f t="shared" si="5"/>
        <v>30</v>
      </c>
      <c r="F66" s="639" t="s">
        <v>1917</v>
      </c>
      <c r="G66" s="1102"/>
      <c r="H66" s="1102"/>
      <c r="I66" s="900"/>
      <c r="J66" s="900"/>
      <c r="K66" s="900"/>
      <c r="L66" s="521"/>
      <c r="M66" s="521"/>
      <c r="N66" s="521">
        <v>3</v>
      </c>
      <c r="O66" s="521"/>
      <c r="P66" s="521"/>
      <c r="Q66" s="521">
        <v>380</v>
      </c>
      <c r="R66" s="521">
        <v>3</v>
      </c>
      <c r="S66" s="521">
        <v>3</v>
      </c>
      <c r="T66" s="521">
        <v>3</v>
      </c>
      <c r="U66" s="521">
        <v>380</v>
      </c>
      <c r="V66" s="521">
        <v>380</v>
      </c>
      <c r="W66" s="521">
        <v>380</v>
      </c>
      <c r="X66" s="521">
        <v>3</v>
      </c>
      <c r="Y66" s="521">
        <v>3</v>
      </c>
      <c r="Z66" s="521">
        <v>3</v>
      </c>
      <c r="AA66" s="521">
        <v>380</v>
      </c>
      <c r="AB66" s="521">
        <v>380</v>
      </c>
      <c r="AC66" s="521">
        <v>380</v>
      </c>
      <c r="AD66" s="521">
        <v>3</v>
      </c>
      <c r="AE66" s="521">
        <v>3</v>
      </c>
      <c r="AF66" s="521">
        <v>3</v>
      </c>
      <c r="AG66" s="521">
        <v>385</v>
      </c>
      <c r="AH66" s="521">
        <v>385</v>
      </c>
      <c r="AI66" s="521">
        <v>385</v>
      </c>
      <c r="AJ66" s="521">
        <f t="shared" si="8"/>
        <v>3815</v>
      </c>
      <c r="AK66" s="521">
        <f t="shared" si="9"/>
        <v>2285</v>
      </c>
      <c r="AL66" s="521"/>
      <c r="AM66" s="521">
        <v>1530</v>
      </c>
      <c r="AN66" s="521"/>
      <c r="AO66" s="521"/>
      <c r="AP66" s="1110"/>
      <c r="AQ66" s="1104"/>
      <c r="AR66" s="1104"/>
      <c r="AS66" s="622"/>
    </row>
    <row r="67" spans="1:46" s="523" customFormat="1" ht="123.75" customHeight="1">
      <c r="A67" s="580" t="s">
        <v>138</v>
      </c>
      <c r="B67" s="580" t="s">
        <v>2037</v>
      </c>
      <c r="C67" s="580" t="s">
        <v>2038</v>
      </c>
      <c r="D67" s="649" t="s">
        <v>2039</v>
      </c>
      <c r="E67" s="580"/>
      <c r="F67" s="580"/>
      <c r="G67" s="649"/>
      <c r="H67" s="649"/>
      <c r="I67" s="805">
        <f>AJ67/AJ71*100</f>
        <v>1.5436604981080655</v>
      </c>
      <c r="J67" s="580" t="s">
        <v>1960</v>
      </c>
      <c r="K67" s="580" t="s">
        <v>1898</v>
      </c>
      <c r="L67" s="649"/>
      <c r="M67" s="649"/>
      <c r="N67" s="649"/>
      <c r="O67" s="649"/>
      <c r="P67" s="649"/>
      <c r="Q67" s="505">
        <f>SUM(Q68)</f>
        <v>10150</v>
      </c>
      <c r="R67" s="649"/>
      <c r="S67" s="649"/>
      <c r="T67" s="649"/>
      <c r="U67" s="649"/>
      <c r="V67" s="649"/>
      <c r="W67" s="505">
        <f>SUM(W68)</f>
        <v>10150</v>
      </c>
      <c r="X67" s="505"/>
      <c r="Y67" s="505"/>
      <c r="Z67" s="505"/>
      <c r="AA67" s="505"/>
      <c r="AB67" s="505"/>
      <c r="AC67" s="505">
        <f>SUM(AC68)</f>
        <v>10150</v>
      </c>
      <c r="AD67" s="505"/>
      <c r="AE67" s="505"/>
      <c r="AF67" s="505"/>
      <c r="AG67" s="505"/>
      <c r="AH67" s="505"/>
      <c r="AI67" s="505">
        <f>SUM(AI68)</f>
        <v>10150</v>
      </c>
      <c r="AJ67" s="505">
        <f>SUM(AJ68)</f>
        <v>40600</v>
      </c>
      <c r="AK67" s="505">
        <f>SUM(AK68)</f>
        <v>24310</v>
      </c>
      <c r="AL67" s="505"/>
      <c r="AM67" s="505">
        <f>SUM(AM68)</f>
        <v>16290</v>
      </c>
      <c r="AN67" s="649"/>
      <c r="AO67" s="649"/>
      <c r="AP67" s="631"/>
      <c r="AQ67" s="649"/>
      <c r="AR67" s="649"/>
      <c r="AS67" s="622">
        <f>SUM(O67+P67+Q67+U67+V67+W67+AA67+AB67+AC67+AG67+AH67+AI67)</f>
        <v>40600</v>
      </c>
      <c r="AT67" s="623"/>
    </row>
    <row r="68" spans="1:46" ht="123.75" customHeight="1">
      <c r="A68" s="775" t="s">
        <v>138</v>
      </c>
      <c r="B68" s="775" t="s">
        <v>2037</v>
      </c>
      <c r="C68" s="775" t="s">
        <v>2040</v>
      </c>
      <c r="D68" s="777" t="s">
        <v>2041</v>
      </c>
      <c r="E68" s="780">
        <f t="shared" si="5"/>
        <v>1</v>
      </c>
      <c r="F68" s="641" t="s">
        <v>2042</v>
      </c>
      <c r="G68" s="777" t="s">
        <v>2345</v>
      </c>
      <c r="H68" s="777" t="s">
        <v>2043</v>
      </c>
      <c r="I68" s="783">
        <f>AJ68/AJ67*100</f>
        <v>100</v>
      </c>
      <c r="J68" s="783"/>
      <c r="K68" s="783">
        <v>100</v>
      </c>
      <c r="L68" s="642"/>
      <c r="M68" s="642"/>
      <c r="N68" s="643">
        <v>0.25</v>
      </c>
      <c r="O68" s="642"/>
      <c r="P68" s="642"/>
      <c r="Q68" s="642">
        <v>10150</v>
      </c>
      <c r="R68" s="642"/>
      <c r="S68" s="642"/>
      <c r="T68" s="643">
        <v>0.25</v>
      </c>
      <c r="U68" s="642"/>
      <c r="V68" s="642"/>
      <c r="W68" s="642">
        <v>10150</v>
      </c>
      <c r="X68" s="642"/>
      <c r="Y68" s="642"/>
      <c r="Z68" s="643">
        <v>0.25</v>
      </c>
      <c r="AA68" s="642"/>
      <c r="AB68" s="642"/>
      <c r="AC68" s="642">
        <v>10150</v>
      </c>
      <c r="AD68" s="642"/>
      <c r="AE68" s="642"/>
      <c r="AF68" s="643">
        <v>0.25</v>
      </c>
      <c r="AG68" s="642"/>
      <c r="AH68" s="642"/>
      <c r="AI68" s="642">
        <v>10150</v>
      </c>
      <c r="AJ68" s="521">
        <f>SUM(O68+P68+Q68+U68+V68+W68+AA68+AB68+AC68+AG68+AH68+AI68)</f>
        <v>40600</v>
      </c>
      <c r="AK68" s="521">
        <f>SUM(AJ68-AM68)</f>
        <v>24310</v>
      </c>
      <c r="AL68" s="521"/>
      <c r="AM68" s="521">
        <v>16290</v>
      </c>
      <c r="AN68" s="642"/>
      <c r="AO68" s="642"/>
      <c r="AP68" s="638" t="s">
        <v>1966</v>
      </c>
      <c r="AQ68" s="638" t="s">
        <v>2016</v>
      </c>
      <c r="AR68" s="777"/>
      <c r="AS68" s="534"/>
    </row>
    <row r="69" spans="1:46" ht="93.75" customHeight="1">
      <c r="A69" s="644" t="s">
        <v>147</v>
      </c>
      <c r="B69" s="644" t="s">
        <v>1579</v>
      </c>
      <c r="C69" s="644" t="s">
        <v>2044</v>
      </c>
      <c r="D69" s="631" t="s">
        <v>2045</v>
      </c>
      <c r="E69" s="632"/>
      <c r="F69" s="633"/>
      <c r="G69" s="631"/>
      <c r="H69" s="631"/>
      <c r="I69" s="634">
        <v>2.6</v>
      </c>
      <c r="J69" s="632">
        <v>5</v>
      </c>
      <c r="K69" s="632">
        <v>100</v>
      </c>
      <c r="L69" s="635"/>
      <c r="M69" s="635"/>
      <c r="N69" s="635"/>
      <c r="O69" s="635"/>
      <c r="P69" s="635"/>
      <c r="Q69" s="635">
        <f>SUM(Q70)</f>
        <v>16750</v>
      </c>
      <c r="R69" s="635"/>
      <c r="S69" s="635"/>
      <c r="T69" s="635"/>
      <c r="U69" s="635"/>
      <c r="V69" s="635"/>
      <c r="W69" s="635">
        <f>SUM(W70)</f>
        <v>16750</v>
      </c>
      <c r="X69" s="635"/>
      <c r="Y69" s="635"/>
      <c r="Z69" s="635"/>
      <c r="AA69" s="635"/>
      <c r="AB69" s="635"/>
      <c r="AC69" s="635">
        <f>SUM(AC70)</f>
        <v>16745</v>
      </c>
      <c r="AD69" s="635"/>
      <c r="AE69" s="635"/>
      <c r="AF69" s="635"/>
      <c r="AG69" s="635"/>
      <c r="AH69" s="635"/>
      <c r="AI69" s="635">
        <f>SUM(AI70)</f>
        <v>16747</v>
      </c>
      <c r="AJ69" s="635">
        <f>SUM(AJ70)</f>
        <v>66992</v>
      </c>
      <c r="AK69" s="635">
        <f>SUM(AK70)</f>
        <v>40115</v>
      </c>
      <c r="AL69" s="635"/>
      <c r="AM69" s="635">
        <f>SUM(AM70)</f>
        <v>26877</v>
      </c>
      <c r="AN69" s="635"/>
      <c r="AO69" s="635"/>
      <c r="AP69" s="631"/>
      <c r="AQ69" s="631"/>
      <c r="AR69" s="631"/>
      <c r="AS69" s="622">
        <f>SUM(O69+P69+Q69+U69+V69+W69+AA69+AB69+AC69+AG69+AH69+AI69)</f>
        <v>66992</v>
      </c>
      <c r="AT69" s="645"/>
    </row>
    <row r="70" spans="1:46" ht="288" customHeight="1">
      <c r="A70" s="775" t="s">
        <v>147</v>
      </c>
      <c r="B70" s="775" t="s">
        <v>1579</v>
      </c>
      <c r="C70" s="775" t="s">
        <v>2046</v>
      </c>
      <c r="D70" s="777" t="s">
        <v>2047</v>
      </c>
      <c r="E70" s="780">
        <f t="shared" si="5"/>
        <v>1</v>
      </c>
      <c r="F70" s="641" t="s">
        <v>2042</v>
      </c>
      <c r="G70" s="777" t="s">
        <v>2048</v>
      </c>
      <c r="H70" s="777" t="s">
        <v>2049</v>
      </c>
      <c r="I70" s="783">
        <f>AJ70/AJ69*100</f>
        <v>100</v>
      </c>
      <c r="J70" s="783"/>
      <c r="K70" s="783">
        <v>100</v>
      </c>
      <c r="L70" s="642"/>
      <c r="M70" s="642"/>
      <c r="N70" s="643">
        <v>0.25</v>
      </c>
      <c r="O70" s="642"/>
      <c r="P70" s="642"/>
      <c r="Q70" s="642">
        <v>16750</v>
      </c>
      <c r="R70" s="642"/>
      <c r="S70" s="642"/>
      <c r="T70" s="643">
        <v>0.25</v>
      </c>
      <c r="U70" s="642"/>
      <c r="V70" s="642"/>
      <c r="W70" s="642">
        <v>16750</v>
      </c>
      <c r="X70" s="642"/>
      <c r="Y70" s="642"/>
      <c r="Z70" s="643">
        <v>0.25</v>
      </c>
      <c r="AA70" s="642"/>
      <c r="AB70" s="642"/>
      <c r="AC70" s="642">
        <v>16745</v>
      </c>
      <c r="AD70" s="642"/>
      <c r="AE70" s="642"/>
      <c r="AF70" s="643">
        <v>0.25</v>
      </c>
      <c r="AG70" s="642"/>
      <c r="AH70" s="642"/>
      <c r="AI70" s="642">
        <v>16747</v>
      </c>
      <c r="AJ70" s="521">
        <f>SUM(O70+P70+Q70+U70+V70+W70+AA70+AB70+AC70+AG70+AH70+AI70)</f>
        <v>66992</v>
      </c>
      <c r="AK70" s="521">
        <f>SUM(AJ70-AM70)</f>
        <v>40115</v>
      </c>
      <c r="AL70" s="521"/>
      <c r="AM70" s="521">
        <v>26877</v>
      </c>
      <c r="AN70" s="642"/>
      <c r="AO70" s="642"/>
      <c r="AP70" s="776" t="s">
        <v>2015</v>
      </c>
      <c r="AQ70" s="776" t="s">
        <v>2050</v>
      </c>
      <c r="AR70" s="815" t="s">
        <v>2051</v>
      </c>
      <c r="AS70" s="534"/>
    </row>
    <row r="71" spans="1:46">
      <c r="A71" s="461"/>
      <c r="B71" s="461"/>
      <c r="C71" s="461"/>
      <c r="D71" s="773" t="s">
        <v>156</v>
      </c>
      <c r="E71" s="461"/>
      <c r="F71" s="816"/>
      <c r="G71" s="659"/>
      <c r="H71" s="659"/>
      <c r="I71" s="817"/>
      <c r="J71" s="464"/>
      <c r="K71" s="464"/>
      <c r="L71" s="660"/>
      <c r="M71" s="660"/>
      <c r="N71" s="660"/>
      <c r="O71" s="660">
        <f>SUM(O10+O18+O29+O41+O44+O50+O55+O58+O60+O67+O69)</f>
        <v>42120</v>
      </c>
      <c r="P71" s="660">
        <f>SUM(P10+P18+P29+P41+P44+P50+P55+P58+P60+P67+P69)</f>
        <v>43815</v>
      </c>
      <c r="Q71" s="660">
        <f>SUM(Q10+Q18+Q29+Q41+Q44+Q50+Q55+Q58+Q60+Q67+Q69)</f>
        <v>223590</v>
      </c>
      <c r="R71" s="660"/>
      <c r="S71" s="660"/>
      <c r="T71" s="660"/>
      <c r="U71" s="660">
        <f>SUM(U10+U18+U29+U41+U44+U50+U55+U58+U60+U67+U69)</f>
        <v>175620</v>
      </c>
      <c r="V71" s="660">
        <f>SUM(V10+V18+V29+V41+V44+V50+V55+V58+V60+V67+V69)</f>
        <v>189135</v>
      </c>
      <c r="W71" s="660">
        <f>SUM(W10+W18+W29+W41+W44+W50+W55+W58+W60+W67+W69)</f>
        <v>387140</v>
      </c>
      <c r="X71" s="660"/>
      <c r="Y71" s="660"/>
      <c r="Z71" s="660"/>
      <c r="AA71" s="660">
        <f>SUM(AA10+AA18+AA29+AA41+AA44+AA50+AA55+AA58+AA60+AA67+AA69)</f>
        <v>245460</v>
      </c>
      <c r="AB71" s="660">
        <f>SUM(AB10+AB18+AB29+AB41+AB44+AB50+AB55+AB58+AB60+AB67+AB69)</f>
        <v>230800</v>
      </c>
      <c r="AC71" s="660">
        <f>SUM(AC10+AC18+AC29+AC41+AC44+AC50+AC55+AC58+AC60+AC67+AC69)</f>
        <v>518620</v>
      </c>
      <c r="AD71" s="660"/>
      <c r="AE71" s="660"/>
      <c r="AF71" s="660"/>
      <c r="AG71" s="660">
        <f>SUM(AG10+AG18+AG29+AG41+AG44+AG50+AG55+AG58+AG60+AG67+AG69)</f>
        <v>196310</v>
      </c>
      <c r="AH71" s="660">
        <f>SUM(AH10+AH18+AH29+AH41+AH44+AH50+AH55+AH58+AH60+AH67+AH69)</f>
        <v>70170</v>
      </c>
      <c r="AI71" s="660">
        <f>SUM(AI10+AI18+AI29+AI41+AI44+AI50+AI55+AI58+AI60+AI67+AI69)</f>
        <v>307332</v>
      </c>
      <c r="AJ71" s="660">
        <f>SUM(AJ10+AJ18+AJ29+AJ41+AJ44+AJ50+AJ55+AJ58+AJ60+AJ67+AJ69)</f>
        <v>2630112</v>
      </c>
      <c r="AK71" s="660">
        <f>SUM(AK10+AK18+AK29+AK41+AK44+AK50+AK55+AK58+AK60+AK67+AK69)</f>
        <v>1815595</v>
      </c>
      <c r="AL71" s="660"/>
      <c r="AM71" s="660">
        <f>SUM(AM10+AM18+AM29+AM41+AM44+AM50+AM55+AM58+AM60+AM67+AM69)</f>
        <v>814517</v>
      </c>
      <c r="AN71" s="818"/>
      <c r="AO71" s="818"/>
      <c r="AP71" s="659"/>
      <c r="AQ71" s="659"/>
      <c r="AR71" s="659"/>
      <c r="AS71" s="622"/>
      <c r="AT71" s="470"/>
    </row>
    <row r="72" spans="1:46" ht="21" customHeight="1">
      <c r="AJ72" s="647"/>
    </row>
    <row r="73" spans="1:46">
      <c r="AJ73" s="534"/>
    </row>
    <row r="74" spans="1:46">
      <c r="AJ74" s="648"/>
    </row>
    <row r="75" spans="1:46">
      <c r="AJ75" s="647"/>
    </row>
    <row r="77" spans="1:46">
      <c r="AR77" s="534"/>
    </row>
  </sheetData>
  <mergeCells count="152">
    <mergeCell ref="AR6:AR9"/>
    <mergeCell ref="AD7:AI7"/>
    <mergeCell ref="AJ7:AJ9"/>
    <mergeCell ref="AK7:AK9"/>
    <mergeCell ref="AL7:AL9"/>
    <mergeCell ref="AG8:AI8"/>
    <mergeCell ref="AM7:AM9"/>
    <mergeCell ref="AR11:AR17"/>
    <mergeCell ref="A16:A17"/>
    <mergeCell ref="B16:B17"/>
    <mergeCell ref="C16:C17"/>
    <mergeCell ref="D16:D17"/>
    <mergeCell ref="G16:G17"/>
    <mergeCell ref="H16:H17"/>
    <mergeCell ref="I16:I17"/>
    <mergeCell ref="J16:J17"/>
    <mergeCell ref="K16:K17"/>
    <mergeCell ref="AN16:AN17"/>
    <mergeCell ref="AO16:AO17"/>
    <mergeCell ref="AQ16:AQ17"/>
    <mergeCell ref="R8:T8"/>
    <mergeCell ref="U8:W8"/>
    <mergeCell ref="X8:Z8"/>
    <mergeCell ref="AA8:AC8"/>
    <mergeCell ref="A1:AR1"/>
    <mergeCell ref="A2:AR2"/>
    <mergeCell ref="A6:C6"/>
    <mergeCell ref="D6:D9"/>
    <mergeCell ref="E6:E9"/>
    <mergeCell ref="F6:F9"/>
    <mergeCell ref="G6:G9"/>
    <mergeCell ref="H6:H9"/>
    <mergeCell ref="I6:I9"/>
    <mergeCell ref="J6:J9"/>
    <mergeCell ref="R7:W7"/>
    <mergeCell ref="X7:AC7"/>
    <mergeCell ref="K6:K9"/>
    <mergeCell ref="L6:AJ6"/>
    <mergeCell ref="AK6:AO6"/>
    <mergeCell ref="AP6:AP9"/>
    <mergeCell ref="A7:A9"/>
    <mergeCell ref="B7:B9"/>
    <mergeCell ref="C7:C9"/>
    <mergeCell ref="L7:Q7"/>
    <mergeCell ref="AN7:AN9"/>
    <mergeCell ref="AO7:AO9"/>
    <mergeCell ref="L8:N8"/>
    <mergeCell ref="O8:Q8"/>
    <mergeCell ref="AD8:AF8"/>
    <mergeCell ref="AP11:AP17"/>
    <mergeCell ref="AQ6:AQ9"/>
    <mergeCell ref="A19:A22"/>
    <mergeCell ref="B19:B22"/>
    <mergeCell ref="C19:C22"/>
    <mergeCell ref="D19:D22"/>
    <mergeCell ref="G19:G22"/>
    <mergeCell ref="AR19:AR28"/>
    <mergeCell ref="A23:A25"/>
    <mergeCell ref="B23:B25"/>
    <mergeCell ref="C23:C25"/>
    <mergeCell ref="D23:D25"/>
    <mergeCell ref="G23:G25"/>
    <mergeCell ref="H23:H25"/>
    <mergeCell ref="I23:I25"/>
    <mergeCell ref="J23:J25"/>
    <mergeCell ref="K23:K25"/>
    <mergeCell ref="H19:H22"/>
    <mergeCell ref="I19:I22"/>
    <mergeCell ref="J19:J22"/>
    <mergeCell ref="K19:K22"/>
    <mergeCell ref="AP19:AP28"/>
    <mergeCell ref="AQ19:AQ22"/>
    <mergeCell ref="AQ23:AQ25"/>
    <mergeCell ref="I27:I28"/>
    <mergeCell ref="J27:J28"/>
    <mergeCell ref="K27:K28"/>
    <mergeCell ref="AQ27:AQ28"/>
    <mergeCell ref="A30:A33"/>
    <mergeCell ref="B30:B33"/>
    <mergeCell ref="C30:C33"/>
    <mergeCell ref="D30:D33"/>
    <mergeCell ref="G30:G33"/>
    <mergeCell ref="H30:H33"/>
    <mergeCell ref="I30:I33"/>
    <mergeCell ref="J30:J33"/>
    <mergeCell ref="K30:K33"/>
    <mergeCell ref="A27:A28"/>
    <mergeCell ref="B27:B28"/>
    <mergeCell ref="C27:C28"/>
    <mergeCell ref="D27:D28"/>
    <mergeCell ref="G27:G28"/>
    <mergeCell ref="H27:H28"/>
    <mergeCell ref="A45:A49"/>
    <mergeCell ref="B45:B49"/>
    <mergeCell ref="C45:C48"/>
    <mergeCell ref="D45:D48"/>
    <mergeCell ref="G45:G48"/>
    <mergeCell ref="H45:H48"/>
    <mergeCell ref="J34:J36"/>
    <mergeCell ref="K34:K36"/>
    <mergeCell ref="AQ34:AQ36"/>
    <mergeCell ref="A39:A40"/>
    <mergeCell ref="B39:B40"/>
    <mergeCell ref="C39:C40"/>
    <mergeCell ref="D39:D40"/>
    <mergeCell ref="G39:G40"/>
    <mergeCell ref="H39:H40"/>
    <mergeCell ref="I39:I40"/>
    <mergeCell ref="AP30:AP40"/>
    <mergeCell ref="AQ30:AQ33"/>
    <mergeCell ref="A34:A36"/>
    <mergeCell ref="B34:B36"/>
    <mergeCell ref="C34:C36"/>
    <mergeCell ref="D34:D36"/>
    <mergeCell ref="G34:G36"/>
    <mergeCell ref="H34:H36"/>
    <mergeCell ref="I45:I48"/>
    <mergeCell ref="K45:K48"/>
    <mergeCell ref="AP45:AP49"/>
    <mergeCell ref="AQ45:AQ49"/>
    <mergeCell ref="AR45:AR49"/>
    <mergeCell ref="AR51:AR54"/>
    <mergeCell ref="J39:J40"/>
    <mergeCell ref="K39:K40"/>
    <mergeCell ref="AQ39:AQ40"/>
    <mergeCell ref="AR42:AR43"/>
    <mergeCell ref="AR30:AR40"/>
    <mergeCell ref="I34:I36"/>
    <mergeCell ref="A64:A66"/>
    <mergeCell ref="B64:B66"/>
    <mergeCell ref="C64:C66"/>
    <mergeCell ref="D64:D66"/>
    <mergeCell ref="G64:G66"/>
    <mergeCell ref="AP56:AP57"/>
    <mergeCell ref="AQ56:AQ57"/>
    <mergeCell ref="AR56:AR57"/>
    <mergeCell ref="A61:A63"/>
    <mergeCell ref="B61:B63"/>
    <mergeCell ref="C61:C63"/>
    <mergeCell ref="D61:D63"/>
    <mergeCell ref="G61:G63"/>
    <mergeCell ref="H61:H63"/>
    <mergeCell ref="I61:I63"/>
    <mergeCell ref="H64:H66"/>
    <mergeCell ref="I64:I66"/>
    <mergeCell ref="J64:J66"/>
    <mergeCell ref="K64:K66"/>
    <mergeCell ref="J61:J63"/>
    <mergeCell ref="K61:K63"/>
    <mergeCell ref="AP61:AP66"/>
    <mergeCell ref="AQ61:AQ66"/>
    <mergeCell ref="AR61:AR66"/>
  </mergeCells>
  <printOptions horizontalCentered="1"/>
  <pageMargins left="0.98425196850393704" right="0.78740157480314965" top="0.98425196850393704" bottom="0.78740157480314965" header="0" footer="0"/>
  <pageSetup paperSize="5" scale="29" fitToHeight="2" orientation="landscape" r:id="rId1"/>
  <headerFooter alignWithMargins="0">
    <oddFooter>Página &amp;P</oddFooter>
  </headerFooter>
  <rowBreaks count="1" manualBreakCount="1">
    <brk id="55" max="4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FF00"/>
  </sheetPr>
  <dimension ref="A1:AR94"/>
  <sheetViews>
    <sheetView showGridLines="0" view="pageBreakPreview" topLeftCell="A89" zoomScale="82" zoomScaleNormal="100" zoomScaleSheetLayoutView="82" workbookViewId="0">
      <selection activeCell="A103" sqref="A103"/>
    </sheetView>
  </sheetViews>
  <sheetFormatPr baseColWidth="10" defaultRowHeight="15.75"/>
  <cols>
    <col min="1" max="1" width="5.85546875" style="124" bestFit="1" customWidth="1"/>
    <col min="2" max="2" width="11" style="124" bestFit="1" customWidth="1"/>
    <col min="3" max="3" width="19.140625" style="124" bestFit="1" customWidth="1"/>
    <col min="4" max="4" width="22.42578125" style="124" customWidth="1"/>
    <col min="5" max="5" width="9" style="124" customWidth="1"/>
    <col min="6" max="6" width="18.140625" style="124" customWidth="1"/>
    <col min="7" max="7" width="24.85546875" style="124" customWidth="1"/>
    <col min="8" max="8" width="20.28515625" style="124" customWidth="1"/>
    <col min="9" max="9" width="13.85546875" style="124" customWidth="1"/>
    <col min="10" max="10" width="14.85546875" style="124" customWidth="1"/>
    <col min="11" max="11" width="14" style="124" customWidth="1"/>
    <col min="12" max="12" width="3.7109375" style="124" bestFit="1" customWidth="1"/>
    <col min="13" max="14" width="5.85546875" style="124" bestFit="1" customWidth="1"/>
    <col min="15" max="15" width="9.42578125" style="237" bestFit="1" customWidth="1"/>
    <col min="16" max="16" width="10.85546875" style="237" bestFit="1" customWidth="1"/>
    <col min="17" max="17" width="11.85546875" style="237" bestFit="1" customWidth="1"/>
    <col min="18" max="18" width="7.5703125" style="237" bestFit="1" customWidth="1"/>
    <col min="19" max="19" width="5.85546875" style="237" bestFit="1" customWidth="1"/>
    <col min="20" max="20" width="7.5703125" style="237" bestFit="1" customWidth="1"/>
    <col min="21" max="21" width="11.85546875" style="237" bestFit="1" customWidth="1"/>
    <col min="22" max="22" width="10.85546875" style="237" bestFit="1" customWidth="1"/>
    <col min="23" max="23" width="11.85546875" style="124" bestFit="1" customWidth="1"/>
    <col min="24" max="26" width="5.85546875" style="124" bestFit="1" customWidth="1"/>
    <col min="27" max="27" width="11.85546875" style="124" bestFit="1" customWidth="1"/>
    <col min="28" max="28" width="10.85546875" style="124" bestFit="1" customWidth="1"/>
    <col min="29" max="29" width="11.85546875" style="124" bestFit="1" customWidth="1"/>
    <col min="30" max="31" width="5.85546875" style="124" bestFit="1" customWidth="1"/>
    <col min="32" max="32" width="4.42578125" style="124" bestFit="1" customWidth="1"/>
    <col min="33" max="33" width="10.42578125" style="124" bestFit="1" customWidth="1"/>
    <col min="34" max="35" width="10.85546875" style="124" bestFit="1" customWidth="1"/>
    <col min="36" max="36" width="17" style="124" bestFit="1" customWidth="1"/>
    <col min="37" max="37" width="10.42578125" style="237" bestFit="1" customWidth="1"/>
    <col min="38" max="38" width="6.7109375" style="124" customWidth="1"/>
    <col min="39" max="39" width="7.7109375" style="124" customWidth="1"/>
    <col min="40" max="40" width="9.28515625" style="124" customWidth="1"/>
    <col min="41" max="41" width="13.28515625" style="124" bestFit="1" customWidth="1"/>
    <col min="42" max="42" width="23.5703125" style="124" customWidth="1"/>
    <col min="43" max="43" width="23.7109375" style="124" customWidth="1"/>
    <col min="44" max="44" width="23.5703125" style="124" customWidth="1"/>
    <col min="45" max="230" width="11.42578125" style="124"/>
    <col min="231" max="231" width="0" style="124" hidden="1" customWidth="1"/>
    <col min="232" max="232" width="0.28515625" style="124" customWidth="1"/>
    <col min="233" max="233" width="5.42578125" style="124" customWidth="1"/>
    <col min="234" max="234" width="9.5703125" style="124" customWidth="1"/>
    <col min="235" max="235" width="14.42578125" style="124" customWidth="1"/>
    <col min="236" max="236" width="22.42578125" style="124" customWidth="1"/>
    <col min="237" max="237" width="9" style="124" customWidth="1"/>
    <col min="238" max="238" width="6.28515625" style="124" customWidth="1"/>
    <col min="239" max="239" width="10.42578125" style="124" customWidth="1"/>
    <col min="240" max="240" width="8.7109375" style="124" customWidth="1"/>
    <col min="241" max="241" width="5.7109375" style="124" customWidth="1"/>
    <col min="242" max="242" width="8.42578125" style="124" customWidth="1"/>
    <col min="243" max="243" width="8" style="124" customWidth="1"/>
    <col min="244" max="245" width="2.140625" style="124" bestFit="1" customWidth="1"/>
    <col min="246" max="246" width="2.5703125" style="124" bestFit="1" customWidth="1"/>
    <col min="247" max="248" width="2.140625" style="124" bestFit="1" customWidth="1"/>
    <col min="249" max="249" width="2.5703125" style="124" bestFit="1" customWidth="1"/>
    <col min="250" max="250" width="2.28515625" style="124" bestFit="1" customWidth="1"/>
    <col min="251" max="251" width="2.5703125" style="124" bestFit="1" customWidth="1"/>
    <col min="252" max="252" width="2" style="124" bestFit="1" customWidth="1"/>
    <col min="253" max="253" width="2.28515625" style="124" bestFit="1" customWidth="1"/>
    <col min="254" max="254" width="2.5703125" style="124" bestFit="1" customWidth="1"/>
    <col min="255" max="256" width="2" style="124" bestFit="1" customWidth="1"/>
    <col min="257" max="257" width="2.28515625" style="124" bestFit="1" customWidth="1"/>
    <col min="258" max="258" width="2.140625" style="124" bestFit="1" customWidth="1"/>
    <col min="259" max="259" width="2" style="124" bestFit="1" customWidth="1"/>
    <col min="260" max="260" width="2.28515625" style="124" bestFit="1" customWidth="1"/>
    <col min="261" max="261" width="2.140625" style="124" bestFit="1" customWidth="1"/>
    <col min="262" max="267" width="2.28515625" style="124" bestFit="1" customWidth="1"/>
    <col min="268" max="268" width="5.5703125" style="124" customWidth="1"/>
    <col min="269" max="269" width="5.28515625" style="124" customWidth="1"/>
    <col min="270" max="272" width="5.42578125" style="124" customWidth="1"/>
    <col min="273" max="273" width="4.85546875" style="124" customWidth="1"/>
    <col min="274" max="274" width="9" style="124" customWidth="1"/>
    <col min="275" max="275" width="9.7109375" style="124" customWidth="1"/>
    <col min="276" max="486" width="11.42578125" style="124"/>
    <col min="487" max="487" width="0" style="124" hidden="1" customWidth="1"/>
    <col min="488" max="488" width="0.28515625" style="124" customWidth="1"/>
    <col min="489" max="489" width="5.42578125" style="124" customWidth="1"/>
    <col min="490" max="490" width="9.5703125" style="124" customWidth="1"/>
    <col min="491" max="491" width="14.42578125" style="124" customWidth="1"/>
    <col min="492" max="492" width="22.42578125" style="124" customWidth="1"/>
    <col min="493" max="493" width="9" style="124" customWidth="1"/>
    <col min="494" max="494" width="6.28515625" style="124" customWidth="1"/>
    <col min="495" max="495" width="10.42578125" style="124" customWidth="1"/>
    <col min="496" max="496" width="8.7109375" style="124" customWidth="1"/>
    <col min="497" max="497" width="5.7109375" style="124" customWidth="1"/>
    <col min="498" max="498" width="8.42578125" style="124" customWidth="1"/>
    <col min="499" max="499" width="8" style="124" customWidth="1"/>
    <col min="500" max="501" width="2.140625" style="124" bestFit="1" customWidth="1"/>
    <col min="502" max="502" width="2.5703125" style="124" bestFit="1" customWidth="1"/>
    <col min="503" max="504" width="2.140625" style="124" bestFit="1" customWidth="1"/>
    <col min="505" max="505" width="2.5703125" style="124" bestFit="1" customWidth="1"/>
    <col min="506" max="506" width="2.28515625" style="124" bestFit="1" customWidth="1"/>
    <col min="507" max="507" width="2.5703125" style="124" bestFit="1" customWidth="1"/>
    <col min="508" max="508" width="2" style="124" bestFit="1" customWidth="1"/>
    <col min="509" max="509" width="2.28515625" style="124" bestFit="1" customWidth="1"/>
    <col min="510" max="510" width="2.5703125" style="124" bestFit="1" customWidth="1"/>
    <col min="511" max="512" width="2" style="124" bestFit="1" customWidth="1"/>
    <col min="513" max="513" width="2.28515625" style="124" bestFit="1" customWidth="1"/>
    <col min="514" max="514" width="2.140625" style="124" bestFit="1" customWidth="1"/>
    <col min="515" max="515" width="2" style="124" bestFit="1" customWidth="1"/>
    <col min="516" max="516" width="2.28515625" style="124" bestFit="1" customWidth="1"/>
    <col min="517" max="517" width="2.140625" style="124" bestFit="1" customWidth="1"/>
    <col min="518" max="523" width="2.28515625" style="124" bestFit="1" customWidth="1"/>
    <col min="524" max="524" width="5.5703125" style="124" customWidth="1"/>
    <col min="525" max="525" width="5.28515625" style="124" customWidth="1"/>
    <col min="526" max="528" width="5.42578125" style="124" customWidth="1"/>
    <col min="529" max="529" width="4.85546875" style="124" customWidth="1"/>
    <col min="530" max="530" width="9" style="124" customWidth="1"/>
    <col min="531" max="531" width="9.7109375" style="124" customWidth="1"/>
    <col min="532" max="742" width="11.42578125" style="124"/>
    <col min="743" max="743" width="0" style="124" hidden="1" customWidth="1"/>
    <col min="744" max="744" width="0.28515625" style="124" customWidth="1"/>
    <col min="745" max="745" width="5.42578125" style="124" customWidth="1"/>
    <col min="746" max="746" width="9.5703125" style="124" customWidth="1"/>
    <col min="747" max="747" width="14.42578125" style="124" customWidth="1"/>
    <col min="748" max="748" width="22.42578125" style="124" customWidth="1"/>
    <col min="749" max="749" width="9" style="124" customWidth="1"/>
    <col min="750" max="750" width="6.28515625" style="124" customWidth="1"/>
    <col min="751" max="751" width="10.42578125" style="124" customWidth="1"/>
    <col min="752" max="752" width="8.7109375" style="124" customWidth="1"/>
    <col min="753" max="753" width="5.7109375" style="124" customWidth="1"/>
    <col min="754" max="754" width="8.42578125" style="124" customWidth="1"/>
    <col min="755" max="755" width="8" style="124" customWidth="1"/>
    <col min="756" max="757" width="2.140625" style="124" bestFit="1" customWidth="1"/>
    <col min="758" max="758" width="2.5703125" style="124" bestFit="1" customWidth="1"/>
    <col min="759" max="760" width="2.140625" style="124" bestFit="1" customWidth="1"/>
    <col min="761" max="761" width="2.5703125" style="124" bestFit="1" customWidth="1"/>
    <col min="762" max="762" width="2.28515625" style="124" bestFit="1" customWidth="1"/>
    <col min="763" max="763" width="2.5703125" style="124" bestFit="1" customWidth="1"/>
    <col min="764" max="764" width="2" style="124" bestFit="1" customWidth="1"/>
    <col min="765" max="765" width="2.28515625" style="124" bestFit="1" customWidth="1"/>
    <col min="766" max="766" width="2.5703125" style="124" bestFit="1" customWidth="1"/>
    <col min="767" max="768" width="2" style="124" bestFit="1" customWidth="1"/>
    <col min="769" max="769" width="2.28515625" style="124" bestFit="1" customWidth="1"/>
    <col min="770" max="770" width="2.140625" style="124" bestFit="1" customWidth="1"/>
    <col min="771" max="771" width="2" style="124" bestFit="1" customWidth="1"/>
    <col min="772" max="772" width="2.28515625" style="124" bestFit="1" customWidth="1"/>
    <col min="773" max="773" width="2.140625" style="124" bestFit="1" customWidth="1"/>
    <col min="774" max="779" width="2.28515625" style="124" bestFit="1" customWidth="1"/>
    <col min="780" max="780" width="5.5703125" style="124" customWidth="1"/>
    <col min="781" max="781" width="5.28515625" style="124" customWidth="1"/>
    <col min="782" max="784" width="5.42578125" style="124" customWidth="1"/>
    <col min="785" max="785" width="4.85546875" style="124" customWidth="1"/>
    <col min="786" max="786" width="9" style="124" customWidth="1"/>
    <col min="787" max="787" width="9.7109375" style="124" customWidth="1"/>
    <col min="788" max="998" width="11.42578125" style="124"/>
    <col min="999" max="999" width="0" style="124" hidden="1" customWidth="1"/>
    <col min="1000" max="1000" width="0.28515625" style="124" customWidth="1"/>
    <col min="1001" max="1001" width="5.42578125" style="124" customWidth="1"/>
    <col min="1002" max="1002" width="9.5703125" style="124" customWidth="1"/>
    <col min="1003" max="1003" width="14.42578125" style="124" customWidth="1"/>
    <col min="1004" max="1004" width="22.42578125" style="124" customWidth="1"/>
    <col min="1005" max="1005" width="9" style="124" customWidth="1"/>
    <col min="1006" max="1006" width="6.28515625" style="124" customWidth="1"/>
    <col min="1007" max="1007" width="10.42578125" style="124" customWidth="1"/>
    <col min="1008" max="1008" width="8.7109375" style="124" customWidth="1"/>
    <col min="1009" max="1009" width="5.7109375" style="124" customWidth="1"/>
    <col min="1010" max="1010" width="8.42578125" style="124" customWidth="1"/>
    <col min="1011" max="1011" width="8" style="124" customWidth="1"/>
    <col min="1012" max="1013" width="2.140625" style="124" bestFit="1" customWidth="1"/>
    <col min="1014" max="1014" width="2.5703125" style="124" bestFit="1" customWidth="1"/>
    <col min="1015" max="1016" width="2.140625" style="124" bestFit="1" customWidth="1"/>
    <col min="1017" max="1017" width="2.5703125" style="124" bestFit="1" customWidth="1"/>
    <col min="1018" max="1018" width="2.28515625" style="124" bestFit="1" customWidth="1"/>
    <col min="1019" max="1019" width="2.5703125" style="124" bestFit="1" customWidth="1"/>
    <col min="1020" max="1020" width="2" style="124" bestFit="1" customWidth="1"/>
    <col min="1021" max="1021" width="2.28515625" style="124" bestFit="1" customWidth="1"/>
    <col min="1022" max="1022" width="2.5703125" style="124" bestFit="1" customWidth="1"/>
    <col min="1023" max="1024" width="2" style="124" bestFit="1" customWidth="1"/>
    <col min="1025" max="1025" width="2.28515625" style="124" bestFit="1" customWidth="1"/>
    <col min="1026" max="1026" width="2.140625" style="124" bestFit="1" customWidth="1"/>
    <col min="1027" max="1027" width="2" style="124" bestFit="1" customWidth="1"/>
    <col min="1028" max="1028" width="2.28515625" style="124" bestFit="1" customWidth="1"/>
    <col min="1029" max="1029" width="2.140625" style="124" bestFit="1" customWidth="1"/>
    <col min="1030" max="1035" width="2.28515625" style="124" bestFit="1" customWidth="1"/>
    <col min="1036" max="1036" width="5.5703125" style="124" customWidth="1"/>
    <col min="1037" max="1037" width="5.28515625" style="124" customWidth="1"/>
    <col min="1038" max="1040" width="5.42578125" style="124" customWidth="1"/>
    <col min="1041" max="1041" width="4.85546875" style="124" customWidth="1"/>
    <col min="1042" max="1042" width="9" style="124" customWidth="1"/>
    <col min="1043" max="1043" width="9.7109375" style="124" customWidth="1"/>
    <col min="1044" max="1254" width="11.42578125" style="124"/>
    <col min="1255" max="1255" width="0" style="124" hidden="1" customWidth="1"/>
    <col min="1256" max="1256" width="0.28515625" style="124" customWidth="1"/>
    <col min="1257" max="1257" width="5.42578125" style="124" customWidth="1"/>
    <col min="1258" max="1258" width="9.5703125" style="124" customWidth="1"/>
    <col min="1259" max="1259" width="14.42578125" style="124" customWidth="1"/>
    <col min="1260" max="1260" width="22.42578125" style="124" customWidth="1"/>
    <col min="1261" max="1261" width="9" style="124" customWidth="1"/>
    <col min="1262" max="1262" width="6.28515625" style="124" customWidth="1"/>
    <col min="1263" max="1263" width="10.42578125" style="124" customWidth="1"/>
    <col min="1264" max="1264" width="8.7109375" style="124" customWidth="1"/>
    <col min="1265" max="1265" width="5.7109375" style="124" customWidth="1"/>
    <col min="1266" max="1266" width="8.42578125" style="124" customWidth="1"/>
    <col min="1267" max="1267" width="8" style="124" customWidth="1"/>
    <col min="1268" max="1269" width="2.140625" style="124" bestFit="1" customWidth="1"/>
    <col min="1270" max="1270" width="2.5703125" style="124" bestFit="1" customWidth="1"/>
    <col min="1271" max="1272" width="2.140625" style="124" bestFit="1" customWidth="1"/>
    <col min="1273" max="1273" width="2.5703125" style="124" bestFit="1" customWidth="1"/>
    <col min="1274" max="1274" width="2.28515625" style="124" bestFit="1" customWidth="1"/>
    <col min="1275" max="1275" width="2.5703125" style="124" bestFit="1" customWidth="1"/>
    <col min="1276" max="1276" width="2" style="124" bestFit="1" customWidth="1"/>
    <col min="1277" max="1277" width="2.28515625" style="124" bestFit="1" customWidth="1"/>
    <col min="1278" max="1278" width="2.5703125" style="124" bestFit="1" customWidth="1"/>
    <col min="1279" max="1280" width="2" style="124" bestFit="1" customWidth="1"/>
    <col min="1281" max="1281" width="2.28515625" style="124" bestFit="1" customWidth="1"/>
    <col min="1282" max="1282" width="2.140625" style="124" bestFit="1" customWidth="1"/>
    <col min="1283" max="1283" width="2" style="124" bestFit="1" customWidth="1"/>
    <col min="1284" max="1284" width="2.28515625" style="124" bestFit="1" customWidth="1"/>
    <col min="1285" max="1285" width="2.140625" style="124" bestFit="1" customWidth="1"/>
    <col min="1286" max="1291" width="2.28515625" style="124" bestFit="1" customWidth="1"/>
    <col min="1292" max="1292" width="5.5703125" style="124" customWidth="1"/>
    <col min="1293" max="1293" width="5.28515625" style="124" customWidth="1"/>
    <col min="1294" max="1296" width="5.42578125" style="124" customWidth="1"/>
    <col min="1297" max="1297" width="4.85546875" style="124" customWidth="1"/>
    <col min="1298" max="1298" width="9" style="124" customWidth="1"/>
    <col min="1299" max="1299" width="9.7109375" style="124" customWidth="1"/>
    <col min="1300" max="1510" width="11.42578125" style="124"/>
    <col min="1511" max="1511" width="0" style="124" hidden="1" customWidth="1"/>
    <col min="1512" max="1512" width="0.28515625" style="124" customWidth="1"/>
    <col min="1513" max="1513" width="5.42578125" style="124" customWidth="1"/>
    <col min="1514" max="1514" width="9.5703125" style="124" customWidth="1"/>
    <col min="1515" max="1515" width="14.42578125" style="124" customWidth="1"/>
    <col min="1516" max="1516" width="22.42578125" style="124" customWidth="1"/>
    <col min="1517" max="1517" width="9" style="124" customWidth="1"/>
    <col min="1518" max="1518" width="6.28515625" style="124" customWidth="1"/>
    <col min="1519" max="1519" width="10.42578125" style="124" customWidth="1"/>
    <col min="1520" max="1520" width="8.7109375" style="124" customWidth="1"/>
    <col min="1521" max="1521" width="5.7109375" style="124" customWidth="1"/>
    <col min="1522" max="1522" width="8.42578125" style="124" customWidth="1"/>
    <col min="1523" max="1523" width="8" style="124" customWidth="1"/>
    <col min="1524" max="1525" width="2.140625" style="124" bestFit="1" customWidth="1"/>
    <col min="1526" max="1526" width="2.5703125" style="124" bestFit="1" customWidth="1"/>
    <col min="1527" max="1528" width="2.140625" style="124" bestFit="1" customWidth="1"/>
    <col min="1529" max="1529" width="2.5703125" style="124" bestFit="1" customWidth="1"/>
    <col min="1530" max="1530" width="2.28515625" style="124" bestFit="1" customWidth="1"/>
    <col min="1531" max="1531" width="2.5703125" style="124" bestFit="1" customWidth="1"/>
    <col min="1532" max="1532" width="2" style="124" bestFit="1" customWidth="1"/>
    <col min="1533" max="1533" width="2.28515625" style="124" bestFit="1" customWidth="1"/>
    <col min="1534" max="1534" width="2.5703125" style="124" bestFit="1" customWidth="1"/>
    <col min="1535" max="1536" width="2" style="124" bestFit="1" customWidth="1"/>
    <col min="1537" max="1537" width="2.28515625" style="124" bestFit="1" customWidth="1"/>
    <col min="1538" max="1538" width="2.140625" style="124" bestFit="1" customWidth="1"/>
    <col min="1539" max="1539" width="2" style="124" bestFit="1" customWidth="1"/>
    <col min="1540" max="1540" width="2.28515625" style="124" bestFit="1" customWidth="1"/>
    <col min="1541" max="1541" width="2.140625" style="124" bestFit="1" customWidth="1"/>
    <col min="1542" max="1547" width="2.28515625" style="124" bestFit="1" customWidth="1"/>
    <col min="1548" max="1548" width="5.5703125" style="124" customWidth="1"/>
    <col min="1549" max="1549" width="5.28515625" style="124" customWidth="1"/>
    <col min="1550" max="1552" width="5.42578125" style="124" customWidth="1"/>
    <col min="1553" max="1553" width="4.85546875" style="124" customWidth="1"/>
    <col min="1554" max="1554" width="9" style="124" customWidth="1"/>
    <col min="1555" max="1555" width="9.7109375" style="124" customWidth="1"/>
    <col min="1556" max="1766" width="11.42578125" style="124"/>
    <col min="1767" max="1767" width="0" style="124" hidden="1" customWidth="1"/>
    <col min="1768" max="1768" width="0.28515625" style="124" customWidth="1"/>
    <col min="1769" max="1769" width="5.42578125" style="124" customWidth="1"/>
    <col min="1770" max="1770" width="9.5703125" style="124" customWidth="1"/>
    <col min="1771" max="1771" width="14.42578125" style="124" customWidth="1"/>
    <col min="1772" max="1772" width="22.42578125" style="124" customWidth="1"/>
    <col min="1773" max="1773" width="9" style="124" customWidth="1"/>
    <col min="1774" max="1774" width="6.28515625" style="124" customWidth="1"/>
    <col min="1775" max="1775" width="10.42578125" style="124" customWidth="1"/>
    <col min="1776" max="1776" width="8.7109375" style="124" customWidth="1"/>
    <col min="1777" max="1777" width="5.7109375" style="124" customWidth="1"/>
    <col min="1778" max="1778" width="8.42578125" style="124" customWidth="1"/>
    <col min="1779" max="1779" width="8" style="124" customWidth="1"/>
    <col min="1780" max="1781" width="2.140625" style="124" bestFit="1" customWidth="1"/>
    <col min="1782" max="1782" width="2.5703125" style="124" bestFit="1" customWidth="1"/>
    <col min="1783" max="1784" width="2.140625" style="124" bestFit="1" customWidth="1"/>
    <col min="1785" max="1785" width="2.5703125" style="124" bestFit="1" customWidth="1"/>
    <col min="1786" max="1786" width="2.28515625" style="124" bestFit="1" customWidth="1"/>
    <col min="1787" max="1787" width="2.5703125" style="124" bestFit="1" customWidth="1"/>
    <col min="1788" max="1788" width="2" style="124" bestFit="1" customWidth="1"/>
    <col min="1789" max="1789" width="2.28515625" style="124" bestFit="1" customWidth="1"/>
    <col min="1790" max="1790" width="2.5703125" style="124" bestFit="1" customWidth="1"/>
    <col min="1791" max="1792" width="2" style="124" bestFit="1" customWidth="1"/>
    <col min="1793" max="1793" width="2.28515625" style="124" bestFit="1" customWidth="1"/>
    <col min="1794" max="1794" width="2.140625" style="124" bestFit="1" customWidth="1"/>
    <col min="1795" max="1795" width="2" style="124" bestFit="1" customWidth="1"/>
    <col min="1796" max="1796" width="2.28515625" style="124" bestFit="1" customWidth="1"/>
    <col min="1797" max="1797" width="2.140625" style="124" bestFit="1" customWidth="1"/>
    <col min="1798" max="1803" width="2.28515625" style="124" bestFit="1" customWidth="1"/>
    <col min="1804" max="1804" width="5.5703125" style="124" customWidth="1"/>
    <col min="1805" max="1805" width="5.28515625" style="124" customWidth="1"/>
    <col min="1806" max="1808" width="5.42578125" style="124" customWidth="1"/>
    <col min="1809" max="1809" width="4.85546875" style="124" customWidth="1"/>
    <col min="1810" max="1810" width="9" style="124" customWidth="1"/>
    <col min="1811" max="1811" width="9.7109375" style="124" customWidth="1"/>
    <col min="1812" max="2022" width="11.42578125" style="124"/>
    <col min="2023" max="2023" width="0" style="124" hidden="1" customWidth="1"/>
    <col min="2024" max="2024" width="0.28515625" style="124" customWidth="1"/>
    <col min="2025" max="2025" width="5.42578125" style="124" customWidth="1"/>
    <col min="2026" max="2026" width="9.5703125" style="124" customWidth="1"/>
    <col min="2027" max="2027" width="14.42578125" style="124" customWidth="1"/>
    <col min="2028" max="2028" width="22.42578125" style="124" customWidth="1"/>
    <col min="2029" max="2029" width="9" style="124" customWidth="1"/>
    <col min="2030" max="2030" width="6.28515625" style="124" customWidth="1"/>
    <col min="2031" max="2031" width="10.42578125" style="124" customWidth="1"/>
    <col min="2032" max="2032" width="8.7109375" style="124" customWidth="1"/>
    <col min="2033" max="2033" width="5.7109375" style="124" customWidth="1"/>
    <col min="2034" max="2034" width="8.42578125" style="124" customWidth="1"/>
    <col min="2035" max="2035" width="8" style="124" customWidth="1"/>
    <col min="2036" max="2037" width="2.140625" style="124" bestFit="1" customWidth="1"/>
    <col min="2038" max="2038" width="2.5703125" style="124" bestFit="1" customWidth="1"/>
    <col min="2039" max="2040" width="2.140625" style="124" bestFit="1" customWidth="1"/>
    <col min="2041" max="2041" width="2.5703125" style="124" bestFit="1" customWidth="1"/>
    <col min="2042" max="2042" width="2.28515625" style="124" bestFit="1" customWidth="1"/>
    <col min="2043" max="2043" width="2.5703125" style="124" bestFit="1" customWidth="1"/>
    <col min="2044" max="2044" width="2" style="124" bestFit="1" customWidth="1"/>
    <col min="2045" max="2045" width="2.28515625" style="124" bestFit="1" customWidth="1"/>
    <col min="2046" max="2046" width="2.5703125" style="124" bestFit="1" customWidth="1"/>
    <col min="2047" max="2048" width="2" style="124" bestFit="1" customWidth="1"/>
    <col min="2049" max="2049" width="2.28515625" style="124" bestFit="1" customWidth="1"/>
    <col min="2050" max="2050" width="2.140625" style="124" bestFit="1" customWidth="1"/>
    <col min="2051" max="2051" width="2" style="124" bestFit="1" customWidth="1"/>
    <col min="2052" max="2052" width="2.28515625" style="124" bestFit="1" customWidth="1"/>
    <col min="2053" max="2053" width="2.140625" style="124" bestFit="1" customWidth="1"/>
    <col min="2054" max="2059" width="2.28515625" style="124" bestFit="1" customWidth="1"/>
    <col min="2060" max="2060" width="5.5703125" style="124" customWidth="1"/>
    <col min="2061" max="2061" width="5.28515625" style="124" customWidth="1"/>
    <col min="2062" max="2064" width="5.42578125" style="124" customWidth="1"/>
    <col min="2065" max="2065" width="4.85546875" style="124" customWidth="1"/>
    <col min="2066" max="2066" width="9" style="124" customWidth="1"/>
    <col min="2067" max="2067" width="9.7109375" style="124" customWidth="1"/>
    <col min="2068" max="2278" width="11.42578125" style="124"/>
    <col min="2279" max="2279" width="0" style="124" hidden="1" customWidth="1"/>
    <col min="2280" max="2280" width="0.28515625" style="124" customWidth="1"/>
    <col min="2281" max="2281" width="5.42578125" style="124" customWidth="1"/>
    <col min="2282" max="2282" width="9.5703125" style="124" customWidth="1"/>
    <col min="2283" max="2283" width="14.42578125" style="124" customWidth="1"/>
    <col min="2284" max="2284" width="22.42578125" style="124" customWidth="1"/>
    <col min="2285" max="2285" width="9" style="124" customWidth="1"/>
    <col min="2286" max="2286" width="6.28515625" style="124" customWidth="1"/>
    <col min="2287" max="2287" width="10.42578125" style="124" customWidth="1"/>
    <col min="2288" max="2288" width="8.7109375" style="124" customWidth="1"/>
    <col min="2289" max="2289" width="5.7109375" style="124" customWidth="1"/>
    <col min="2290" max="2290" width="8.42578125" style="124" customWidth="1"/>
    <col min="2291" max="2291" width="8" style="124" customWidth="1"/>
    <col min="2292" max="2293" width="2.140625" style="124" bestFit="1" customWidth="1"/>
    <col min="2294" max="2294" width="2.5703125" style="124" bestFit="1" customWidth="1"/>
    <col min="2295" max="2296" width="2.140625" style="124" bestFit="1" customWidth="1"/>
    <col min="2297" max="2297" width="2.5703125" style="124" bestFit="1" customWidth="1"/>
    <col min="2298" max="2298" width="2.28515625" style="124" bestFit="1" customWidth="1"/>
    <col min="2299" max="2299" width="2.5703125" style="124" bestFit="1" customWidth="1"/>
    <col min="2300" max="2300" width="2" style="124" bestFit="1" customWidth="1"/>
    <col min="2301" max="2301" width="2.28515625" style="124" bestFit="1" customWidth="1"/>
    <col min="2302" max="2302" width="2.5703125" style="124" bestFit="1" customWidth="1"/>
    <col min="2303" max="2304" width="2" style="124" bestFit="1" customWidth="1"/>
    <col min="2305" max="2305" width="2.28515625" style="124" bestFit="1" customWidth="1"/>
    <col min="2306" max="2306" width="2.140625" style="124" bestFit="1" customWidth="1"/>
    <col min="2307" max="2307" width="2" style="124" bestFit="1" customWidth="1"/>
    <col min="2308" max="2308" width="2.28515625" style="124" bestFit="1" customWidth="1"/>
    <col min="2309" max="2309" width="2.140625" style="124" bestFit="1" customWidth="1"/>
    <col min="2310" max="2315" width="2.28515625" style="124" bestFit="1" customWidth="1"/>
    <col min="2316" max="2316" width="5.5703125" style="124" customWidth="1"/>
    <col min="2317" max="2317" width="5.28515625" style="124" customWidth="1"/>
    <col min="2318" max="2320" width="5.42578125" style="124" customWidth="1"/>
    <col min="2321" max="2321" width="4.85546875" style="124" customWidth="1"/>
    <col min="2322" max="2322" width="9" style="124" customWidth="1"/>
    <col min="2323" max="2323" width="9.7109375" style="124" customWidth="1"/>
    <col min="2324" max="2534" width="11.42578125" style="124"/>
    <col min="2535" max="2535" width="0" style="124" hidden="1" customWidth="1"/>
    <col min="2536" max="2536" width="0.28515625" style="124" customWidth="1"/>
    <col min="2537" max="2537" width="5.42578125" style="124" customWidth="1"/>
    <col min="2538" max="2538" width="9.5703125" style="124" customWidth="1"/>
    <col min="2539" max="2539" width="14.42578125" style="124" customWidth="1"/>
    <col min="2540" max="2540" width="22.42578125" style="124" customWidth="1"/>
    <col min="2541" max="2541" width="9" style="124" customWidth="1"/>
    <col min="2542" max="2542" width="6.28515625" style="124" customWidth="1"/>
    <col min="2543" max="2543" width="10.42578125" style="124" customWidth="1"/>
    <col min="2544" max="2544" width="8.7109375" style="124" customWidth="1"/>
    <col min="2545" max="2545" width="5.7109375" style="124" customWidth="1"/>
    <col min="2546" max="2546" width="8.42578125" style="124" customWidth="1"/>
    <col min="2547" max="2547" width="8" style="124" customWidth="1"/>
    <col min="2548" max="2549" width="2.140625" style="124" bestFit="1" customWidth="1"/>
    <col min="2550" max="2550" width="2.5703125" style="124" bestFit="1" customWidth="1"/>
    <col min="2551" max="2552" width="2.140625" style="124" bestFit="1" customWidth="1"/>
    <col min="2553" max="2553" width="2.5703125" style="124" bestFit="1" customWidth="1"/>
    <col min="2554" max="2554" width="2.28515625" style="124" bestFit="1" customWidth="1"/>
    <col min="2555" max="2555" width="2.5703125" style="124" bestFit="1" customWidth="1"/>
    <col min="2556" max="2556" width="2" style="124" bestFit="1" customWidth="1"/>
    <col min="2557" max="2557" width="2.28515625" style="124" bestFit="1" customWidth="1"/>
    <col min="2558" max="2558" width="2.5703125" style="124" bestFit="1" customWidth="1"/>
    <col min="2559" max="2560" width="2" style="124" bestFit="1" customWidth="1"/>
    <col min="2561" max="2561" width="2.28515625" style="124" bestFit="1" customWidth="1"/>
    <col min="2562" max="2562" width="2.140625" style="124" bestFit="1" customWidth="1"/>
    <col min="2563" max="2563" width="2" style="124" bestFit="1" customWidth="1"/>
    <col min="2564" max="2564" width="2.28515625" style="124" bestFit="1" customWidth="1"/>
    <col min="2565" max="2565" width="2.140625" style="124" bestFit="1" customWidth="1"/>
    <col min="2566" max="2571" width="2.28515625" style="124" bestFit="1" customWidth="1"/>
    <col min="2572" max="2572" width="5.5703125" style="124" customWidth="1"/>
    <col min="2573" max="2573" width="5.28515625" style="124" customWidth="1"/>
    <col min="2574" max="2576" width="5.42578125" style="124" customWidth="1"/>
    <col min="2577" max="2577" width="4.85546875" style="124" customWidth="1"/>
    <col min="2578" max="2578" width="9" style="124" customWidth="1"/>
    <col min="2579" max="2579" width="9.7109375" style="124" customWidth="1"/>
    <col min="2580" max="2790" width="11.42578125" style="124"/>
    <col min="2791" max="2791" width="0" style="124" hidden="1" customWidth="1"/>
    <col min="2792" max="2792" width="0.28515625" style="124" customWidth="1"/>
    <col min="2793" max="2793" width="5.42578125" style="124" customWidth="1"/>
    <col min="2794" max="2794" width="9.5703125" style="124" customWidth="1"/>
    <col min="2795" max="2795" width="14.42578125" style="124" customWidth="1"/>
    <col min="2796" max="2796" width="22.42578125" style="124" customWidth="1"/>
    <col min="2797" max="2797" width="9" style="124" customWidth="1"/>
    <col min="2798" max="2798" width="6.28515625" style="124" customWidth="1"/>
    <col min="2799" max="2799" width="10.42578125" style="124" customWidth="1"/>
    <col min="2800" max="2800" width="8.7109375" style="124" customWidth="1"/>
    <col min="2801" max="2801" width="5.7109375" style="124" customWidth="1"/>
    <col min="2802" max="2802" width="8.42578125" style="124" customWidth="1"/>
    <col min="2803" max="2803" width="8" style="124" customWidth="1"/>
    <col min="2804" max="2805" width="2.140625" style="124" bestFit="1" customWidth="1"/>
    <col min="2806" max="2806" width="2.5703125" style="124" bestFit="1" customWidth="1"/>
    <col min="2807" max="2808" width="2.140625" style="124" bestFit="1" customWidth="1"/>
    <col min="2809" max="2809" width="2.5703125" style="124" bestFit="1" customWidth="1"/>
    <col min="2810" max="2810" width="2.28515625" style="124" bestFit="1" customWidth="1"/>
    <col min="2811" max="2811" width="2.5703125" style="124" bestFit="1" customWidth="1"/>
    <col min="2812" max="2812" width="2" style="124" bestFit="1" customWidth="1"/>
    <col min="2813" max="2813" width="2.28515625" style="124" bestFit="1" customWidth="1"/>
    <col min="2814" max="2814" width="2.5703125" style="124" bestFit="1" customWidth="1"/>
    <col min="2815" max="2816" width="2" style="124" bestFit="1" customWidth="1"/>
    <col min="2817" max="2817" width="2.28515625" style="124" bestFit="1" customWidth="1"/>
    <col min="2818" max="2818" width="2.140625" style="124" bestFit="1" customWidth="1"/>
    <col min="2819" max="2819" width="2" style="124" bestFit="1" customWidth="1"/>
    <col min="2820" max="2820" width="2.28515625" style="124" bestFit="1" customWidth="1"/>
    <col min="2821" max="2821" width="2.140625" style="124" bestFit="1" customWidth="1"/>
    <col min="2822" max="2827" width="2.28515625" style="124" bestFit="1" customWidth="1"/>
    <col min="2828" max="2828" width="5.5703125" style="124" customWidth="1"/>
    <col min="2829" max="2829" width="5.28515625" style="124" customWidth="1"/>
    <col min="2830" max="2832" width="5.42578125" style="124" customWidth="1"/>
    <col min="2833" max="2833" width="4.85546875" style="124" customWidth="1"/>
    <col min="2834" max="2834" width="9" style="124" customWidth="1"/>
    <col min="2835" max="2835" width="9.7109375" style="124" customWidth="1"/>
    <col min="2836" max="3046" width="11.42578125" style="124"/>
    <col min="3047" max="3047" width="0" style="124" hidden="1" customWidth="1"/>
    <col min="3048" max="3048" width="0.28515625" style="124" customWidth="1"/>
    <col min="3049" max="3049" width="5.42578125" style="124" customWidth="1"/>
    <col min="3050" max="3050" width="9.5703125" style="124" customWidth="1"/>
    <col min="3051" max="3051" width="14.42578125" style="124" customWidth="1"/>
    <col min="3052" max="3052" width="22.42578125" style="124" customWidth="1"/>
    <col min="3053" max="3053" width="9" style="124" customWidth="1"/>
    <col min="3054" max="3054" width="6.28515625" style="124" customWidth="1"/>
    <col min="3055" max="3055" width="10.42578125" style="124" customWidth="1"/>
    <col min="3056" max="3056" width="8.7109375" style="124" customWidth="1"/>
    <col min="3057" max="3057" width="5.7109375" style="124" customWidth="1"/>
    <col min="3058" max="3058" width="8.42578125" style="124" customWidth="1"/>
    <col min="3059" max="3059" width="8" style="124" customWidth="1"/>
    <col min="3060" max="3061" width="2.140625" style="124" bestFit="1" customWidth="1"/>
    <col min="3062" max="3062" width="2.5703125" style="124" bestFit="1" customWidth="1"/>
    <col min="3063" max="3064" width="2.140625" style="124" bestFit="1" customWidth="1"/>
    <col min="3065" max="3065" width="2.5703125" style="124" bestFit="1" customWidth="1"/>
    <col min="3066" max="3066" width="2.28515625" style="124" bestFit="1" customWidth="1"/>
    <col min="3067" max="3067" width="2.5703125" style="124" bestFit="1" customWidth="1"/>
    <col min="3068" max="3068" width="2" style="124" bestFit="1" customWidth="1"/>
    <col min="3069" max="3069" width="2.28515625" style="124" bestFit="1" customWidth="1"/>
    <col min="3070" max="3070" width="2.5703125" style="124" bestFit="1" customWidth="1"/>
    <col min="3071" max="3072" width="2" style="124" bestFit="1" customWidth="1"/>
    <col min="3073" max="3073" width="2.28515625" style="124" bestFit="1" customWidth="1"/>
    <col min="3074" max="3074" width="2.140625" style="124" bestFit="1" customWidth="1"/>
    <col min="3075" max="3075" width="2" style="124" bestFit="1" customWidth="1"/>
    <col min="3076" max="3076" width="2.28515625" style="124" bestFit="1" customWidth="1"/>
    <col min="3077" max="3077" width="2.140625" style="124" bestFit="1" customWidth="1"/>
    <col min="3078" max="3083" width="2.28515625" style="124" bestFit="1" customWidth="1"/>
    <col min="3084" max="3084" width="5.5703125" style="124" customWidth="1"/>
    <col min="3085" max="3085" width="5.28515625" style="124" customWidth="1"/>
    <col min="3086" max="3088" width="5.42578125" style="124" customWidth="1"/>
    <col min="3089" max="3089" width="4.85546875" style="124" customWidth="1"/>
    <col min="3090" max="3090" width="9" style="124" customWidth="1"/>
    <col min="3091" max="3091" width="9.7109375" style="124" customWidth="1"/>
    <col min="3092" max="3302" width="11.42578125" style="124"/>
    <col min="3303" max="3303" width="0" style="124" hidden="1" customWidth="1"/>
    <col min="3304" max="3304" width="0.28515625" style="124" customWidth="1"/>
    <col min="3305" max="3305" width="5.42578125" style="124" customWidth="1"/>
    <col min="3306" max="3306" width="9.5703125" style="124" customWidth="1"/>
    <col min="3307" max="3307" width="14.42578125" style="124" customWidth="1"/>
    <col min="3308" max="3308" width="22.42578125" style="124" customWidth="1"/>
    <col min="3309" max="3309" width="9" style="124" customWidth="1"/>
    <col min="3310" max="3310" width="6.28515625" style="124" customWidth="1"/>
    <col min="3311" max="3311" width="10.42578125" style="124" customWidth="1"/>
    <col min="3312" max="3312" width="8.7109375" style="124" customWidth="1"/>
    <col min="3313" max="3313" width="5.7109375" style="124" customWidth="1"/>
    <col min="3314" max="3314" width="8.42578125" style="124" customWidth="1"/>
    <col min="3315" max="3315" width="8" style="124" customWidth="1"/>
    <col min="3316" max="3317" width="2.140625" style="124" bestFit="1" customWidth="1"/>
    <col min="3318" max="3318" width="2.5703125" style="124" bestFit="1" customWidth="1"/>
    <col min="3319" max="3320" width="2.140625" style="124" bestFit="1" customWidth="1"/>
    <col min="3321" max="3321" width="2.5703125" style="124" bestFit="1" customWidth="1"/>
    <col min="3322" max="3322" width="2.28515625" style="124" bestFit="1" customWidth="1"/>
    <col min="3323" max="3323" width="2.5703125" style="124" bestFit="1" customWidth="1"/>
    <col min="3324" max="3324" width="2" style="124" bestFit="1" customWidth="1"/>
    <col min="3325" max="3325" width="2.28515625" style="124" bestFit="1" customWidth="1"/>
    <col min="3326" max="3326" width="2.5703125" style="124" bestFit="1" customWidth="1"/>
    <col min="3327" max="3328" width="2" style="124" bestFit="1" customWidth="1"/>
    <col min="3329" max="3329" width="2.28515625" style="124" bestFit="1" customWidth="1"/>
    <col min="3330" max="3330" width="2.140625" style="124" bestFit="1" customWidth="1"/>
    <col min="3331" max="3331" width="2" style="124" bestFit="1" customWidth="1"/>
    <col min="3332" max="3332" width="2.28515625" style="124" bestFit="1" customWidth="1"/>
    <col min="3333" max="3333" width="2.140625" style="124" bestFit="1" customWidth="1"/>
    <col min="3334" max="3339" width="2.28515625" style="124" bestFit="1" customWidth="1"/>
    <col min="3340" max="3340" width="5.5703125" style="124" customWidth="1"/>
    <col min="3341" max="3341" width="5.28515625" style="124" customWidth="1"/>
    <col min="3342" max="3344" width="5.42578125" style="124" customWidth="1"/>
    <col min="3345" max="3345" width="4.85546875" style="124" customWidth="1"/>
    <col min="3346" max="3346" width="9" style="124" customWidth="1"/>
    <col min="3347" max="3347" width="9.7109375" style="124" customWidth="1"/>
    <col min="3348" max="3558" width="11.42578125" style="124"/>
    <col min="3559" max="3559" width="0" style="124" hidden="1" customWidth="1"/>
    <col min="3560" max="3560" width="0.28515625" style="124" customWidth="1"/>
    <col min="3561" max="3561" width="5.42578125" style="124" customWidth="1"/>
    <col min="3562" max="3562" width="9.5703125" style="124" customWidth="1"/>
    <col min="3563" max="3563" width="14.42578125" style="124" customWidth="1"/>
    <col min="3564" max="3564" width="22.42578125" style="124" customWidth="1"/>
    <col min="3565" max="3565" width="9" style="124" customWidth="1"/>
    <col min="3566" max="3566" width="6.28515625" style="124" customWidth="1"/>
    <col min="3567" max="3567" width="10.42578125" style="124" customWidth="1"/>
    <col min="3568" max="3568" width="8.7109375" style="124" customWidth="1"/>
    <col min="3569" max="3569" width="5.7109375" style="124" customWidth="1"/>
    <col min="3570" max="3570" width="8.42578125" style="124" customWidth="1"/>
    <col min="3571" max="3571" width="8" style="124" customWidth="1"/>
    <col min="3572" max="3573" width="2.140625" style="124" bestFit="1" customWidth="1"/>
    <col min="3574" max="3574" width="2.5703125" style="124" bestFit="1" customWidth="1"/>
    <col min="3575" max="3576" width="2.140625" style="124" bestFit="1" customWidth="1"/>
    <col min="3577" max="3577" width="2.5703125" style="124" bestFit="1" customWidth="1"/>
    <col min="3578" max="3578" width="2.28515625" style="124" bestFit="1" customWidth="1"/>
    <col min="3579" max="3579" width="2.5703125" style="124" bestFit="1" customWidth="1"/>
    <col min="3580" max="3580" width="2" style="124" bestFit="1" customWidth="1"/>
    <col min="3581" max="3581" width="2.28515625" style="124" bestFit="1" customWidth="1"/>
    <col min="3582" max="3582" width="2.5703125" style="124" bestFit="1" customWidth="1"/>
    <col min="3583" max="3584" width="2" style="124" bestFit="1" customWidth="1"/>
    <col min="3585" max="3585" width="2.28515625" style="124" bestFit="1" customWidth="1"/>
    <col min="3586" max="3586" width="2.140625" style="124" bestFit="1" customWidth="1"/>
    <col min="3587" max="3587" width="2" style="124" bestFit="1" customWidth="1"/>
    <col min="3588" max="3588" width="2.28515625" style="124" bestFit="1" customWidth="1"/>
    <col min="3589" max="3589" width="2.140625" style="124" bestFit="1" customWidth="1"/>
    <col min="3590" max="3595" width="2.28515625" style="124" bestFit="1" customWidth="1"/>
    <col min="3596" max="3596" width="5.5703125" style="124" customWidth="1"/>
    <col min="3597" max="3597" width="5.28515625" style="124" customWidth="1"/>
    <col min="3598" max="3600" width="5.42578125" style="124" customWidth="1"/>
    <col min="3601" max="3601" width="4.85546875" style="124" customWidth="1"/>
    <col min="3602" max="3602" width="9" style="124" customWidth="1"/>
    <col min="3603" max="3603" width="9.7109375" style="124" customWidth="1"/>
    <col min="3604" max="3814" width="11.42578125" style="124"/>
    <col min="3815" max="3815" width="0" style="124" hidden="1" customWidth="1"/>
    <col min="3816" max="3816" width="0.28515625" style="124" customWidth="1"/>
    <col min="3817" max="3817" width="5.42578125" style="124" customWidth="1"/>
    <col min="3818" max="3818" width="9.5703125" style="124" customWidth="1"/>
    <col min="3819" max="3819" width="14.42578125" style="124" customWidth="1"/>
    <col min="3820" max="3820" width="22.42578125" style="124" customWidth="1"/>
    <col min="3821" max="3821" width="9" style="124" customWidth="1"/>
    <col min="3822" max="3822" width="6.28515625" style="124" customWidth="1"/>
    <col min="3823" max="3823" width="10.42578125" style="124" customWidth="1"/>
    <col min="3824" max="3824" width="8.7109375" style="124" customWidth="1"/>
    <col min="3825" max="3825" width="5.7109375" style="124" customWidth="1"/>
    <col min="3826" max="3826" width="8.42578125" style="124" customWidth="1"/>
    <col min="3827" max="3827" width="8" style="124" customWidth="1"/>
    <col min="3828" max="3829" width="2.140625" style="124" bestFit="1" customWidth="1"/>
    <col min="3830" max="3830" width="2.5703125" style="124" bestFit="1" customWidth="1"/>
    <col min="3831" max="3832" width="2.140625" style="124" bestFit="1" customWidth="1"/>
    <col min="3833" max="3833" width="2.5703125" style="124" bestFit="1" customWidth="1"/>
    <col min="3834" max="3834" width="2.28515625" style="124" bestFit="1" customWidth="1"/>
    <col min="3835" max="3835" width="2.5703125" style="124" bestFit="1" customWidth="1"/>
    <col min="3836" max="3836" width="2" style="124" bestFit="1" customWidth="1"/>
    <col min="3837" max="3837" width="2.28515625" style="124" bestFit="1" customWidth="1"/>
    <col min="3838" max="3838" width="2.5703125" style="124" bestFit="1" customWidth="1"/>
    <col min="3839" max="3840" width="2" style="124" bestFit="1" customWidth="1"/>
    <col min="3841" max="3841" width="2.28515625" style="124" bestFit="1" customWidth="1"/>
    <col min="3842" max="3842" width="2.140625" style="124" bestFit="1" customWidth="1"/>
    <col min="3843" max="3843" width="2" style="124" bestFit="1" customWidth="1"/>
    <col min="3844" max="3844" width="2.28515625" style="124" bestFit="1" customWidth="1"/>
    <col min="3845" max="3845" width="2.140625" style="124" bestFit="1" customWidth="1"/>
    <col min="3846" max="3851" width="2.28515625" style="124" bestFit="1" customWidth="1"/>
    <col min="3852" max="3852" width="5.5703125" style="124" customWidth="1"/>
    <col min="3853" max="3853" width="5.28515625" style="124" customWidth="1"/>
    <col min="3854" max="3856" width="5.42578125" style="124" customWidth="1"/>
    <col min="3857" max="3857" width="4.85546875" style="124" customWidth="1"/>
    <col min="3858" max="3858" width="9" style="124" customWidth="1"/>
    <col min="3859" max="3859" width="9.7109375" style="124" customWidth="1"/>
    <col min="3860" max="4070" width="11.42578125" style="124"/>
    <col min="4071" max="4071" width="0" style="124" hidden="1" customWidth="1"/>
    <col min="4072" max="4072" width="0.28515625" style="124" customWidth="1"/>
    <col min="4073" max="4073" width="5.42578125" style="124" customWidth="1"/>
    <col min="4074" max="4074" width="9.5703125" style="124" customWidth="1"/>
    <col min="4075" max="4075" width="14.42578125" style="124" customWidth="1"/>
    <col min="4076" max="4076" width="22.42578125" style="124" customWidth="1"/>
    <col min="4077" max="4077" width="9" style="124" customWidth="1"/>
    <col min="4078" max="4078" width="6.28515625" style="124" customWidth="1"/>
    <col min="4079" max="4079" width="10.42578125" style="124" customWidth="1"/>
    <col min="4080" max="4080" width="8.7109375" style="124" customWidth="1"/>
    <col min="4081" max="4081" width="5.7109375" style="124" customWidth="1"/>
    <col min="4082" max="4082" width="8.42578125" style="124" customWidth="1"/>
    <col min="4083" max="4083" width="8" style="124" customWidth="1"/>
    <col min="4084" max="4085" width="2.140625" style="124" bestFit="1" customWidth="1"/>
    <col min="4086" max="4086" width="2.5703125" style="124" bestFit="1" customWidth="1"/>
    <col min="4087" max="4088" width="2.140625" style="124" bestFit="1" customWidth="1"/>
    <col min="4089" max="4089" width="2.5703125" style="124" bestFit="1" customWidth="1"/>
    <col min="4090" max="4090" width="2.28515625" style="124" bestFit="1" customWidth="1"/>
    <col min="4091" max="4091" width="2.5703125" style="124" bestFit="1" customWidth="1"/>
    <col min="4092" max="4092" width="2" style="124" bestFit="1" customWidth="1"/>
    <col min="4093" max="4093" width="2.28515625" style="124" bestFit="1" customWidth="1"/>
    <col min="4094" max="4094" width="2.5703125" style="124" bestFit="1" customWidth="1"/>
    <col min="4095" max="4096" width="2" style="124" bestFit="1" customWidth="1"/>
    <col min="4097" max="4097" width="2.28515625" style="124" bestFit="1" customWidth="1"/>
    <col min="4098" max="4098" width="2.140625" style="124" bestFit="1" customWidth="1"/>
    <col min="4099" max="4099" width="2" style="124" bestFit="1" customWidth="1"/>
    <col min="4100" max="4100" width="2.28515625" style="124" bestFit="1" customWidth="1"/>
    <col min="4101" max="4101" width="2.140625" style="124" bestFit="1" customWidth="1"/>
    <col min="4102" max="4107" width="2.28515625" style="124" bestFit="1" customWidth="1"/>
    <col min="4108" max="4108" width="5.5703125" style="124" customWidth="1"/>
    <col min="4109" max="4109" width="5.28515625" style="124" customWidth="1"/>
    <col min="4110" max="4112" width="5.42578125" style="124" customWidth="1"/>
    <col min="4113" max="4113" width="4.85546875" style="124" customWidth="1"/>
    <col min="4114" max="4114" width="9" style="124" customWidth="1"/>
    <col min="4115" max="4115" width="9.7109375" style="124" customWidth="1"/>
    <col min="4116" max="4326" width="11.42578125" style="124"/>
    <col min="4327" max="4327" width="0" style="124" hidden="1" customWidth="1"/>
    <col min="4328" max="4328" width="0.28515625" style="124" customWidth="1"/>
    <col min="4329" max="4329" width="5.42578125" style="124" customWidth="1"/>
    <col min="4330" max="4330" width="9.5703125" style="124" customWidth="1"/>
    <col min="4331" max="4331" width="14.42578125" style="124" customWidth="1"/>
    <col min="4332" max="4332" width="22.42578125" style="124" customWidth="1"/>
    <col min="4333" max="4333" width="9" style="124" customWidth="1"/>
    <col min="4334" max="4334" width="6.28515625" style="124" customWidth="1"/>
    <col min="4335" max="4335" width="10.42578125" style="124" customWidth="1"/>
    <col min="4336" max="4336" width="8.7109375" style="124" customWidth="1"/>
    <col min="4337" max="4337" width="5.7109375" style="124" customWidth="1"/>
    <col min="4338" max="4338" width="8.42578125" style="124" customWidth="1"/>
    <col min="4339" max="4339" width="8" style="124" customWidth="1"/>
    <col min="4340" max="4341" width="2.140625" style="124" bestFit="1" customWidth="1"/>
    <col min="4342" max="4342" width="2.5703125" style="124" bestFit="1" customWidth="1"/>
    <col min="4343" max="4344" width="2.140625" style="124" bestFit="1" customWidth="1"/>
    <col min="4345" max="4345" width="2.5703125" style="124" bestFit="1" customWidth="1"/>
    <col min="4346" max="4346" width="2.28515625" style="124" bestFit="1" customWidth="1"/>
    <col min="4347" max="4347" width="2.5703125" style="124" bestFit="1" customWidth="1"/>
    <col min="4348" max="4348" width="2" style="124" bestFit="1" customWidth="1"/>
    <col min="4349" max="4349" width="2.28515625" style="124" bestFit="1" customWidth="1"/>
    <col min="4350" max="4350" width="2.5703125" style="124" bestFit="1" customWidth="1"/>
    <col min="4351" max="4352" width="2" style="124" bestFit="1" customWidth="1"/>
    <col min="4353" max="4353" width="2.28515625" style="124" bestFit="1" customWidth="1"/>
    <col min="4354" max="4354" width="2.140625" style="124" bestFit="1" customWidth="1"/>
    <col min="4355" max="4355" width="2" style="124" bestFit="1" customWidth="1"/>
    <col min="4356" max="4356" width="2.28515625" style="124" bestFit="1" customWidth="1"/>
    <col min="4357" max="4357" width="2.140625" style="124" bestFit="1" customWidth="1"/>
    <col min="4358" max="4363" width="2.28515625" style="124" bestFit="1" customWidth="1"/>
    <col min="4364" max="4364" width="5.5703125" style="124" customWidth="1"/>
    <col min="4365" max="4365" width="5.28515625" style="124" customWidth="1"/>
    <col min="4366" max="4368" width="5.42578125" style="124" customWidth="1"/>
    <col min="4369" max="4369" width="4.85546875" style="124" customWidth="1"/>
    <col min="4370" max="4370" width="9" style="124" customWidth="1"/>
    <col min="4371" max="4371" width="9.7109375" style="124" customWidth="1"/>
    <col min="4372" max="4582" width="11.42578125" style="124"/>
    <col min="4583" max="4583" width="0" style="124" hidden="1" customWidth="1"/>
    <col min="4584" max="4584" width="0.28515625" style="124" customWidth="1"/>
    <col min="4585" max="4585" width="5.42578125" style="124" customWidth="1"/>
    <col min="4586" max="4586" width="9.5703125" style="124" customWidth="1"/>
    <col min="4587" max="4587" width="14.42578125" style="124" customWidth="1"/>
    <col min="4588" max="4588" width="22.42578125" style="124" customWidth="1"/>
    <col min="4589" max="4589" width="9" style="124" customWidth="1"/>
    <col min="4590" max="4590" width="6.28515625" style="124" customWidth="1"/>
    <col min="4591" max="4591" width="10.42578125" style="124" customWidth="1"/>
    <col min="4592" max="4592" width="8.7109375" style="124" customWidth="1"/>
    <col min="4593" max="4593" width="5.7109375" style="124" customWidth="1"/>
    <col min="4594" max="4594" width="8.42578125" style="124" customWidth="1"/>
    <col min="4595" max="4595" width="8" style="124" customWidth="1"/>
    <col min="4596" max="4597" width="2.140625" style="124" bestFit="1" customWidth="1"/>
    <col min="4598" max="4598" width="2.5703125" style="124" bestFit="1" customWidth="1"/>
    <col min="4599" max="4600" width="2.140625" style="124" bestFit="1" customWidth="1"/>
    <col min="4601" max="4601" width="2.5703125" style="124" bestFit="1" customWidth="1"/>
    <col min="4602" max="4602" width="2.28515625" style="124" bestFit="1" customWidth="1"/>
    <col min="4603" max="4603" width="2.5703125" style="124" bestFit="1" customWidth="1"/>
    <col min="4604" max="4604" width="2" style="124" bestFit="1" customWidth="1"/>
    <col min="4605" max="4605" width="2.28515625" style="124" bestFit="1" customWidth="1"/>
    <col min="4606" max="4606" width="2.5703125" style="124" bestFit="1" customWidth="1"/>
    <col min="4607" max="4608" width="2" style="124" bestFit="1" customWidth="1"/>
    <col min="4609" max="4609" width="2.28515625" style="124" bestFit="1" customWidth="1"/>
    <col min="4610" max="4610" width="2.140625" style="124" bestFit="1" customWidth="1"/>
    <col min="4611" max="4611" width="2" style="124" bestFit="1" customWidth="1"/>
    <col min="4612" max="4612" width="2.28515625" style="124" bestFit="1" customWidth="1"/>
    <col min="4613" max="4613" width="2.140625" style="124" bestFit="1" customWidth="1"/>
    <col min="4614" max="4619" width="2.28515625" style="124" bestFit="1" customWidth="1"/>
    <col min="4620" max="4620" width="5.5703125" style="124" customWidth="1"/>
    <col min="4621" max="4621" width="5.28515625" style="124" customWidth="1"/>
    <col min="4622" max="4624" width="5.42578125" style="124" customWidth="1"/>
    <col min="4625" max="4625" width="4.85546875" style="124" customWidth="1"/>
    <col min="4626" max="4626" width="9" style="124" customWidth="1"/>
    <col min="4627" max="4627" width="9.7109375" style="124" customWidth="1"/>
    <col min="4628" max="4838" width="11.42578125" style="124"/>
    <col min="4839" max="4839" width="0" style="124" hidden="1" customWidth="1"/>
    <col min="4840" max="4840" width="0.28515625" style="124" customWidth="1"/>
    <col min="4841" max="4841" width="5.42578125" style="124" customWidth="1"/>
    <col min="4842" max="4842" width="9.5703125" style="124" customWidth="1"/>
    <col min="4843" max="4843" width="14.42578125" style="124" customWidth="1"/>
    <col min="4844" max="4844" width="22.42578125" style="124" customWidth="1"/>
    <col min="4845" max="4845" width="9" style="124" customWidth="1"/>
    <col min="4846" max="4846" width="6.28515625" style="124" customWidth="1"/>
    <col min="4847" max="4847" width="10.42578125" style="124" customWidth="1"/>
    <col min="4848" max="4848" width="8.7109375" style="124" customWidth="1"/>
    <col min="4849" max="4849" width="5.7109375" style="124" customWidth="1"/>
    <col min="4850" max="4850" width="8.42578125" style="124" customWidth="1"/>
    <col min="4851" max="4851" width="8" style="124" customWidth="1"/>
    <col min="4852" max="4853" width="2.140625" style="124" bestFit="1" customWidth="1"/>
    <col min="4854" max="4854" width="2.5703125" style="124" bestFit="1" customWidth="1"/>
    <col min="4855" max="4856" width="2.140625" style="124" bestFit="1" customWidth="1"/>
    <col min="4857" max="4857" width="2.5703125" style="124" bestFit="1" customWidth="1"/>
    <col min="4858" max="4858" width="2.28515625" style="124" bestFit="1" customWidth="1"/>
    <col min="4859" max="4859" width="2.5703125" style="124" bestFit="1" customWidth="1"/>
    <col min="4860" max="4860" width="2" style="124" bestFit="1" customWidth="1"/>
    <col min="4861" max="4861" width="2.28515625" style="124" bestFit="1" customWidth="1"/>
    <col min="4862" max="4862" width="2.5703125" style="124" bestFit="1" customWidth="1"/>
    <col min="4863" max="4864" width="2" style="124" bestFit="1" customWidth="1"/>
    <col min="4865" max="4865" width="2.28515625" style="124" bestFit="1" customWidth="1"/>
    <col min="4866" max="4866" width="2.140625" style="124" bestFit="1" customWidth="1"/>
    <col min="4867" max="4867" width="2" style="124" bestFit="1" customWidth="1"/>
    <col min="4868" max="4868" width="2.28515625" style="124" bestFit="1" customWidth="1"/>
    <col min="4869" max="4869" width="2.140625" style="124" bestFit="1" customWidth="1"/>
    <col min="4870" max="4875" width="2.28515625" style="124" bestFit="1" customWidth="1"/>
    <col min="4876" max="4876" width="5.5703125" style="124" customWidth="1"/>
    <col min="4877" max="4877" width="5.28515625" style="124" customWidth="1"/>
    <col min="4878" max="4880" width="5.42578125" style="124" customWidth="1"/>
    <col min="4881" max="4881" width="4.85546875" style="124" customWidth="1"/>
    <col min="4882" max="4882" width="9" style="124" customWidth="1"/>
    <col min="4883" max="4883" width="9.7109375" style="124" customWidth="1"/>
    <col min="4884" max="5094" width="11.42578125" style="124"/>
    <col min="5095" max="5095" width="0" style="124" hidden="1" customWidth="1"/>
    <col min="5096" max="5096" width="0.28515625" style="124" customWidth="1"/>
    <col min="5097" max="5097" width="5.42578125" style="124" customWidth="1"/>
    <col min="5098" max="5098" width="9.5703125" style="124" customWidth="1"/>
    <col min="5099" max="5099" width="14.42578125" style="124" customWidth="1"/>
    <col min="5100" max="5100" width="22.42578125" style="124" customWidth="1"/>
    <col min="5101" max="5101" width="9" style="124" customWidth="1"/>
    <col min="5102" max="5102" width="6.28515625" style="124" customWidth="1"/>
    <col min="5103" max="5103" width="10.42578125" style="124" customWidth="1"/>
    <col min="5104" max="5104" width="8.7109375" style="124" customWidth="1"/>
    <col min="5105" max="5105" width="5.7109375" style="124" customWidth="1"/>
    <col min="5106" max="5106" width="8.42578125" style="124" customWidth="1"/>
    <col min="5107" max="5107" width="8" style="124" customWidth="1"/>
    <col min="5108" max="5109" width="2.140625" style="124" bestFit="1" customWidth="1"/>
    <col min="5110" max="5110" width="2.5703125" style="124" bestFit="1" customWidth="1"/>
    <col min="5111" max="5112" width="2.140625" style="124" bestFit="1" customWidth="1"/>
    <col min="5113" max="5113" width="2.5703125" style="124" bestFit="1" customWidth="1"/>
    <col min="5114" max="5114" width="2.28515625" style="124" bestFit="1" customWidth="1"/>
    <col min="5115" max="5115" width="2.5703125" style="124" bestFit="1" customWidth="1"/>
    <col min="5116" max="5116" width="2" style="124" bestFit="1" customWidth="1"/>
    <col min="5117" max="5117" width="2.28515625" style="124" bestFit="1" customWidth="1"/>
    <col min="5118" max="5118" width="2.5703125" style="124" bestFit="1" customWidth="1"/>
    <col min="5119" max="5120" width="2" style="124" bestFit="1" customWidth="1"/>
    <col min="5121" max="5121" width="2.28515625" style="124" bestFit="1" customWidth="1"/>
    <col min="5122" max="5122" width="2.140625" style="124" bestFit="1" customWidth="1"/>
    <col min="5123" max="5123" width="2" style="124" bestFit="1" customWidth="1"/>
    <col min="5124" max="5124" width="2.28515625" style="124" bestFit="1" customWidth="1"/>
    <col min="5125" max="5125" width="2.140625" style="124" bestFit="1" customWidth="1"/>
    <col min="5126" max="5131" width="2.28515625" style="124" bestFit="1" customWidth="1"/>
    <col min="5132" max="5132" width="5.5703125" style="124" customWidth="1"/>
    <col min="5133" max="5133" width="5.28515625" style="124" customWidth="1"/>
    <col min="5134" max="5136" width="5.42578125" style="124" customWidth="1"/>
    <col min="5137" max="5137" width="4.85546875" style="124" customWidth="1"/>
    <col min="5138" max="5138" width="9" style="124" customWidth="1"/>
    <col min="5139" max="5139" width="9.7109375" style="124" customWidth="1"/>
    <col min="5140" max="5350" width="11.42578125" style="124"/>
    <col min="5351" max="5351" width="0" style="124" hidden="1" customWidth="1"/>
    <col min="5352" max="5352" width="0.28515625" style="124" customWidth="1"/>
    <col min="5353" max="5353" width="5.42578125" style="124" customWidth="1"/>
    <col min="5354" max="5354" width="9.5703125" style="124" customWidth="1"/>
    <col min="5355" max="5355" width="14.42578125" style="124" customWidth="1"/>
    <col min="5356" max="5356" width="22.42578125" style="124" customWidth="1"/>
    <col min="5357" max="5357" width="9" style="124" customWidth="1"/>
    <col min="5358" max="5358" width="6.28515625" style="124" customWidth="1"/>
    <col min="5359" max="5359" width="10.42578125" style="124" customWidth="1"/>
    <col min="5360" max="5360" width="8.7109375" style="124" customWidth="1"/>
    <col min="5361" max="5361" width="5.7109375" style="124" customWidth="1"/>
    <col min="5362" max="5362" width="8.42578125" style="124" customWidth="1"/>
    <col min="5363" max="5363" width="8" style="124" customWidth="1"/>
    <col min="5364" max="5365" width="2.140625" style="124" bestFit="1" customWidth="1"/>
    <col min="5366" max="5366" width="2.5703125" style="124" bestFit="1" customWidth="1"/>
    <col min="5367" max="5368" width="2.140625" style="124" bestFit="1" customWidth="1"/>
    <col min="5369" max="5369" width="2.5703125" style="124" bestFit="1" customWidth="1"/>
    <col min="5370" max="5370" width="2.28515625" style="124" bestFit="1" customWidth="1"/>
    <col min="5371" max="5371" width="2.5703125" style="124" bestFit="1" customWidth="1"/>
    <col min="5372" max="5372" width="2" style="124" bestFit="1" customWidth="1"/>
    <col min="5373" max="5373" width="2.28515625" style="124" bestFit="1" customWidth="1"/>
    <col min="5374" max="5374" width="2.5703125" style="124" bestFit="1" customWidth="1"/>
    <col min="5375" max="5376" width="2" style="124" bestFit="1" customWidth="1"/>
    <col min="5377" max="5377" width="2.28515625" style="124" bestFit="1" customWidth="1"/>
    <col min="5378" max="5378" width="2.140625" style="124" bestFit="1" customWidth="1"/>
    <col min="5379" max="5379" width="2" style="124" bestFit="1" customWidth="1"/>
    <col min="5380" max="5380" width="2.28515625" style="124" bestFit="1" customWidth="1"/>
    <col min="5381" max="5381" width="2.140625" style="124" bestFit="1" customWidth="1"/>
    <col min="5382" max="5387" width="2.28515625" style="124" bestFit="1" customWidth="1"/>
    <col min="5388" max="5388" width="5.5703125" style="124" customWidth="1"/>
    <col min="5389" max="5389" width="5.28515625" style="124" customWidth="1"/>
    <col min="5390" max="5392" width="5.42578125" style="124" customWidth="1"/>
    <col min="5393" max="5393" width="4.85546875" style="124" customWidth="1"/>
    <col min="5394" max="5394" width="9" style="124" customWidth="1"/>
    <col min="5395" max="5395" width="9.7109375" style="124" customWidth="1"/>
    <col min="5396" max="5606" width="11.42578125" style="124"/>
    <col min="5607" max="5607" width="0" style="124" hidden="1" customWidth="1"/>
    <col min="5608" max="5608" width="0.28515625" style="124" customWidth="1"/>
    <col min="5609" max="5609" width="5.42578125" style="124" customWidth="1"/>
    <col min="5610" max="5610" width="9.5703125" style="124" customWidth="1"/>
    <col min="5611" max="5611" width="14.42578125" style="124" customWidth="1"/>
    <col min="5612" max="5612" width="22.42578125" style="124" customWidth="1"/>
    <col min="5613" max="5613" width="9" style="124" customWidth="1"/>
    <col min="5614" max="5614" width="6.28515625" style="124" customWidth="1"/>
    <col min="5615" max="5615" width="10.42578125" style="124" customWidth="1"/>
    <col min="5616" max="5616" width="8.7109375" style="124" customWidth="1"/>
    <col min="5617" max="5617" width="5.7109375" style="124" customWidth="1"/>
    <col min="5618" max="5618" width="8.42578125" style="124" customWidth="1"/>
    <col min="5619" max="5619" width="8" style="124" customWidth="1"/>
    <col min="5620" max="5621" width="2.140625" style="124" bestFit="1" customWidth="1"/>
    <col min="5622" max="5622" width="2.5703125" style="124" bestFit="1" customWidth="1"/>
    <col min="5623" max="5624" width="2.140625" style="124" bestFit="1" customWidth="1"/>
    <col min="5625" max="5625" width="2.5703125" style="124" bestFit="1" customWidth="1"/>
    <col min="5626" max="5626" width="2.28515625" style="124" bestFit="1" customWidth="1"/>
    <col min="5627" max="5627" width="2.5703125" style="124" bestFit="1" customWidth="1"/>
    <col min="5628" max="5628" width="2" style="124" bestFit="1" customWidth="1"/>
    <col min="5629" max="5629" width="2.28515625" style="124" bestFit="1" customWidth="1"/>
    <col min="5630" max="5630" width="2.5703125" style="124" bestFit="1" customWidth="1"/>
    <col min="5631" max="5632" width="2" style="124" bestFit="1" customWidth="1"/>
    <col min="5633" max="5633" width="2.28515625" style="124" bestFit="1" customWidth="1"/>
    <col min="5634" max="5634" width="2.140625" style="124" bestFit="1" customWidth="1"/>
    <col min="5635" max="5635" width="2" style="124" bestFit="1" customWidth="1"/>
    <col min="5636" max="5636" width="2.28515625" style="124" bestFit="1" customWidth="1"/>
    <col min="5637" max="5637" width="2.140625" style="124" bestFit="1" customWidth="1"/>
    <col min="5638" max="5643" width="2.28515625" style="124" bestFit="1" customWidth="1"/>
    <col min="5644" max="5644" width="5.5703125" style="124" customWidth="1"/>
    <col min="5645" max="5645" width="5.28515625" style="124" customWidth="1"/>
    <col min="5646" max="5648" width="5.42578125" style="124" customWidth="1"/>
    <col min="5649" max="5649" width="4.85546875" style="124" customWidth="1"/>
    <col min="5650" max="5650" width="9" style="124" customWidth="1"/>
    <col min="5651" max="5651" width="9.7109375" style="124" customWidth="1"/>
    <col min="5652" max="5862" width="11.42578125" style="124"/>
    <col min="5863" max="5863" width="0" style="124" hidden="1" customWidth="1"/>
    <col min="5864" max="5864" width="0.28515625" style="124" customWidth="1"/>
    <col min="5865" max="5865" width="5.42578125" style="124" customWidth="1"/>
    <col min="5866" max="5866" width="9.5703125" style="124" customWidth="1"/>
    <col min="5867" max="5867" width="14.42578125" style="124" customWidth="1"/>
    <col min="5868" max="5868" width="22.42578125" style="124" customWidth="1"/>
    <col min="5869" max="5869" width="9" style="124" customWidth="1"/>
    <col min="5870" max="5870" width="6.28515625" style="124" customWidth="1"/>
    <col min="5871" max="5871" width="10.42578125" style="124" customWidth="1"/>
    <col min="5872" max="5872" width="8.7109375" style="124" customWidth="1"/>
    <col min="5873" max="5873" width="5.7109375" style="124" customWidth="1"/>
    <col min="5874" max="5874" width="8.42578125" style="124" customWidth="1"/>
    <col min="5875" max="5875" width="8" style="124" customWidth="1"/>
    <col min="5876" max="5877" width="2.140625" style="124" bestFit="1" customWidth="1"/>
    <col min="5878" max="5878" width="2.5703125" style="124" bestFit="1" customWidth="1"/>
    <col min="5879" max="5880" width="2.140625" style="124" bestFit="1" customWidth="1"/>
    <col min="5881" max="5881" width="2.5703125" style="124" bestFit="1" customWidth="1"/>
    <col min="5882" max="5882" width="2.28515625" style="124" bestFit="1" customWidth="1"/>
    <col min="5883" max="5883" width="2.5703125" style="124" bestFit="1" customWidth="1"/>
    <col min="5884" max="5884" width="2" style="124" bestFit="1" customWidth="1"/>
    <col min="5885" max="5885" width="2.28515625" style="124" bestFit="1" customWidth="1"/>
    <col min="5886" max="5886" width="2.5703125" style="124" bestFit="1" customWidth="1"/>
    <col min="5887" max="5888" width="2" style="124" bestFit="1" customWidth="1"/>
    <col min="5889" max="5889" width="2.28515625" style="124" bestFit="1" customWidth="1"/>
    <col min="5890" max="5890" width="2.140625" style="124" bestFit="1" customWidth="1"/>
    <col min="5891" max="5891" width="2" style="124" bestFit="1" customWidth="1"/>
    <col min="5892" max="5892" width="2.28515625" style="124" bestFit="1" customWidth="1"/>
    <col min="5893" max="5893" width="2.140625" style="124" bestFit="1" customWidth="1"/>
    <col min="5894" max="5899" width="2.28515625" style="124" bestFit="1" customWidth="1"/>
    <col min="5900" max="5900" width="5.5703125" style="124" customWidth="1"/>
    <col min="5901" max="5901" width="5.28515625" style="124" customWidth="1"/>
    <col min="5902" max="5904" width="5.42578125" style="124" customWidth="1"/>
    <col min="5905" max="5905" width="4.85546875" style="124" customWidth="1"/>
    <col min="5906" max="5906" width="9" style="124" customWidth="1"/>
    <col min="5907" max="5907" width="9.7109375" style="124" customWidth="1"/>
    <col min="5908" max="6118" width="11.42578125" style="124"/>
    <col min="6119" max="6119" width="0" style="124" hidden="1" customWidth="1"/>
    <col min="6120" max="6120" width="0.28515625" style="124" customWidth="1"/>
    <col min="6121" max="6121" width="5.42578125" style="124" customWidth="1"/>
    <col min="6122" max="6122" width="9.5703125" style="124" customWidth="1"/>
    <col min="6123" max="6123" width="14.42578125" style="124" customWidth="1"/>
    <col min="6124" max="6124" width="22.42578125" style="124" customWidth="1"/>
    <col min="6125" max="6125" width="9" style="124" customWidth="1"/>
    <col min="6126" max="6126" width="6.28515625" style="124" customWidth="1"/>
    <col min="6127" max="6127" width="10.42578125" style="124" customWidth="1"/>
    <col min="6128" max="6128" width="8.7109375" style="124" customWidth="1"/>
    <col min="6129" max="6129" width="5.7109375" style="124" customWidth="1"/>
    <col min="6130" max="6130" width="8.42578125" style="124" customWidth="1"/>
    <col min="6131" max="6131" width="8" style="124" customWidth="1"/>
    <col min="6132" max="6133" width="2.140625" style="124" bestFit="1" customWidth="1"/>
    <col min="6134" max="6134" width="2.5703125" style="124" bestFit="1" customWidth="1"/>
    <col min="6135" max="6136" width="2.140625" style="124" bestFit="1" customWidth="1"/>
    <col min="6137" max="6137" width="2.5703125" style="124" bestFit="1" customWidth="1"/>
    <col min="6138" max="6138" width="2.28515625" style="124" bestFit="1" customWidth="1"/>
    <col min="6139" max="6139" width="2.5703125" style="124" bestFit="1" customWidth="1"/>
    <col min="6140" max="6140" width="2" style="124" bestFit="1" customWidth="1"/>
    <col min="6141" max="6141" width="2.28515625" style="124" bestFit="1" customWidth="1"/>
    <col min="6142" max="6142" width="2.5703125" style="124" bestFit="1" customWidth="1"/>
    <col min="6143" max="6144" width="2" style="124" bestFit="1" customWidth="1"/>
    <col min="6145" max="6145" width="2.28515625" style="124" bestFit="1" customWidth="1"/>
    <col min="6146" max="6146" width="2.140625" style="124" bestFit="1" customWidth="1"/>
    <col min="6147" max="6147" width="2" style="124" bestFit="1" customWidth="1"/>
    <col min="6148" max="6148" width="2.28515625" style="124" bestFit="1" customWidth="1"/>
    <col min="6149" max="6149" width="2.140625" style="124" bestFit="1" customWidth="1"/>
    <col min="6150" max="6155" width="2.28515625" style="124" bestFit="1" customWidth="1"/>
    <col min="6156" max="6156" width="5.5703125" style="124" customWidth="1"/>
    <col min="6157" max="6157" width="5.28515625" style="124" customWidth="1"/>
    <col min="6158" max="6160" width="5.42578125" style="124" customWidth="1"/>
    <col min="6161" max="6161" width="4.85546875" style="124" customWidth="1"/>
    <col min="6162" max="6162" width="9" style="124" customWidth="1"/>
    <col min="6163" max="6163" width="9.7109375" style="124" customWidth="1"/>
    <col min="6164" max="6374" width="11.42578125" style="124"/>
    <col min="6375" max="6375" width="0" style="124" hidden="1" customWidth="1"/>
    <col min="6376" max="6376" width="0.28515625" style="124" customWidth="1"/>
    <col min="6377" max="6377" width="5.42578125" style="124" customWidth="1"/>
    <col min="6378" max="6378" width="9.5703125" style="124" customWidth="1"/>
    <col min="6379" max="6379" width="14.42578125" style="124" customWidth="1"/>
    <col min="6380" max="6380" width="22.42578125" style="124" customWidth="1"/>
    <col min="6381" max="6381" width="9" style="124" customWidth="1"/>
    <col min="6382" max="6382" width="6.28515625" style="124" customWidth="1"/>
    <col min="6383" max="6383" width="10.42578125" style="124" customWidth="1"/>
    <col min="6384" max="6384" width="8.7109375" style="124" customWidth="1"/>
    <col min="6385" max="6385" width="5.7109375" style="124" customWidth="1"/>
    <col min="6386" max="6386" width="8.42578125" style="124" customWidth="1"/>
    <col min="6387" max="6387" width="8" style="124" customWidth="1"/>
    <col min="6388" max="6389" width="2.140625" style="124" bestFit="1" customWidth="1"/>
    <col min="6390" max="6390" width="2.5703125" style="124" bestFit="1" customWidth="1"/>
    <col min="6391" max="6392" width="2.140625" style="124" bestFit="1" customWidth="1"/>
    <col min="6393" max="6393" width="2.5703125" style="124" bestFit="1" customWidth="1"/>
    <col min="6394" max="6394" width="2.28515625" style="124" bestFit="1" customWidth="1"/>
    <col min="6395" max="6395" width="2.5703125" style="124" bestFit="1" customWidth="1"/>
    <col min="6396" max="6396" width="2" style="124" bestFit="1" customWidth="1"/>
    <col min="6397" max="6397" width="2.28515625" style="124" bestFit="1" customWidth="1"/>
    <col min="6398" max="6398" width="2.5703125" style="124" bestFit="1" customWidth="1"/>
    <col min="6399" max="6400" width="2" style="124" bestFit="1" customWidth="1"/>
    <col min="6401" max="6401" width="2.28515625" style="124" bestFit="1" customWidth="1"/>
    <col min="6402" max="6402" width="2.140625" style="124" bestFit="1" customWidth="1"/>
    <col min="6403" max="6403" width="2" style="124" bestFit="1" customWidth="1"/>
    <col min="6404" max="6404" width="2.28515625" style="124" bestFit="1" customWidth="1"/>
    <col min="6405" max="6405" width="2.140625" style="124" bestFit="1" customWidth="1"/>
    <col min="6406" max="6411" width="2.28515625" style="124" bestFit="1" customWidth="1"/>
    <col min="6412" max="6412" width="5.5703125" style="124" customWidth="1"/>
    <col min="6413" max="6413" width="5.28515625" style="124" customWidth="1"/>
    <col min="6414" max="6416" width="5.42578125" style="124" customWidth="1"/>
    <col min="6417" max="6417" width="4.85546875" style="124" customWidth="1"/>
    <col min="6418" max="6418" width="9" style="124" customWidth="1"/>
    <col min="6419" max="6419" width="9.7109375" style="124" customWidth="1"/>
    <col min="6420" max="6630" width="11.42578125" style="124"/>
    <col min="6631" max="6631" width="0" style="124" hidden="1" customWidth="1"/>
    <col min="6632" max="6632" width="0.28515625" style="124" customWidth="1"/>
    <col min="6633" max="6633" width="5.42578125" style="124" customWidth="1"/>
    <col min="6634" max="6634" width="9.5703125" style="124" customWidth="1"/>
    <col min="6635" max="6635" width="14.42578125" style="124" customWidth="1"/>
    <col min="6636" max="6636" width="22.42578125" style="124" customWidth="1"/>
    <col min="6637" max="6637" width="9" style="124" customWidth="1"/>
    <col min="6638" max="6638" width="6.28515625" style="124" customWidth="1"/>
    <col min="6639" max="6639" width="10.42578125" style="124" customWidth="1"/>
    <col min="6640" max="6640" width="8.7109375" style="124" customWidth="1"/>
    <col min="6641" max="6641" width="5.7109375" style="124" customWidth="1"/>
    <col min="6642" max="6642" width="8.42578125" style="124" customWidth="1"/>
    <col min="6643" max="6643" width="8" style="124" customWidth="1"/>
    <col min="6644" max="6645" width="2.140625" style="124" bestFit="1" customWidth="1"/>
    <col min="6646" max="6646" width="2.5703125" style="124" bestFit="1" customWidth="1"/>
    <col min="6647" max="6648" width="2.140625" style="124" bestFit="1" customWidth="1"/>
    <col min="6649" max="6649" width="2.5703125" style="124" bestFit="1" customWidth="1"/>
    <col min="6650" max="6650" width="2.28515625" style="124" bestFit="1" customWidth="1"/>
    <col min="6651" max="6651" width="2.5703125" style="124" bestFit="1" customWidth="1"/>
    <col min="6652" max="6652" width="2" style="124" bestFit="1" customWidth="1"/>
    <col min="6653" max="6653" width="2.28515625" style="124" bestFit="1" customWidth="1"/>
    <col min="6654" max="6654" width="2.5703125" style="124" bestFit="1" customWidth="1"/>
    <col min="6655" max="6656" width="2" style="124" bestFit="1" customWidth="1"/>
    <col min="6657" max="6657" width="2.28515625" style="124" bestFit="1" customWidth="1"/>
    <col min="6658" max="6658" width="2.140625" style="124" bestFit="1" customWidth="1"/>
    <col min="6659" max="6659" width="2" style="124" bestFit="1" customWidth="1"/>
    <col min="6660" max="6660" width="2.28515625" style="124" bestFit="1" customWidth="1"/>
    <col min="6661" max="6661" width="2.140625" style="124" bestFit="1" customWidth="1"/>
    <col min="6662" max="6667" width="2.28515625" style="124" bestFit="1" customWidth="1"/>
    <col min="6668" max="6668" width="5.5703125" style="124" customWidth="1"/>
    <col min="6669" max="6669" width="5.28515625" style="124" customWidth="1"/>
    <col min="6670" max="6672" width="5.42578125" style="124" customWidth="1"/>
    <col min="6673" max="6673" width="4.85546875" style="124" customWidth="1"/>
    <col min="6674" max="6674" width="9" style="124" customWidth="1"/>
    <col min="6675" max="6675" width="9.7109375" style="124" customWidth="1"/>
    <col min="6676" max="6886" width="11.42578125" style="124"/>
    <col min="6887" max="6887" width="0" style="124" hidden="1" customWidth="1"/>
    <col min="6888" max="6888" width="0.28515625" style="124" customWidth="1"/>
    <col min="6889" max="6889" width="5.42578125" style="124" customWidth="1"/>
    <col min="6890" max="6890" width="9.5703125" style="124" customWidth="1"/>
    <col min="6891" max="6891" width="14.42578125" style="124" customWidth="1"/>
    <col min="6892" max="6892" width="22.42578125" style="124" customWidth="1"/>
    <col min="6893" max="6893" width="9" style="124" customWidth="1"/>
    <col min="6894" max="6894" width="6.28515625" style="124" customWidth="1"/>
    <col min="6895" max="6895" width="10.42578125" style="124" customWidth="1"/>
    <col min="6896" max="6896" width="8.7109375" style="124" customWidth="1"/>
    <col min="6897" max="6897" width="5.7109375" style="124" customWidth="1"/>
    <col min="6898" max="6898" width="8.42578125" style="124" customWidth="1"/>
    <col min="6899" max="6899" width="8" style="124" customWidth="1"/>
    <col min="6900" max="6901" width="2.140625" style="124" bestFit="1" customWidth="1"/>
    <col min="6902" max="6902" width="2.5703125" style="124" bestFit="1" customWidth="1"/>
    <col min="6903" max="6904" width="2.140625" style="124" bestFit="1" customWidth="1"/>
    <col min="6905" max="6905" width="2.5703125" style="124" bestFit="1" customWidth="1"/>
    <col min="6906" max="6906" width="2.28515625" style="124" bestFit="1" customWidth="1"/>
    <col min="6907" max="6907" width="2.5703125" style="124" bestFit="1" customWidth="1"/>
    <col min="6908" max="6908" width="2" style="124" bestFit="1" customWidth="1"/>
    <col min="6909" max="6909" width="2.28515625" style="124" bestFit="1" customWidth="1"/>
    <col min="6910" max="6910" width="2.5703125" style="124" bestFit="1" customWidth="1"/>
    <col min="6911" max="6912" width="2" style="124" bestFit="1" customWidth="1"/>
    <col min="6913" max="6913" width="2.28515625" style="124" bestFit="1" customWidth="1"/>
    <col min="6914" max="6914" width="2.140625" style="124" bestFit="1" customWidth="1"/>
    <col min="6915" max="6915" width="2" style="124" bestFit="1" customWidth="1"/>
    <col min="6916" max="6916" width="2.28515625" style="124" bestFit="1" customWidth="1"/>
    <col min="6917" max="6917" width="2.140625" style="124" bestFit="1" customWidth="1"/>
    <col min="6918" max="6923" width="2.28515625" style="124" bestFit="1" customWidth="1"/>
    <col min="6924" max="6924" width="5.5703125" style="124" customWidth="1"/>
    <col min="6925" max="6925" width="5.28515625" style="124" customWidth="1"/>
    <col min="6926" max="6928" width="5.42578125" style="124" customWidth="1"/>
    <col min="6929" max="6929" width="4.85546875" style="124" customWidth="1"/>
    <col min="6930" max="6930" width="9" style="124" customWidth="1"/>
    <col min="6931" max="6931" width="9.7109375" style="124" customWidth="1"/>
    <col min="6932" max="7142" width="11.42578125" style="124"/>
    <col min="7143" max="7143" width="0" style="124" hidden="1" customWidth="1"/>
    <col min="7144" max="7144" width="0.28515625" style="124" customWidth="1"/>
    <col min="7145" max="7145" width="5.42578125" style="124" customWidth="1"/>
    <col min="7146" max="7146" width="9.5703125" style="124" customWidth="1"/>
    <col min="7147" max="7147" width="14.42578125" style="124" customWidth="1"/>
    <col min="7148" max="7148" width="22.42578125" style="124" customWidth="1"/>
    <col min="7149" max="7149" width="9" style="124" customWidth="1"/>
    <col min="7150" max="7150" width="6.28515625" style="124" customWidth="1"/>
    <col min="7151" max="7151" width="10.42578125" style="124" customWidth="1"/>
    <col min="7152" max="7152" width="8.7109375" style="124" customWidth="1"/>
    <col min="7153" max="7153" width="5.7109375" style="124" customWidth="1"/>
    <col min="7154" max="7154" width="8.42578125" style="124" customWidth="1"/>
    <col min="7155" max="7155" width="8" style="124" customWidth="1"/>
    <col min="7156" max="7157" width="2.140625" style="124" bestFit="1" customWidth="1"/>
    <col min="7158" max="7158" width="2.5703125" style="124" bestFit="1" customWidth="1"/>
    <col min="7159" max="7160" width="2.140625" style="124" bestFit="1" customWidth="1"/>
    <col min="7161" max="7161" width="2.5703125" style="124" bestFit="1" customWidth="1"/>
    <col min="7162" max="7162" width="2.28515625" style="124" bestFit="1" customWidth="1"/>
    <col min="7163" max="7163" width="2.5703125" style="124" bestFit="1" customWidth="1"/>
    <col min="7164" max="7164" width="2" style="124" bestFit="1" customWidth="1"/>
    <col min="7165" max="7165" width="2.28515625" style="124" bestFit="1" customWidth="1"/>
    <col min="7166" max="7166" width="2.5703125" style="124" bestFit="1" customWidth="1"/>
    <col min="7167" max="7168" width="2" style="124" bestFit="1" customWidth="1"/>
    <col min="7169" max="7169" width="2.28515625" style="124" bestFit="1" customWidth="1"/>
    <col min="7170" max="7170" width="2.140625" style="124" bestFit="1" customWidth="1"/>
    <col min="7171" max="7171" width="2" style="124" bestFit="1" customWidth="1"/>
    <col min="7172" max="7172" width="2.28515625" style="124" bestFit="1" customWidth="1"/>
    <col min="7173" max="7173" width="2.140625" style="124" bestFit="1" customWidth="1"/>
    <col min="7174" max="7179" width="2.28515625" style="124" bestFit="1" customWidth="1"/>
    <col min="7180" max="7180" width="5.5703125" style="124" customWidth="1"/>
    <col min="7181" max="7181" width="5.28515625" style="124" customWidth="1"/>
    <col min="7182" max="7184" width="5.42578125" style="124" customWidth="1"/>
    <col min="7185" max="7185" width="4.85546875" style="124" customWidth="1"/>
    <col min="7186" max="7186" width="9" style="124" customWidth="1"/>
    <col min="7187" max="7187" width="9.7109375" style="124" customWidth="1"/>
    <col min="7188" max="7398" width="11.42578125" style="124"/>
    <col min="7399" max="7399" width="0" style="124" hidden="1" customWidth="1"/>
    <col min="7400" max="7400" width="0.28515625" style="124" customWidth="1"/>
    <col min="7401" max="7401" width="5.42578125" style="124" customWidth="1"/>
    <col min="7402" max="7402" width="9.5703125" style="124" customWidth="1"/>
    <col min="7403" max="7403" width="14.42578125" style="124" customWidth="1"/>
    <col min="7404" max="7404" width="22.42578125" style="124" customWidth="1"/>
    <col min="7405" max="7405" width="9" style="124" customWidth="1"/>
    <col min="7406" max="7406" width="6.28515625" style="124" customWidth="1"/>
    <col min="7407" max="7407" width="10.42578125" style="124" customWidth="1"/>
    <col min="7408" max="7408" width="8.7109375" style="124" customWidth="1"/>
    <col min="7409" max="7409" width="5.7109375" style="124" customWidth="1"/>
    <col min="7410" max="7410" width="8.42578125" style="124" customWidth="1"/>
    <col min="7411" max="7411" width="8" style="124" customWidth="1"/>
    <col min="7412" max="7413" width="2.140625" style="124" bestFit="1" customWidth="1"/>
    <col min="7414" max="7414" width="2.5703125" style="124" bestFit="1" customWidth="1"/>
    <col min="7415" max="7416" width="2.140625" style="124" bestFit="1" customWidth="1"/>
    <col min="7417" max="7417" width="2.5703125" style="124" bestFit="1" customWidth="1"/>
    <col min="7418" max="7418" width="2.28515625" style="124" bestFit="1" customWidth="1"/>
    <col min="7419" max="7419" width="2.5703125" style="124" bestFit="1" customWidth="1"/>
    <col min="7420" max="7420" width="2" style="124" bestFit="1" customWidth="1"/>
    <col min="7421" max="7421" width="2.28515625" style="124" bestFit="1" customWidth="1"/>
    <col min="7422" max="7422" width="2.5703125" style="124" bestFit="1" customWidth="1"/>
    <col min="7423" max="7424" width="2" style="124" bestFit="1" customWidth="1"/>
    <col min="7425" max="7425" width="2.28515625" style="124" bestFit="1" customWidth="1"/>
    <col min="7426" max="7426" width="2.140625" style="124" bestFit="1" customWidth="1"/>
    <col min="7427" max="7427" width="2" style="124" bestFit="1" customWidth="1"/>
    <col min="7428" max="7428" width="2.28515625" style="124" bestFit="1" customWidth="1"/>
    <col min="7429" max="7429" width="2.140625" style="124" bestFit="1" customWidth="1"/>
    <col min="7430" max="7435" width="2.28515625" style="124" bestFit="1" customWidth="1"/>
    <col min="7436" max="7436" width="5.5703125" style="124" customWidth="1"/>
    <col min="7437" max="7437" width="5.28515625" style="124" customWidth="1"/>
    <col min="7438" max="7440" width="5.42578125" style="124" customWidth="1"/>
    <col min="7441" max="7441" width="4.85546875" style="124" customWidth="1"/>
    <col min="7442" max="7442" width="9" style="124" customWidth="1"/>
    <col min="7443" max="7443" width="9.7109375" style="124" customWidth="1"/>
    <col min="7444" max="7654" width="11.42578125" style="124"/>
    <col min="7655" max="7655" width="0" style="124" hidden="1" customWidth="1"/>
    <col min="7656" max="7656" width="0.28515625" style="124" customWidth="1"/>
    <col min="7657" max="7657" width="5.42578125" style="124" customWidth="1"/>
    <col min="7658" max="7658" width="9.5703125" style="124" customWidth="1"/>
    <col min="7659" max="7659" width="14.42578125" style="124" customWidth="1"/>
    <col min="7660" max="7660" width="22.42578125" style="124" customWidth="1"/>
    <col min="7661" max="7661" width="9" style="124" customWidth="1"/>
    <col min="7662" max="7662" width="6.28515625" style="124" customWidth="1"/>
    <col min="7663" max="7663" width="10.42578125" style="124" customWidth="1"/>
    <col min="7664" max="7664" width="8.7109375" style="124" customWidth="1"/>
    <col min="7665" max="7665" width="5.7109375" style="124" customWidth="1"/>
    <col min="7666" max="7666" width="8.42578125" style="124" customWidth="1"/>
    <col min="7667" max="7667" width="8" style="124" customWidth="1"/>
    <col min="7668" max="7669" width="2.140625" style="124" bestFit="1" customWidth="1"/>
    <col min="7670" max="7670" width="2.5703125" style="124" bestFit="1" customWidth="1"/>
    <col min="7671" max="7672" width="2.140625" style="124" bestFit="1" customWidth="1"/>
    <col min="7673" max="7673" width="2.5703125" style="124" bestFit="1" customWidth="1"/>
    <col min="7674" max="7674" width="2.28515625" style="124" bestFit="1" customWidth="1"/>
    <col min="7675" max="7675" width="2.5703125" style="124" bestFit="1" customWidth="1"/>
    <col min="7676" max="7676" width="2" style="124" bestFit="1" customWidth="1"/>
    <col min="7677" max="7677" width="2.28515625" style="124" bestFit="1" customWidth="1"/>
    <col min="7678" max="7678" width="2.5703125" style="124" bestFit="1" customWidth="1"/>
    <col min="7679" max="7680" width="2" style="124" bestFit="1" customWidth="1"/>
    <col min="7681" max="7681" width="2.28515625" style="124" bestFit="1" customWidth="1"/>
    <col min="7682" max="7682" width="2.140625" style="124" bestFit="1" customWidth="1"/>
    <col min="7683" max="7683" width="2" style="124" bestFit="1" customWidth="1"/>
    <col min="7684" max="7684" width="2.28515625" style="124" bestFit="1" customWidth="1"/>
    <col min="7685" max="7685" width="2.140625" style="124" bestFit="1" customWidth="1"/>
    <col min="7686" max="7691" width="2.28515625" style="124" bestFit="1" customWidth="1"/>
    <col min="7692" max="7692" width="5.5703125" style="124" customWidth="1"/>
    <col min="7693" max="7693" width="5.28515625" style="124" customWidth="1"/>
    <col min="7694" max="7696" width="5.42578125" style="124" customWidth="1"/>
    <col min="7697" max="7697" width="4.85546875" style="124" customWidth="1"/>
    <col min="7698" max="7698" width="9" style="124" customWidth="1"/>
    <col min="7699" max="7699" width="9.7109375" style="124" customWidth="1"/>
    <col min="7700" max="7910" width="11.42578125" style="124"/>
    <col min="7911" max="7911" width="0" style="124" hidden="1" customWidth="1"/>
    <col min="7912" max="7912" width="0.28515625" style="124" customWidth="1"/>
    <col min="7913" max="7913" width="5.42578125" style="124" customWidth="1"/>
    <col min="7914" max="7914" width="9.5703125" style="124" customWidth="1"/>
    <col min="7915" max="7915" width="14.42578125" style="124" customWidth="1"/>
    <col min="7916" max="7916" width="22.42578125" style="124" customWidth="1"/>
    <col min="7917" max="7917" width="9" style="124" customWidth="1"/>
    <col min="7918" max="7918" width="6.28515625" style="124" customWidth="1"/>
    <col min="7919" max="7919" width="10.42578125" style="124" customWidth="1"/>
    <col min="7920" max="7920" width="8.7109375" style="124" customWidth="1"/>
    <col min="7921" max="7921" width="5.7109375" style="124" customWidth="1"/>
    <col min="7922" max="7922" width="8.42578125" style="124" customWidth="1"/>
    <col min="7923" max="7923" width="8" style="124" customWidth="1"/>
    <col min="7924" max="7925" width="2.140625" style="124" bestFit="1" customWidth="1"/>
    <col min="7926" max="7926" width="2.5703125" style="124" bestFit="1" customWidth="1"/>
    <col min="7927" max="7928" width="2.140625" style="124" bestFit="1" customWidth="1"/>
    <col min="7929" max="7929" width="2.5703125" style="124" bestFit="1" customWidth="1"/>
    <col min="7930" max="7930" width="2.28515625" style="124" bestFit="1" customWidth="1"/>
    <col min="7931" max="7931" width="2.5703125" style="124" bestFit="1" customWidth="1"/>
    <col min="7932" max="7932" width="2" style="124" bestFit="1" customWidth="1"/>
    <col min="7933" max="7933" width="2.28515625" style="124" bestFit="1" customWidth="1"/>
    <col min="7934" max="7934" width="2.5703125" style="124" bestFit="1" customWidth="1"/>
    <col min="7935" max="7936" width="2" style="124" bestFit="1" customWidth="1"/>
    <col min="7937" max="7937" width="2.28515625" style="124" bestFit="1" customWidth="1"/>
    <col min="7938" max="7938" width="2.140625" style="124" bestFit="1" customWidth="1"/>
    <col min="7939" max="7939" width="2" style="124" bestFit="1" customWidth="1"/>
    <col min="7940" max="7940" width="2.28515625" style="124" bestFit="1" customWidth="1"/>
    <col min="7941" max="7941" width="2.140625" style="124" bestFit="1" customWidth="1"/>
    <col min="7942" max="7947" width="2.28515625" style="124" bestFit="1" customWidth="1"/>
    <col min="7948" max="7948" width="5.5703125" style="124" customWidth="1"/>
    <col min="7949" max="7949" width="5.28515625" style="124" customWidth="1"/>
    <col min="7950" max="7952" width="5.42578125" style="124" customWidth="1"/>
    <col min="7953" max="7953" width="4.85546875" style="124" customWidth="1"/>
    <col min="7954" max="7954" width="9" style="124" customWidth="1"/>
    <col min="7955" max="7955" width="9.7109375" style="124" customWidth="1"/>
    <col min="7956" max="8166" width="11.42578125" style="124"/>
    <col min="8167" max="8167" width="0" style="124" hidden="1" customWidth="1"/>
    <col min="8168" max="8168" width="0.28515625" style="124" customWidth="1"/>
    <col min="8169" max="8169" width="5.42578125" style="124" customWidth="1"/>
    <col min="8170" max="8170" width="9.5703125" style="124" customWidth="1"/>
    <col min="8171" max="8171" width="14.42578125" style="124" customWidth="1"/>
    <col min="8172" max="8172" width="22.42578125" style="124" customWidth="1"/>
    <col min="8173" max="8173" width="9" style="124" customWidth="1"/>
    <col min="8174" max="8174" width="6.28515625" style="124" customWidth="1"/>
    <col min="8175" max="8175" width="10.42578125" style="124" customWidth="1"/>
    <col min="8176" max="8176" width="8.7109375" style="124" customWidth="1"/>
    <col min="8177" max="8177" width="5.7109375" style="124" customWidth="1"/>
    <col min="8178" max="8178" width="8.42578125" style="124" customWidth="1"/>
    <col min="8179" max="8179" width="8" style="124" customWidth="1"/>
    <col min="8180" max="8181" width="2.140625" style="124" bestFit="1" customWidth="1"/>
    <col min="8182" max="8182" width="2.5703125" style="124" bestFit="1" customWidth="1"/>
    <col min="8183" max="8184" width="2.140625" style="124" bestFit="1" customWidth="1"/>
    <col min="8185" max="8185" width="2.5703125" style="124" bestFit="1" customWidth="1"/>
    <col min="8186" max="8186" width="2.28515625" style="124" bestFit="1" customWidth="1"/>
    <col min="8187" max="8187" width="2.5703125" style="124" bestFit="1" customWidth="1"/>
    <col min="8188" max="8188" width="2" style="124" bestFit="1" customWidth="1"/>
    <col min="8189" max="8189" width="2.28515625" style="124" bestFit="1" customWidth="1"/>
    <col min="8190" max="8190" width="2.5703125" style="124" bestFit="1" customWidth="1"/>
    <col min="8191" max="8192" width="2" style="124" bestFit="1" customWidth="1"/>
    <col min="8193" max="8193" width="2.28515625" style="124" bestFit="1" customWidth="1"/>
    <col min="8194" max="8194" width="2.140625" style="124" bestFit="1" customWidth="1"/>
    <col min="8195" max="8195" width="2" style="124" bestFit="1" customWidth="1"/>
    <col min="8196" max="8196" width="2.28515625" style="124" bestFit="1" customWidth="1"/>
    <col min="8197" max="8197" width="2.140625" style="124" bestFit="1" customWidth="1"/>
    <col min="8198" max="8203" width="2.28515625" style="124" bestFit="1" customWidth="1"/>
    <col min="8204" max="8204" width="5.5703125" style="124" customWidth="1"/>
    <col min="8205" max="8205" width="5.28515625" style="124" customWidth="1"/>
    <col min="8206" max="8208" width="5.42578125" style="124" customWidth="1"/>
    <col min="8209" max="8209" width="4.85546875" style="124" customWidth="1"/>
    <col min="8210" max="8210" width="9" style="124" customWidth="1"/>
    <col min="8211" max="8211" width="9.7109375" style="124" customWidth="1"/>
    <col min="8212" max="8422" width="11.42578125" style="124"/>
    <col min="8423" max="8423" width="0" style="124" hidden="1" customWidth="1"/>
    <col min="8424" max="8424" width="0.28515625" style="124" customWidth="1"/>
    <col min="8425" max="8425" width="5.42578125" style="124" customWidth="1"/>
    <col min="8426" max="8426" width="9.5703125" style="124" customWidth="1"/>
    <col min="8427" max="8427" width="14.42578125" style="124" customWidth="1"/>
    <col min="8428" max="8428" width="22.42578125" style="124" customWidth="1"/>
    <col min="8429" max="8429" width="9" style="124" customWidth="1"/>
    <col min="8430" max="8430" width="6.28515625" style="124" customWidth="1"/>
    <col min="8431" max="8431" width="10.42578125" style="124" customWidth="1"/>
    <col min="8432" max="8432" width="8.7109375" style="124" customWidth="1"/>
    <col min="8433" max="8433" width="5.7109375" style="124" customWidth="1"/>
    <col min="8434" max="8434" width="8.42578125" style="124" customWidth="1"/>
    <col min="8435" max="8435" width="8" style="124" customWidth="1"/>
    <col min="8436" max="8437" width="2.140625" style="124" bestFit="1" customWidth="1"/>
    <col min="8438" max="8438" width="2.5703125" style="124" bestFit="1" customWidth="1"/>
    <col min="8439" max="8440" width="2.140625" style="124" bestFit="1" customWidth="1"/>
    <col min="8441" max="8441" width="2.5703125" style="124" bestFit="1" customWidth="1"/>
    <col min="8442" max="8442" width="2.28515625" style="124" bestFit="1" customWidth="1"/>
    <col min="8443" max="8443" width="2.5703125" style="124" bestFit="1" customWidth="1"/>
    <col min="8444" max="8444" width="2" style="124" bestFit="1" customWidth="1"/>
    <col min="8445" max="8445" width="2.28515625" style="124" bestFit="1" customWidth="1"/>
    <col min="8446" max="8446" width="2.5703125" style="124" bestFit="1" customWidth="1"/>
    <col min="8447" max="8448" width="2" style="124" bestFit="1" customWidth="1"/>
    <col min="8449" max="8449" width="2.28515625" style="124" bestFit="1" customWidth="1"/>
    <col min="8450" max="8450" width="2.140625" style="124" bestFit="1" customWidth="1"/>
    <col min="8451" max="8451" width="2" style="124" bestFit="1" customWidth="1"/>
    <col min="8452" max="8452" width="2.28515625" style="124" bestFit="1" customWidth="1"/>
    <col min="8453" max="8453" width="2.140625" style="124" bestFit="1" customWidth="1"/>
    <col min="8454" max="8459" width="2.28515625" style="124" bestFit="1" customWidth="1"/>
    <col min="8460" max="8460" width="5.5703125" style="124" customWidth="1"/>
    <col min="8461" max="8461" width="5.28515625" style="124" customWidth="1"/>
    <col min="8462" max="8464" width="5.42578125" style="124" customWidth="1"/>
    <col min="8465" max="8465" width="4.85546875" style="124" customWidth="1"/>
    <col min="8466" max="8466" width="9" style="124" customWidth="1"/>
    <col min="8467" max="8467" width="9.7109375" style="124" customWidth="1"/>
    <col min="8468" max="8678" width="11.42578125" style="124"/>
    <col min="8679" max="8679" width="0" style="124" hidden="1" customWidth="1"/>
    <col min="8680" max="8680" width="0.28515625" style="124" customWidth="1"/>
    <col min="8681" max="8681" width="5.42578125" style="124" customWidth="1"/>
    <col min="8682" max="8682" width="9.5703125" style="124" customWidth="1"/>
    <col min="8683" max="8683" width="14.42578125" style="124" customWidth="1"/>
    <col min="8684" max="8684" width="22.42578125" style="124" customWidth="1"/>
    <col min="8685" max="8685" width="9" style="124" customWidth="1"/>
    <col min="8686" max="8686" width="6.28515625" style="124" customWidth="1"/>
    <col min="8687" max="8687" width="10.42578125" style="124" customWidth="1"/>
    <col min="8688" max="8688" width="8.7109375" style="124" customWidth="1"/>
    <col min="8689" max="8689" width="5.7109375" style="124" customWidth="1"/>
    <col min="8690" max="8690" width="8.42578125" style="124" customWidth="1"/>
    <col min="8691" max="8691" width="8" style="124" customWidth="1"/>
    <col min="8692" max="8693" width="2.140625" style="124" bestFit="1" customWidth="1"/>
    <col min="8694" max="8694" width="2.5703125" style="124" bestFit="1" customWidth="1"/>
    <col min="8695" max="8696" width="2.140625" style="124" bestFit="1" customWidth="1"/>
    <col min="8697" max="8697" width="2.5703125" style="124" bestFit="1" customWidth="1"/>
    <col min="8698" max="8698" width="2.28515625" style="124" bestFit="1" customWidth="1"/>
    <col min="8699" max="8699" width="2.5703125" style="124" bestFit="1" customWidth="1"/>
    <col min="8700" max="8700" width="2" style="124" bestFit="1" customWidth="1"/>
    <col min="8701" max="8701" width="2.28515625" style="124" bestFit="1" customWidth="1"/>
    <col min="8702" max="8702" width="2.5703125" style="124" bestFit="1" customWidth="1"/>
    <col min="8703" max="8704" width="2" style="124" bestFit="1" customWidth="1"/>
    <col min="8705" max="8705" width="2.28515625" style="124" bestFit="1" customWidth="1"/>
    <col min="8706" max="8706" width="2.140625" style="124" bestFit="1" customWidth="1"/>
    <col min="8707" max="8707" width="2" style="124" bestFit="1" customWidth="1"/>
    <col min="8708" max="8708" width="2.28515625" style="124" bestFit="1" customWidth="1"/>
    <col min="8709" max="8709" width="2.140625" style="124" bestFit="1" customWidth="1"/>
    <col min="8710" max="8715" width="2.28515625" style="124" bestFit="1" customWidth="1"/>
    <col min="8716" max="8716" width="5.5703125" style="124" customWidth="1"/>
    <col min="8717" max="8717" width="5.28515625" style="124" customWidth="1"/>
    <col min="8718" max="8720" width="5.42578125" style="124" customWidth="1"/>
    <col min="8721" max="8721" width="4.85546875" style="124" customWidth="1"/>
    <col min="8722" max="8722" width="9" style="124" customWidth="1"/>
    <col min="8723" max="8723" width="9.7109375" style="124" customWidth="1"/>
    <col min="8724" max="8934" width="11.42578125" style="124"/>
    <col min="8935" max="8935" width="0" style="124" hidden="1" customWidth="1"/>
    <col min="8936" max="8936" width="0.28515625" style="124" customWidth="1"/>
    <col min="8937" max="8937" width="5.42578125" style="124" customWidth="1"/>
    <col min="8938" max="8938" width="9.5703125" style="124" customWidth="1"/>
    <col min="8939" max="8939" width="14.42578125" style="124" customWidth="1"/>
    <col min="8940" max="8940" width="22.42578125" style="124" customWidth="1"/>
    <col min="8941" max="8941" width="9" style="124" customWidth="1"/>
    <col min="8942" max="8942" width="6.28515625" style="124" customWidth="1"/>
    <col min="8943" max="8943" width="10.42578125" style="124" customWidth="1"/>
    <col min="8944" max="8944" width="8.7109375" style="124" customWidth="1"/>
    <col min="8945" max="8945" width="5.7109375" style="124" customWidth="1"/>
    <col min="8946" max="8946" width="8.42578125" style="124" customWidth="1"/>
    <col min="8947" max="8947" width="8" style="124" customWidth="1"/>
    <col min="8948" max="8949" width="2.140625" style="124" bestFit="1" customWidth="1"/>
    <col min="8950" max="8950" width="2.5703125" style="124" bestFit="1" customWidth="1"/>
    <col min="8951" max="8952" width="2.140625" style="124" bestFit="1" customWidth="1"/>
    <col min="8953" max="8953" width="2.5703125" style="124" bestFit="1" customWidth="1"/>
    <col min="8954" max="8954" width="2.28515625" style="124" bestFit="1" customWidth="1"/>
    <col min="8955" max="8955" width="2.5703125" style="124" bestFit="1" customWidth="1"/>
    <col min="8956" max="8956" width="2" style="124" bestFit="1" customWidth="1"/>
    <col min="8957" max="8957" width="2.28515625" style="124" bestFit="1" customWidth="1"/>
    <col min="8958" max="8958" width="2.5703125" style="124" bestFit="1" customWidth="1"/>
    <col min="8959" max="8960" width="2" style="124" bestFit="1" customWidth="1"/>
    <col min="8961" max="8961" width="2.28515625" style="124" bestFit="1" customWidth="1"/>
    <col min="8962" max="8962" width="2.140625" style="124" bestFit="1" customWidth="1"/>
    <col min="8963" max="8963" width="2" style="124" bestFit="1" customWidth="1"/>
    <col min="8964" max="8964" width="2.28515625" style="124" bestFit="1" customWidth="1"/>
    <col min="8965" max="8965" width="2.140625" style="124" bestFit="1" customWidth="1"/>
    <col min="8966" max="8971" width="2.28515625" style="124" bestFit="1" customWidth="1"/>
    <col min="8972" max="8972" width="5.5703125" style="124" customWidth="1"/>
    <col min="8973" max="8973" width="5.28515625" style="124" customWidth="1"/>
    <col min="8974" max="8976" width="5.42578125" style="124" customWidth="1"/>
    <col min="8977" max="8977" width="4.85546875" style="124" customWidth="1"/>
    <col min="8978" max="8978" width="9" style="124" customWidth="1"/>
    <col min="8979" max="8979" width="9.7109375" style="124" customWidth="1"/>
    <col min="8980" max="9190" width="11.42578125" style="124"/>
    <col min="9191" max="9191" width="0" style="124" hidden="1" customWidth="1"/>
    <col min="9192" max="9192" width="0.28515625" style="124" customWidth="1"/>
    <col min="9193" max="9193" width="5.42578125" style="124" customWidth="1"/>
    <col min="9194" max="9194" width="9.5703125" style="124" customWidth="1"/>
    <col min="9195" max="9195" width="14.42578125" style="124" customWidth="1"/>
    <col min="9196" max="9196" width="22.42578125" style="124" customWidth="1"/>
    <col min="9197" max="9197" width="9" style="124" customWidth="1"/>
    <col min="9198" max="9198" width="6.28515625" style="124" customWidth="1"/>
    <col min="9199" max="9199" width="10.42578125" style="124" customWidth="1"/>
    <col min="9200" max="9200" width="8.7109375" style="124" customWidth="1"/>
    <col min="9201" max="9201" width="5.7109375" style="124" customWidth="1"/>
    <col min="9202" max="9202" width="8.42578125" style="124" customWidth="1"/>
    <col min="9203" max="9203" width="8" style="124" customWidth="1"/>
    <col min="9204" max="9205" width="2.140625" style="124" bestFit="1" customWidth="1"/>
    <col min="9206" max="9206" width="2.5703125" style="124" bestFit="1" customWidth="1"/>
    <col min="9207" max="9208" width="2.140625" style="124" bestFit="1" customWidth="1"/>
    <col min="9209" max="9209" width="2.5703125" style="124" bestFit="1" customWidth="1"/>
    <col min="9210" max="9210" width="2.28515625" style="124" bestFit="1" customWidth="1"/>
    <col min="9211" max="9211" width="2.5703125" style="124" bestFit="1" customWidth="1"/>
    <col min="9212" max="9212" width="2" style="124" bestFit="1" customWidth="1"/>
    <col min="9213" max="9213" width="2.28515625" style="124" bestFit="1" customWidth="1"/>
    <col min="9214" max="9214" width="2.5703125" style="124" bestFit="1" customWidth="1"/>
    <col min="9215" max="9216" width="2" style="124" bestFit="1" customWidth="1"/>
    <col min="9217" max="9217" width="2.28515625" style="124" bestFit="1" customWidth="1"/>
    <col min="9218" max="9218" width="2.140625" style="124" bestFit="1" customWidth="1"/>
    <col min="9219" max="9219" width="2" style="124" bestFit="1" customWidth="1"/>
    <col min="9220" max="9220" width="2.28515625" style="124" bestFit="1" customWidth="1"/>
    <col min="9221" max="9221" width="2.140625" style="124" bestFit="1" customWidth="1"/>
    <col min="9222" max="9227" width="2.28515625" style="124" bestFit="1" customWidth="1"/>
    <col min="9228" max="9228" width="5.5703125" style="124" customWidth="1"/>
    <col min="9229" max="9229" width="5.28515625" style="124" customWidth="1"/>
    <col min="9230" max="9232" width="5.42578125" style="124" customWidth="1"/>
    <col min="9233" max="9233" width="4.85546875" style="124" customWidth="1"/>
    <col min="9234" max="9234" width="9" style="124" customWidth="1"/>
    <col min="9235" max="9235" width="9.7109375" style="124" customWidth="1"/>
    <col min="9236" max="9446" width="11.42578125" style="124"/>
    <col min="9447" max="9447" width="0" style="124" hidden="1" customWidth="1"/>
    <col min="9448" max="9448" width="0.28515625" style="124" customWidth="1"/>
    <col min="9449" max="9449" width="5.42578125" style="124" customWidth="1"/>
    <col min="9450" max="9450" width="9.5703125" style="124" customWidth="1"/>
    <col min="9451" max="9451" width="14.42578125" style="124" customWidth="1"/>
    <col min="9452" max="9452" width="22.42578125" style="124" customWidth="1"/>
    <col min="9453" max="9453" width="9" style="124" customWidth="1"/>
    <col min="9454" max="9454" width="6.28515625" style="124" customWidth="1"/>
    <col min="9455" max="9455" width="10.42578125" style="124" customWidth="1"/>
    <col min="9456" max="9456" width="8.7109375" style="124" customWidth="1"/>
    <col min="9457" max="9457" width="5.7109375" style="124" customWidth="1"/>
    <col min="9458" max="9458" width="8.42578125" style="124" customWidth="1"/>
    <col min="9459" max="9459" width="8" style="124" customWidth="1"/>
    <col min="9460" max="9461" width="2.140625" style="124" bestFit="1" customWidth="1"/>
    <col min="9462" max="9462" width="2.5703125" style="124" bestFit="1" customWidth="1"/>
    <col min="9463" max="9464" width="2.140625" style="124" bestFit="1" customWidth="1"/>
    <col min="9465" max="9465" width="2.5703125" style="124" bestFit="1" customWidth="1"/>
    <col min="9466" max="9466" width="2.28515625" style="124" bestFit="1" customWidth="1"/>
    <col min="9467" max="9467" width="2.5703125" style="124" bestFit="1" customWidth="1"/>
    <col min="9468" max="9468" width="2" style="124" bestFit="1" customWidth="1"/>
    <col min="9469" max="9469" width="2.28515625" style="124" bestFit="1" customWidth="1"/>
    <col min="9470" max="9470" width="2.5703125" style="124" bestFit="1" customWidth="1"/>
    <col min="9471" max="9472" width="2" style="124" bestFit="1" customWidth="1"/>
    <col min="9473" max="9473" width="2.28515625" style="124" bestFit="1" customWidth="1"/>
    <col min="9474" max="9474" width="2.140625" style="124" bestFit="1" customWidth="1"/>
    <col min="9475" max="9475" width="2" style="124" bestFit="1" customWidth="1"/>
    <col min="9476" max="9476" width="2.28515625" style="124" bestFit="1" customWidth="1"/>
    <col min="9477" max="9477" width="2.140625" style="124" bestFit="1" customWidth="1"/>
    <col min="9478" max="9483" width="2.28515625" style="124" bestFit="1" customWidth="1"/>
    <col min="9484" max="9484" width="5.5703125" style="124" customWidth="1"/>
    <col min="9485" max="9485" width="5.28515625" style="124" customWidth="1"/>
    <col min="9486" max="9488" width="5.42578125" style="124" customWidth="1"/>
    <col min="9489" max="9489" width="4.85546875" style="124" customWidth="1"/>
    <col min="9490" max="9490" width="9" style="124" customWidth="1"/>
    <col min="9491" max="9491" width="9.7109375" style="124" customWidth="1"/>
    <col min="9492" max="9702" width="11.42578125" style="124"/>
    <col min="9703" max="9703" width="0" style="124" hidden="1" customWidth="1"/>
    <col min="9704" max="9704" width="0.28515625" style="124" customWidth="1"/>
    <col min="9705" max="9705" width="5.42578125" style="124" customWidth="1"/>
    <col min="9706" max="9706" width="9.5703125" style="124" customWidth="1"/>
    <col min="9707" max="9707" width="14.42578125" style="124" customWidth="1"/>
    <col min="9708" max="9708" width="22.42578125" style="124" customWidth="1"/>
    <col min="9709" max="9709" width="9" style="124" customWidth="1"/>
    <col min="9710" max="9710" width="6.28515625" style="124" customWidth="1"/>
    <col min="9711" max="9711" width="10.42578125" style="124" customWidth="1"/>
    <col min="9712" max="9712" width="8.7109375" style="124" customWidth="1"/>
    <col min="9713" max="9713" width="5.7109375" style="124" customWidth="1"/>
    <col min="9714" max="9714" width="8.42578125" style="124" customWidth="1"/>
    <col min="9715" max="9715" width="8" style="124" customWidth="1"/>
    <col min="9716" max="9717" width="2.140625" style="124" bestFit="1" customWidth="1"/>
    <col min="9718" max="9718" width="2.5703125" style="124" bestFit="1" customWidth="1"/>
    <col min="9719" max="9720" width="2.140625" style="124" bestFit="1" customWidth="1"/>
    <col min="9721" max="9721" width="2.5703125" style="124" bestFit="1" customWidth="1"/>
    <col min="9722" max="9722" width="2.28515625" style="124" bestFit="1" customWidth="1"/>
    <col min="9723" max="9723" width="2.5703125" style="124" bestFit="1" customWidth="1"/>
    <col min="9724" max="9724" width="2" style="124" bestFit="1" customWidth="1"/>
    <col min="9725" max="9725" width="2.28515625" style="124" bestFit="1" customWidth="1"/>
    <col min="9726" max="9726" width="2.5703125" style="124" bestFit="1" customWidth="1"/>
    <col min="9727" max="9728" width="2" style="124" bestFit="1" customWidth="1"/>
    <col min="9729" max="9729" width="2.28515625" style="124" bestFit="1" customWidth="1"/>
    <col min="9730" max="9730" width="2.140625" style="124" bestFit="1" customWidth="1"/>
    <col min="9731" max="9731" width="2" style="124" bestFit="1" customWidth="1"/>
    <col min="9732" max="9732" width="2.28515625" style="124" bestFit="1" customWidth="1"/>
    <col min="9733" max="9733" width="2.140625" style="124" bestFit="1" customWidth="1"/>
    <col min="9734" max="9739" width="2.28515625" style="124" bestFit="1" customWidth="1"/>
    <col min="9740" max="9740" width="5.5703125" style="124" customWidth="1"/>
    <col min="9741" max="9741" width="5.28515625" style="124" customWidth="1"/>
    <col min="9742" max="9744" width="5.42578125" style="124" customWidth="1"/>
    <col min="9745" max="9745" width="4.85546875" style="124" customWidth="1"/>
    <col min="9746" max="9746" width="9" style="124" customWidth="1"/>
    <col min="9747" max="9747" width="9.7109375" style="124" customWidth="1"/>
    <col min="9748" max="9958" width="11.42578125" style="124"/>
    <col min="9959" max="9959" width="0" style="124" hidden="1" customWidth="1"/>
    <col min="9960" max="9960" width="0.28515625" style="124" customWidth="1"/>
    <col min="9961" max="9961" width="5.42578125" style="124" customWidth="1"/>
    <col min="9962" max="9962" width="9.5703125" style="124" customWidth="1"/>
    <col min="9963" max="9963" width="14.42578125" style="124" customWidth="1"/>
    <col min="9964" max="9964" width="22.42578125" style="124" customWidth="1"/>
    <col min="9965" max="9965" width="9" style="124" customWidth="1"/>
    <col min="9966" max="9966" width="6.28515625" style="124" customWidth="1"/>
    <col min="9967" max="9967" width="10.42578125" style="124" customWidth="1"/>
    <col min="9968" max="9968" width="8.7109375" style="124" customWidth="1"/>
    <col min="9969" max="9969" width="5.7109375" style="124" customWidth="1"/>
    <col min="9970" max="9970" width="8.42578125" style="124" customWidth="1"/>
    <col min="9971" max="9971" width="8" style="124" customWidth="1"/>
    <col min="9972" max="9973" width="2.140625" style="124" bestFit="1" customWidth="1"/>
    <col min="9974" max="9974" width="2.5703125" style="124" bestFit="1" customWidth="1"/>
    <col min="9975" max="9976" width="2.140625" style="124" bestFit="1" customWidth="1"/>
    <col min="9977" max="9977" width="2.5703125" style="124" bestFit="1" customWidth="1"/>
    <col min="9978" max="9978" width="2.28515625" style="124" bestFit="1" customWidth="1"/>
    <col min="9979" max="9979" width="2.5703125" style="124" bestFit="1" customWidth="1"/>
    <col min="9980" max="9980" width="2" style="124" bestFit="1" customWidth="1"/>
    <col min="9981" max="9981" width="2.28515625" style="124" bestFit="1" customWidth="1"/>
    <col min="9982" max="9982" width="2.5703125" style="124" bestFit="1" customWidth="1"/>
    <col min="9983" max="9984" width="2" style="124" bestFit="1" customWidth="1"/>
    <col min="9985" max="9985" width="2.28515625" style="124" bestFit="1" customWidth="1"/>
    <col min="9986" max="9986" width="2.140625" style="124" bestFit="1" customWidth="1"/>
    <col min="9987" max="9987" width="2" style="124" bestFit="1" customWidth="1"/>
    <col min="9988" max="9988" width="2.28515625" style="124" bestFit="1" customWidth="1"/>
    <col min="9989" max="9989" width="2.140625" style="124" bestFit="1" customWidth="1"/>
    <col min="9990" max="9995" width="2.28515625" style="124" bestFit="1" customWidth="1"/>
    <col min="9996" max="9996" width="5.5703125" style="124" customWidth="1"/>
    <col min="9997" max="9997" width="5.28515625" style="124" customWidth="1"/>
    <col min="9998" max="10000" width="5.42578125" style="124" customWidth="1"/>
    <col min="10001" max="10001" width="4.85546875" style="124" customWidth="1"/>
    <col min="10002" max="10002" width="9" style="124" customWidth="1"/>
    <col min="10003" max="10003" width="9.7109375" style="124" customWidth="1"/>
    <col min="10004" max="10214" width="11.42578125" style="124"/>
    <col min="10215" max="10215" width="0" style="124" hidden="1" customWidth="1"/>
    <col min="10216" max="10216" width="0.28515625" style="124" customWidth="1"/>
    <col min="10217" max="10217" width="5.42578125" style="124" customWidth="1"/>
    <col min="10218" max="10218" width="9.5703125" style="124" customWidth="1"/>
    <col min="10219" max="10219" width="14.42578125" style="124" customWidth="1"/>
    <col min="10220" max="10220" width="22.42578125" style="124" customWidth="1"/>
    <col min="10221" max="10221" width="9" style="124" customWidth="1"/>
    <col min="10222" max="10222" width="6.28515625" style="124" customWidth="1"/>
    <col min="10223" max="10223" width="10.42578125" style="124" customWidth="1"/>
    <col min="10224" max="10224" width="8.7109375" style="124" customWidth="1"/>
    <col min="10225" max="10225" width="5.7109375" style="124" customWidth="1"/>
    <col min="10226" max="10226" width="8.42578125" style="124" customWidth="1"/>
    <col min="10227" max="10227" width="8" style="124" customWidth="1"/>
    <col min="10228" max="10229" width="2.140625" style="124" bestFit="1" customWidth="1"/>
    <col min="10230" max="10230" width="2.5703125" style="124" bestFit="1" customWidth="1"/>
    <col min="10231" max="10232" width="2.140625" style="124" bestFit="1" customWidth="1"/>
    <col min="10233" max="10233" width="2.5703125" style="124" bestFit="1" customWidth="1"/>
    <col min="10234" max="10234" width="2.28515625" style="124" bestFit="1" customWidth="1"/>
    <col min="10235" max="10235" width="2.5703125" style="124" bestFit="1" customWidth="1"/>
    <col min="10236" max="10236" width="2" style="124" bestFit="1" customWidth="1"/>
    <col min="10237" max="10237" width="2.28515625" style="124" bestFit="1" customWidth="1"/>
    <col min="10238" max="10238" width="2.5703125" style="124" bestFit="1" customWidth="1"/>
    <col min="10239" max="10240" width="2" style="124" bestFit="1" customWidth="1"/>
    <col min="10241" max="10241" width="2.28515625" style="124" bestFit="1" customWidth="1"/>
    <col min="10242" max="10242" width="2.140625" style="124" bestFit="1" customWidth="1"/>
    <col min="10243" max="10243" width="2" style="124" bestFit="1" customWidth="1"/>
    <col min="10244" max="10244" width="2.28515625" style="124" bestFit="1" customWidth="1"/>
    <col min="10245" max="10245" width="2.140625" style="124" bestFit="1" customWidth="1"/>
    <col min="10246" max="10251" width="2.28515625" style="124" bestFit="1" customWidth="1"/>
    <col min="10252" max="10252" width="5.5703125" style="124" customWidth="1"/>
    <col min="10253" max="10253" width="5.28515625" style="124" customWidth="1"/>
    <col min="10254" max="10256" width="5.42578125" style="124" customWidth="1"/>
    <col min="10257" max="10257" width="4.85546875" style="124" customWidth="1"/>
    <col min="10258" max="10258" width="9" style="124" customWidth="1"/>
    <col min="10259" max="10259" width="9.7109375" style="124" customWidth="1"/>
    <col min="10260" max="10470" width="11.42578125" style="124"/>
    <col min="10471" max="10471" width="0" style="124" hidden="1" customWidth="1"/>
    <col min="10472" max="10472" width="0.28515625" style="124" customWidth="1"/>
    <col min="10473" max="10473" width="5.42578125" style="124" customWidth="1"/>
    <col min="10474" max="10474" width="9.5703125" style="124" customWidth="1"/>
    <col min="10475" max="10475" width="14.42578125" style="124" customWidth="1"/>
    <col min="10476" max="10476" width="22.42578125" style="124" customWidth="1"/>
    <col min="10477" max="10477" width="9" style="124" customWidth="1"/>
    <col min="10478" max="10478" width="6.28515625" style="124" customWidth="1"/>
    <col min="10479" max="10479" width="10.42578125" style="124" customWidth="1"/>
    <col min="10480" max="10480" width="8.7109375" style="124" customWidth="1"/>
    <col min="10481" max="10481" width="5.7109375" style="124" customWidth="1"/>
    <col min="10482" max="10482" width="8.42578125" style="124" customWidth="1"/>
    <col min="10483" max="10483" width="8" style="124" customWidth="1"/>
    <col min="10484" max="10485" width="2.140625" style="124" bestFit="1" customWidth="1"/>
    <col min="10486" max="10486" width="2.5703125" style="124" bestFit="1" customWidth="1"/>
    <col min="10487" max="10488" width="2.140625" style="124" bestFit="1" customWidth="1"/>
    <col min="10489" max="10489" width="2.5703125" style="124" bestFit="1" customWidth="1"/>
    <col min="10490" max="10490" width="2.28515625" style="124" bestFit="1" customWidth="1"/>
    <col min="10491" max="10491" width="2.5703125" style="124" bestFit="1" customWidth="1"/>
    <col min="10492" max="10492" width="2" style="124" bestFit="1" customWidth="1"/>
    <col min="10493" max="10493" width="2.28515625" style="124" bestFit="1" customWidth="1"/>
    <col min="10494" max="10494" width="2.5703125" style="124" bestFit="1" customWidth="1"/>
    <col min="10495" max="10496" width="2" style="124" bestFit="1" customWidth="1"/>
    <col min="10497" max="10497" width="2.28515625" style="124" bestFit="1" customWidth="1"/>
    <col min="10498" max="10498" width="2.140625" style="124" bestFit="1" customWidth="1"/>
    <col min="10499" max="10499" width="2" style="124" bestFit="1" customWidth="1"/>
    <col min="10500" max="10500" width="2.28515625" style="124" bestFit="1" customWidth="1"/>
    <col min="10501" max="10501" width="2.140625" style="124" bestFit="1" customWidth="1"/>
    <col min="10502" max="10507" width="2.28515625" style="124" bestFit="1" customWidth="1"/>
    <col min="10508" max="10508" width="5.5703125" style="124" customWidth="1"/>
    <col min="10509" max="10509" width="5.28515625" style="124" customWidth="1"/>
    <col min="10510" max="10512" width="5.42578125" style="124" customWidth="1"/>
    <col min="10513" max="10513" width="4.85546875" style="124" customWidth="1"/>
    <col min="10514" max="10514" width="9" style="124" customWidth="1"/>
    <col min="10515" max="10515" width="9.7109375" style="124" customWidth="1"/>
    <col min="10516" max="10726" width="11.42578125" style="124"/>
    <col min="10727" max="10727" width="0" style="124" hidden="1" customWidth="1"/>
    <col min="10728" max="10728" width="0.28515625" style="124" customWidth="1"/>
    <col min="10729" max="10729" width="5.42578125" style="124" customWidth="1"/>
    <col min="10730" max="10730" width="9.5703125" style="124" customWidth="1"/>
    <col min="10731" max="10731" width="14.42578125" style="124" customWidth="1"/>
    <col min="10732" max="10732" width="22.42578125" style="124" customWidth="1"/>
    <col min="10733" max="10733" width="9" style="124" customWidth="1"/>
    <col min="10734" max="10734" width="6.28515625" style="124" customWidth="1"/>
    <col min="10735" max="10735" width="10.42578125" style="124" customWidth="1"/>
    <col min="10736" max="10736" width="8.7109375" style="124" customWidth="1"/>
    <col min="10737" max="10737" width="5.7109375" style="124" customWidth="1"/>
    <col min="10738" max="10738" width="8.42578125" style="124" customWidth="1"/>
    <col min="10739" max="10739" width="8" style="124" customWidth="1"/>
    <col min="10740" max="10741" width="2.140625" style="124" bestFit="1" customWidth="1"/>
    <col min="10742" max="10742" width="2.5703125" style="124" bestFit="1" customWidth="1"/>
    <col min="10743" max="10744" width="2.140625" style="124" bestFit="1" customWidth="1"/>
    <col min="10745" max="10745" width="2.5703125" style="124" bestFit="1" customWidth="1"/>
    <col min="10746" max="10746" width="2.28515625" style="124" bestFit="1" customWidth="1"/>
    <col min="10747" max="10747" width="2.5703125" style="124" bestFit="1" customWidth="1"/>
    <col min="10748" max="10748" width="2" style="124" bestFit="1" customWidth="1"/>
    <col min="10749" max="10749" width="2.28515625" style="124" bestFit="1" customWidth="1"/>
    <col min="10750" max="10750" width="2.5703125" style="124" bestFit="1" customWidth="1"/>
    <col min="10751" max="10752" width="2" style="124" bestFit="1" customWidth="1"/>
    <col min="10753" max="10753" width="2.28515625" style="124" bestFit="1" customWidth="1"/>
    <col min="10754" max="10754" width="2.140625" style="124" bestFit="1" customWidth="1"/>
    <col min="10755" max="10755" width="2" style="124" bestFit="1" customWidth="1"/>
    <col min="10756" max="10756" width="2.28515625" style="124" bestFit="1" customWidth="1"/>
    <col min="10757" max="10757" width="2.140625" style="124" bestFit="1" customWidth="1"/>
    <col min="10758" max="10763" width="2.28515625" style="124" bestFit="1" customWidth="1"/>
    <col min="10764" max="10764" width="5.5703125" style="124" customWidth="1"/>
    <col min="10765" max="10765" width="5.28515625" style="124" customWidth="1"/>
    <col min="10766" max="10768" width="5.42578125" style="124" customWidth="1"/>
    <col min="10769" max="10769" width="4.85546875" style="124" customWidth="1"/>
    <col min="10770" max="10770" width="9" style="124" customWidth="1"/>
    <col min="10771" max="10771" width="9.7109375" style="124" customWidth="1"/>
    <col min="10772" max="10982" width="11.42578125" style="124"/>
    <col min="10983" max="10983" width="0" style="124" hidden="1" customWidth="1"/>
    <col min="10984" max="10984" width="0.28515625" style="124" customWidth="1"/>
    <col min="10985" max="10985" width="5.42578125" style="124" customWidth="1"/>
    <col min="10986" max="10986" width="9.5703125" style="124" customWidth="1"/>
    <col min="10987" max="10987" width="14.42578125" style="124" customWidth="1"/>
    <col min="10988" max="10988" width="22.42578125" style="124" customWidth="1"/>
    <col min="10989" max="10989" width="9" style="124" customWidth="1"/>
    <col min="10990" max="10990" width="6.28515625" style="124" customWidth="1"/>
    <col min="10991" max="10991" width="10.42578125" style="124" customWidth="1"/>
    <col min="10992" max="10992" width="8.7109375" style="124" customWidth="1"/>
    <col min="10993" max="10993" width="5.7109375" style="124" customWidth="1"/>
    <col min="10994" max="10994" width="8.42578125" style="124" customWidth="1"/>
    <col min="10995" max="10995" width="8" style="124" customWidth="1"/>
    <col min="10996" max="10997" width="2.140625" style="124" bestFit="1" customWidth="1"/>
    <col min="10998" max="10998" width="2.5703125" style="124" bestFit="1" customWidth="1"/>
    <col min="10999" max="11000" width="2.140625" style="124" bestFit="1" customWidth="1"/>
    <col min="11001" max="11001" width="2.5703125" style="124" bestFit="1" customWidth="1"/>
    <col min="11002" max="11002" width="2.28515625" style="124" bestFit="1" customWidth="1"/>
    <col min="11003" max="11003" width="2.5703125" style="124" bestFit="1" customWidth="1"/>
    <col min="11004" max="11004" width="2" style="124" bestFit="1" customWidth="1"/>
    <col min="11005" max="11005" width="2.28515625" style="124" bestFit="1" customWidth="1"/>
    <col min="11006" max="11006" width="2.5703125" style="124" bestFit="1" customWidth="1"/>
    <col min="11007" max="11008" width="2" style="124" bestFit="1" customWidth="1"/>
    <col min="11009" max="11009" width="2.28515625" style="124" bestFit="1" customWidth="1"/>
    <col min="11010" max="11010" width="2.140625" style="124" bestFit="1" customWidth="1"/>
    <col min="11011" max="11011" width="2" style="124" bestFit="1" customWidth="1"/>
    <col min="11012" max="11012" width="2.28515625" style="124" bestFit="1" customWidth="1"/>
    <col min="11013" max="11013" width="2.140625" style="124" bestFit="1" customWidth="1"/>
    <col min="11014" max="11019" width="2.28515625" style="124" bestFit="1" customWidth="1"/>
    <col min="11020" max="11020" width="5.5703125" style="124" customWidth="1"/>
    <col min="11021" max="11021" width="5.28515625" style="124" customWidth="1"/>
    <col min="11022" max="11024" width="5.42578125" style="124" customWidth="1"/>
    <col min="11025" max="11025" width="4.85546875" style="124" customWidth="1"/>
    <col min="11026" max="11026" width="9" style="124" customWidth="1"/>
    <col min="11027" max="11027" width="9.7109375" style="124" customWidth="1"/>
    <col min="11028" max="11238" width="11.42578125" style="124"/>
    <col min="11239" max="11239" width="0" style="124" hidden="1" customWidth="1"/>
    <col min="11240" max="11240" width="0.28515625" style="124" customWidth="1"/>
    <col min="11241" max="11241" width="5.42578125" style="124" customWidth="1"/>
    <col min="11242" max="11242" width="9.5703125" style="124" customWidth="1"/>
    <col min="11243" max="11243" width="14.42578125" style="124" customWidth="1"/>
    <col min="11244" max="11244" width="22.42578125" style="124" customWidth="1"/>
    <col min="11245" max="11245" width="9" style="124" customWidth="1"/>
    <col min="11246" max="11246" width="6.28515625" style="124" customWidth="1"/>
    <col min="11247" max="11247" width="10.42578125" style="124" customWidth="1"/>
    <col min="11248" max="11248" width="8.7109375" style="124" customWidth="1"/>
    <col min="11249" max="11249" width="5.7109375" style="124" customWidth="1"/>
    <col min="11250" max="11250" width="8.42578125" style="124" customWidth="1"/>
    <col min="11251" max="11251" width="8" style="124" customWidth="1"/>
    <col min="11252" max="11253" width="2.140625" style="124" bestFit="1" customWidth="1"/>
    <col min="11254" max="11254" width="2.5703125" style="124" bestFit="1" customWidth="1"/>
    <col min="11255" max="11256" width="2.140625" style="124" bestFit="1" customWidth="1"/>
    <col min="11257" max="11257" width="2.5703125" style="124" bestFit="1" customWidth="1"/>
    <col min="11258" max="11258" width="2.28515625" style="124" bestFit="1" customWidth="1"/>
    <col min="11259" max="11259" width="2.5703125" style="124" bestFit="1" customWidth="1"/>
    <col min="11260" max="11260" width="2" style="124" bestFit="1" customWidth="1"/>
    <col min="11261" max="11261" width="2.28515625" style="124" bestFit="1" customWidth="1"/>
    <col min="11262" max="11262" width="2.5703125" style="124" bestFit="1" customWidth="1"/>
    <col min="11263" max="11264" width="2" style="124" bestFit="1" customWidth="1"/>
    <col min="11265" max="11265" width="2.28515625" style="124" bestFit="1" customWidth="1"/>
    <col min="11266" max="11266" width="2.140625" style="124" bestFit="1" customWidth="1"/>
    <col min="11267" max="11267" width="2" style="124" bestFit="1" customWidth="1"/>
    <col min="11268" max="11268" width="2.28515625" style="124" bestFit="1" customWidth="1"/>
    <col min="11269" max="11269" width="2.140625" style="124" bestFit="1" customWidth="1"/>
    <col min="11270" max="11275" width="2.28515625" style="124" bestFit="1" customWidth="1"/>
    <col min="11276" max="11276" width="5.5703125" style="124" customWidth="1"/>
    <col min="11277" max="11277" width="5.28515625" style="124" customWidth="1"/>
    <col min="11278" max="11280" width="5.42578125" style="124" customWidth="1"/>
    <col min="11281" max="11281" width="4.85546875" style="124" customWidth="1"/>
    <col min="11282" max="11282" width="9" style="124" customWidth="1"/>
    <col min="11283" max="11283" width="9.7109375" style="124" customWidth="1"/>
    <col min="11284" max="11494" width="11.42578125" style="124"/>
    <col min="11495" max="11495" width="0" style="124" hidden="1" customWidth="1"/>
    <col min="11496" max="11496" width="0.28515625" style="124" customWidth="1"/>
    <col min="11497" max="11497" width="5.42578125" style="124" customWidth="1"/>
    <col min="11498" max="11498" width="9.5703125" style="124" customWidth="1"/>
    <col min="11499" max="11499" width="14.42578125" style="124" customWidth="1"/>
    <col min="11500" max="11500" width="22.42578125" style="124" customWidth="1"/>
    <col min="11501" max="11501" width="9" style="124" customWidth="1"/>
    <col min="11502" max="11502" width="6.28515625" style="124" customWidth="1"/>
    <col min="11503" max="11503" width="10.42578125" style="124" customWidth="1"/>
    <col min="11504" max="11504" width="8.7109375" style="124" customWidth="1"/>
    <col min="11505" max="11505" width="5.7109375" style="124" customWidth="1"/>
    <col min="11506" max="11506" width="8.42578125" style="124" customWidth="1"/>
    <col min="11507" max="11507" width="8" style="124" customWidth="1"/>
    <col min="11508" max="11509" width="2.140625" style="124" bestFit="1" customWidth="1"/>
    <col min="11510" max="11510" width="2.5703125" style="124" bestFit="1" customWidth="1"/>
    <col min="11511" max="11512" width="2.140625" style="124" bestFit="1" customWidth="1"/>
    <col min="11513" max="11513" width="2.5703125" style="124" bestFit="1" customWidth="1"/>
    <col min="11514" max="11514" width="2.28515625" style="124" bestFit="1" customWidth="1"/>
    <col min="11515" max="11515" width="2.5703125" style="124" bestFit="1" customWidth="1"/>
    <col min="11516" max="11516" width="2" style="124" bestFit="1" customWidth="1"/>
    <col min="11517" max="11517" width="2.28515625" style="124" bestFit="1" customWidth="1"/>
    <col min="11518" max="11518" width="2.5703125" style="124" bestFit="1" customWidth="1"/>
    <col min="11519" max="11520" width="2" style="124" bestFit="1" customWidth="1"/>
    <col min="11521" max="11521" width="2.28515625" style="124" bestFit="1" customWidth="1"/>
    <col min="11522" max="11522" width="2.140625" style="124" bestFit="1" customWidth="1"/>
    <col min="11523" max="11523" width="2" style="124" bestFit="1" customWidth="1"/>
    <col min="11524" max="11524" width="2.28515625" style="124" bestFit="1" customWidth="1"/>
    <col min="11525" max="11525" width="2.140625" style="124" bestFit="1" customWidth="1"/>
    <col min="11526" max="11531" width="2.28515625" style="124" bestFit="1" customWidth="1"/>
    <col min="11532" max="11532" width="5.5703125" style="124" customWidth="1"/>
    <col min="11533" max="11533" width="5.28515625" style="124" customWidth="1"/>
    <col min="11534" max="11536" width="5.42578125" style="124" customWidth="1"/>
    <col min="11537" max="11537" width="4.85546875" style="124" customWidth="1"/>
    <col min="11538" max="11538" width="9" style="124" customWidth="1"/>
    <col min="11539" max="11539" width="9.7109375" style="124" customWidth="1"/>
    <col min="11540" max="11750" width="11.42578125" style="124"/>
    <col min="11751" max="11751" width="0" style="124" hidden="1" customWidth="1"/>
    <col min="11752" max="11752" width="0.28515625" style="124" customWidth="1"/>
    <col min="11753" max="11753" width="5.42578125" style="124" customWidth="1"/>
    <col min="11754" max="11754" width="9.5703125" style="124" customWidth="1"/>
    <col min="11755" max="11755" width="14.42578125" style="124" customWidth="1"/>
    <col min="11756" max="11756" width="22.42578125" style="124" customWidth="1"/>
    <col min="11757" max="11757" width="9" style="124" customWidth="1"/>
    <col min="11758" max="11758" width="6.28515625" style="124" customWidth="1"/>
    <col min="11759" max="11759" width="10.42578125" style="124" customWidth="1"/>
    <col min="11760" max="11760" width="8.7109375" style="124" customWidth="1"/>
    <col min="11761" max="11761" width="5.7109375" style="124" customWidth="1"/>
    <col min="11762" max="11762" width="8.42578125" style="124" customWidth="1"/>
    <col min="11763" max="11763" width="8" style="124" customWidth="1"/>
    <col min="11764" max="11765" width="2.140625" style="124" bestFit="1" customWidth="1"/>
    <col min="11766" max="11766" width="2.5703125" style="124" bestFit="1" customWidth="1"/>
    <col min="11767" max="11768" width="2.140625" style="124" bestFit="1" customWidth="1"/>
    <col min="11769" max="11769" width="2.5703125" style="124" bestFit="1" customWidth="1"/>
    <col min="11770" max="11770" width="2.28515625" style="124" bestFit="1" customWidth="1"/>
    <col min="11771" max="11771" width="2.5703125" style="124" bestFit="1" customWidth="1"/>
    <col min="11772" max="11772" width="2" style="124" bestFit="1" customWidth="1"/>
    <col min="11773" max="11773" width="2.28515625" style="124" bestFit="1" customWidth="1"/>
    <col min="11774" max="11774" width="2.5703125" style="124" bestFit="1" customWidth="1"/>
    <col min="11775" max="11776" width="2" style="124" bestFit="1" customWidth="1"/>
    <col min="11777" max="11777" width="2.28515625" style="124" bestFit="1" customWidth="1"/>
    <col min="11778" max="11778" width="2.140625" style="124" bestFit="1" customWidth="1"/>
    <col min="11779" max="11779" width="2" style="124" bestFit="1" customWidth="1"/>
    <col min="11780" max="11780" width="2.28515625" style="124" bestFit="1" customWidth="1"/>
    <col min="11781" max="11781" width="2.140625" style="124" bestFit="1" customWidth="1"/>
    <col min="11782" max="11787" width="2.28515625" style="124" bestFit="1" customWidth="1"/>
    <col min="11788" max="11788" width="5.5703125" style="124" customWidth="1"/>
    <col min="11789" max="11789" width="5.28515625" style="124" customWidth="1"/>
    <col min="11790" max="11792" width="5.42578125" style="124" customWidth="1"/>
    <col min="11793" max="11793" width="4.85546875" style="124" customWidth="1"/>
    <col min="11794" max="11794" width="9" style="124" customWidth="1"/>
    <col min="11795" max="11795" width="9.7109375" style="124" customWidth="1"/>
    <col min="11796" max="12006" width="11.42578125" style="124"/>
    <col min="12007" max="12007" width="0" style="124" hidden="1" customWidth="1"/>
    <col min="12008" max="12008" width="0.28515625" style="124" customWidth="1"/>
    <col min="12009" max="12009" width="5.42578125" style="124" customWidth="1"/>
    <col min="12010" max="12010" width="9.5703125" style="124" customWidth="1"/>
    <col min="12011" max="12011" width="14.42578125" style="124" customWidth="1"/>
    <col min="12012" max="12012" width="22.42578125" style="124" customWidth="1"/>
    <col min="12013" max="12013" width="9" style="124" customWidth="1"/>
    <col min="12014" max="12014" width="6.28515625" style="124" customWidth="1"/>
    <col min="12015" max="12015" width="10.42578125" style="124" customWidth="1"/>
    <col min="12016" max="12016" width="8.7109375" style="124" customWidth="1"/>
    <col min="12017" max="12017" width="5.7109375" style="124" customWidth="1"/>
    <col min="12018" max="12018" width="8.42578125" style="124" customWidth="1"/>
    <col min="12019" max="12019" width="8" style="124" customWidth="1"/>
    <col min="12020" max="12021" width="2.140625" style="124" bestFit="1" customWidth="1"/>
    <col min="12022" max="12022" width="2.5703125" style="124" bestFit="1" customWidth="1"/>
    <col min="12023" max="12024" width="2.140625" style="124" bestFit="1" customWidth="1"/>
    <col min="12025" max="12025" width="2.5703125" style="124" bestFit="1" customWidth="1"/>
    <col min="12026" max="12026" width="2.28515625" style="124" bestFit="1" customWidth="1"/>
    <col min="12027" max="12027" width="2.5703125" style="124" bestFit="1" customWidth="1"/>
    <col min="12028" max="12028" width="2" style="124" bestFit="1" customWidth="1"/>
    <col min="12029" max="12029" width="2.28515625" style="124" bestFit="1" customWidth="1"/>
    <col min="12030" max="12030" width="2.5703125" style="124" bestFit="1" customWidth="1"/>
    <col min="12031" max="12032" width="2" style="124" bestFit="1" customWidth="1"/>
    <col min="12033" max="12033" width="2.28515625" style="124" bestFit="1" customWidth="1"/>
    <col min="12034" max="12034" width="2.140625" style="124" bestFit="1" customWidth="1"/>
    <col min="12035" max="12035" width="2" style="124" bestFit="1" customWidth="1"/>
    <col min="12036" max="12036" width="2.28515625" style="124" bestFit="1" customWidth="1"/>
    <col min="12037" max="12037" width="2.140625" style="124" bestFit="1" customWidth="1"/>
    <col min="12038" max="12043" width="2.28515625" style="124" bestFit="1" customWidth="1"/>
    <col min="12044" max="12044" width="5.5703125" style="124" customWidth="1"/>
    <col min="12045" max="12045" width="5.28515625" style="124" customWidth="1"/>
    <col min="12046" max="12048" width="5.42578125" style="124" customWidth="1"/>
    <col min="12049" max="12049" width="4.85546875" style="124" customWidth="1"/>
    <col min="12050" max="12050" width="9" style="124" customWidth="1"/>
    <col min="12051" max="12051" width="9.7109375" style="124" customWidth="1"/>
    <col min="12052" max="12262" width="11.42578125" style="124"/>
    <col min="12263" max="12263" width="0" style="124" hidden="1" customWidth="1"/>
    <col min="12264" max="12264" width="0.28515625" style="124" customWidth="1"/>
    <col min="12265" max="12265" width="5.42578125" style="124" customWidth="1"/>
    <col min="12266" max="12266" width="9.5703125" style="124" customWidth="1"/>
    <col min="12267" max="12267" width="14.42578125" style="124" customWidth="1"/>
    <col min="12268" max="12268" width="22.42578125" style="124" customWidth="1"/>
    <col min="12269" max="12269" width="9" style="124" customWidth="1"/>
    <col min="12270" max="12270" width="6.28515625" style="124" customWidth="1"/>
    <col min="12271" max="12271" width="10.42578125" style="124" customWidth="1"/>
    <col min="12272" max="12272" width="8.7109375" style="124" customWidth="1"/>
    <col min="12273" max="12273" width="5.7109375" style="124" customWidth="1"/>
    <col min="12274" max="12274" width="8.42578125" style="124" customWidth="1"/>
    <col min="12275" max="12275" width="8" style="124" customWidth="1"/>
    <col min="12276" max="12277" width="2.140625" style="124" bestFit="1" customWidth="1"/>
    <col min="12278" max="12278" width="2.5703125" style="124" bestFit="1" customWidth="1"/>
    <col min="12279" max="12280" width="2.140625" style="124" bestFit="1" customWidth="1"/>
    <col min="12281" max="12281" width="2.5703125" style="124" bestFit="1" customWidth="1"/>
    <col min="12282" max="12282" width="2.28515625" style="124" bestFit="1" customWidth="1"/>
    <col min="12283" max="12283" width="2.5703125" style="124" bestFit="1" customWidth="1"/>
    <col min="12284" max="12284" width="2" style="124" bestFit="1" customWidth="1"/>
    <col min="12285" max="12285" width="2.28515625" style="124" bestFit="1" customWidth="1"/>
    <col min="12286" max="12286" width="2.5703125" style="124" bestFit="1" customWidth="1"/>
    <col min="12287" max="12288" width="2" style="124" bestFit="1" customWidth="1"/>
    <col min="12289" max="12289" width="2.28515625" style="124" bestFit="1" customWidth="1"/>
    <col min="12290" max="12290" width="2.140625" style="124" bestFit="1" customWidth="1"/>
    <col min="12291" max="12291" width="2" style="124" bestFit="1" customWidth="1"/>
    <col min="12292" max="12292" width="2.28515625" style="124" bestFit="1" customWidth="1"/>
    <col min="12293" max="12293" width="2.140625" style="124" bestFit="1" customWidth="1"/>
    <col min="12294" max="12299" width="2.28515625" style="124" bestFit="1" customWidth="1"/>
    <col min="12300" max="12300" width="5.5703125" style="124" customWidth="1"/>
    <col min="12301" max="12301" width="5.28515625" style="124" customWidth="1"/>
    <col min="12302" max="12304" width="5.42578125" style="124" customWidth="1"/>
    <col min="12305" max="12305" width="4.85546875" style="124" customWidth="1"/>
    <col min="12306" max="12306" width="9" style="124" customWidth="1"/>
    <col min="12307" max="12307" width="9.7109375" style="124" customWidth="1"/>
    <col min="12308" max="12518" width="11.42578125" style="124"/>
    <col min="12519" max="12519" width="0" style="124" hidden="1" customWidth="1"/>
    <col min="12520" max="12520" width="0.28515625" style="124" customWidth="1"/>
    <col min="12521" max="12521" width="5.42578125" style="124" customWidth="1"/>
    <col min="12522" max="12522" width="9.5703125" style="124" customWidth="1"/>
    <col min="12523" max="12523" width="14.42578125" style="124" customWidth="1"/>
    <col min="12524" max="12524" width="22.42578125" style="124" customWidth="1"/>
    <col min="12525" max="12525" width="9" style="124" customWidth="1"/>
    <col min="12526" max="12526" width="6.28515625" style="124" customWidth="1"/>
    <col min="12527" max="12527" width="10.42578125" style="124" customWidth="1"/>
    <col min="12528" max="12528" width="8.7109375" style="124" customWidth="1"/>
    <col min="12529" max="12529" width="5.7109375" style="124" customWidth="1"/>
    <col min="12530" max="12530" width="8.42578125" style="124" customWidth="1"/>
    <col min="12531" max="12531" width="8" style="124" customWidth="1"/>
    <col min="12532" max="12533" width="2.140625" style="124" bestFit="1" customWidth="1"/>
    <col min="12534" max="12534" width="2.5703125" style="124" bestFit="1" customWidth="1"/>
    <col min="12535" max="12536" width="2.140625" style="124" bestFit="1" customWidth="1"/>
    <col min="12537" max="12537" width="2.5703125" style="124" bestFit="1" customWidth="1"/>
    <col min="12538" max="12538" width="2.28515625" style="124" bestFit="1" customWidth="1"/>
    <col min="12539" max="12539" width="2.5703125" style="124" bestFit="1" customWidth="1"/>
    <col min="12540" max="12540" width="2" style="124" bestFit="1" customWidth="1"/>
    <col min="12541" max="12541" width="2.28515625" style="124" bestFit="1" customWidth="1"/>
    <col min="12542" max="12542" width="2.5703125" style="124" bestFit="1" customWidth="1"/>
    <col min="12543" max="12544" width="2" style="124" bestFit="1" customWidth="1"/>
    <col min="12545" max="12545" width="2.28515625" style="124" bestFit="1" customWidth="1"/>
    <col min="12546" max="12546" width="2.140625" style="124" bestFit="1" customWidth="1"/>
    <col min="12547" max="12547" width="2" style="124" bestFit="1" customWidth="1"/>
    <col min="12548" max="12548" width="2.28515625" style="124" bestFit="1" customWidth="1"/>
    <col min="12549" max="12549" width="2.140625" style="124" bestFit="1" customWidth="1"/>
    <col min="12550" max="12555" width="2.28515625" style="124" bestFit="1" customWidth="1"/>
    <col min="12556" max="12556" width="5.5703125" style="124" customWidth="1"/>
    <col min="12557" max="12557" width="5.28515625" style="124" customWidth="1"/>
    <col min="12558" max="12560" width="5.42578125" style="124" customWidth="1"/>
    <col min="12561" max="12561" width="4.85546875" style="124" customWidth="1"/>
    <col min="12562" max="12562" width="9" style="124" customWidth="1"/>
    <col min="12563" max="12563" width="9.7109375" style="124" customWidth="1"/>
    <col min="12564" max="12774" width="11.42578125" style="124"/>
    <col min="12775" max="12775" width="0" style="124" hidden="1" customWidth="1"/>
    <col min="12776" max="12776" width="0.28515625" style="124" customWidth="1"/>
    <col min="12777" max="12777" width="5.42578125" style="124" customWidth="1"/>
    <col min="12778" max="12778" width="9.5703125" style="124" customWidth="1"/>
    <col min="12779" max="12779" width="14.42578125" style="124" customWidth="1"/>
    <col min="12780" max="12780" width="22.42578125" style="124" customWidth="1"/>
    <col min="12781" max="12781" width="9" style="124" customWidth="1"/>
    <col min="12782" max="12782" width="6.28515625" style="124" customWidth="1"/>
    <col min="12783" max="12783" width="10.42578125" style="124" customWidth="1"/>
    <col min="12784" max="12784" width="8.7109375" style="124" customWidth="1"/>
    <col min="12785" max="12785" width="5.7109375" style="124" customWidth="1"/>
    <col min="12786" max="12786" width="8.42578125" style="124" customWidth="1"/>
    <col min="12787" max="12787" width="8" style="124" customWidth="1"/>
    <col min="12788" max="12789" width="2.140625" style="124" bestFit="1" customWidth="1"/>
    <col min="12790" max="12790" width="2.5703125" style="124" bestFit="1" customWidth="1"/>
    <col min="12791" max="12792" width="2.140625" style="124" bestFit="1" customWidth="1"/>
    <col min="12793" max="12793" width="2.5703125" style="124" bestFit="1" customWidth="1"/>
    <col min="12794" max="12794" width="2.28515625" style="124" bestFit="1" customWidth="1"/>
    <col min="12795" max="12795" width="2.5703125" style="124" bestFit="1" customWidth="1"/>
    <col min="12796" max="12796" width="2" style="124" bestFit="1" customWidth="1"/>
    <col min="12797" max="12797" width="2.28515625" style="124" bestFit="1" customWidth="1"/>
    <col min="12798" max="12798" width="2.5703125" style="124" bestFit="1" customWidth="1"/>
    <col min="12799" max="12800" width="2" style="124" bestFit="1" customWidth="1"/>
    <col min="12801" max="12801" width="2.28515625" style="124" bestFit="1" customWidth="1"/>
    <col min="12802" max="12802" width="2.140625" style="124" bestFit="1" customWidth="1"/>
    <col min="12803" max="12803" width="2" style="124" bestFit="1" customWidth="1"/>
    <col min="12804" max="12804" width="2.28515625" style="124" bestFit="1" customWidth="1"/>
    <col min="12805" max="12805" width="2.140625" style="124" bestFit="1" customWidth="1"/>
    <col min="12806" max="12811" width="2.28515625" style="124" bestFit="1" customWidth="1"/>
    <col min="12812" max="12812" width="5.5703125" style="124" customWidth="1"/>
    <col min="12813" max="12813" width="5.28515625" style="124" customWidth="1"/>
    <col min="12814" max="12816" width="5.42578125" style="124" customWidth="1"/>
    <col min="12817" max="12817" width="4.85546875" style="124" customWidth="1"/>
    <col min="12818" max="12818" width="9" style="124" customWidth="1"/>
    <col min="12819" max="12819" width="9.7109375" style="124" customWidth="1"/>
    <col min="12820" max="13030" width="11.42578125" style="124"/>
    <col min="13031" max="13031" width="0" style="124" hidden="1" customWidth="1"/>
    <col min="13032" max="13032" width="0.28515625" style="124" customWidth="1"/>
    <col min="13033" max="13033" width="5.42578125" style="124" customWidth="1"/>
    <col min="13034" max="13034" width="9.5703125" style="124" customWidth="1"/>
    <col min="13035" max="13035" width="14.42578125" style="124" customWidth="1"/>
    <col min="13036" max="13036" width="22.42578125" style="124" customWidth="1"/>
    <col min="13037" max="13037" width="9" style="124" customWidth="1"/>
    <col min="13038" max="13038" width="6.28515625" style="124" customWidth="1"/>
    <col min="13039" max="13039" width="10.42578125" style="124" customWidth="1"/>
    <col min="13040" max="13040" width="8.7109375" style="124" customWidth="1"/>
    <col min="13041" max="13041" width="5.7109375" style="124" customWidth="1"/>
    <col min="13042" max="13042" width="8.42578125" style="124" customWidth="1"/>
    <col min="13043" max="13043" width="8" style="124" customWidth="1"/>
    <col min="13044" max="13045" width="2.140625" style="124" bestFit="1" customWidth="1"/>
    <col min="13046" max="13046" width="2.5703125" style="124" bestFit="1" customWidth="1"/>
    <col min="13047" max="13048" width="2.140625" style="124" bestFit="1" customWidth="1"/>
    <col min="13049" max="13049" width="2.5703125" style="124" bestFit="1" customWidth="1"/>
    <col min="13050" max="13050" width="2.28515625" style="124" bestFit="1" customWidth="1"/>
    <col min="13051" max="13051" width="2.5703125" style="124" bestFit="1" customWidth="1"/>
    <col min="13052" max="13052" width="2" style="124" bestFit="1" customWidth="1"/>
    <col min="13053" max="13053" width="2.28515625" style="124" bestFit="1" customWidth="1"/>
    <col min="13054" max="13054" width="2.5703125" style="124" bestFit="1" customWidth="1"/>
    <col min="13055" max="13056" width="2" style="124" bestFit="1" customWidth="1"/>
    <col min="13057" max="13057" width="2.28515625" style="124" bestFit="1" customWidth="1"/>
    <col min="13058" max="13058" width="2.140625" style="124" bestFit="1" customWidth="1"/>
    <col min="13059" max="13059" width="2" style="124" bestFit="1" customWidth="1"/>
    <col min="13060" max="13060" width="2.28515625" style="124" bestFit="1" customWidth="1"/>
    <col min="13061" max="13061" width="2.140625" style="124" bestFit="1" customWidth="1"/>
    <col min="13062" max="13067" width="2.28515625" style="124" bestFit="1" customWidth="1"/>
    <col min="13068" max="13068" width="5.5703125" style="124" customWidth="1"/>
    <col min="13069" max="13069" width="5.28515625" style="124" customWidth="1"/>
    <col min="13070" max="13072" width="5.42578125" style="124" customWidth="1"/>
    <col min="13073" max="13073" width="4.85546875" style="124" customWidth="1"/>
    <col min="13074" max="13074" width="9" style="124" customWidth="1"/>
    <col min="13075" max="13075" width="9.7109375" style="124" customWidth="1"/>
    <col min="13076" max="13286" width="11.42578125" style="124"/>
    <col min="13287" max="13287" width="0" style="124" hidden="1" customWidth="1"/>
    <col min="13288" max="13288" width="0.28515625" style="124" customWidth="1"/>
    <col min="13289" max="13289" width="5.42578125" style="124" customWidth="1"/>
    <col min="13290" max="13290" width="9.5703125" style="124" customWidth="1"/>
    <col min="13291" max="13291" width="14.42578125" style="124" customWidth="1"/>
    <col min="13292" max="13292" width="22.42578125" style="124" customWidth="1"/>
    <col min="13293" max="13293" width="9" style="124" customWidth="1"/>
    <col min="13294" max="13294" width="6.28515625" style="124" customWidth="1"/>
    <col min="13295" max="13295" width="10.42578125" style="124" customWidth="1"/>
    <col min="13296" max="13296" width="8.7109375" style="124" customWidth="1"/>
    <col min="13297" max="13297" width="5.7109375" style="124" customWidth="1"/>
    <col min="13298" max="13298" width="8.42578125" style="124" customWidth="1"/>
    <col min="13299" max="13299" width="8" style="124" customWidth="1"/>
    <col min="13300" max="13301" width="2.140625" style="124" bestFit="1" customWidth="1"/>
    <col min="13302" max="13302" width="2.5703125" style="124" bestFit="1" customWidth="1"/>
    <col min="13303" max="13304" width="2.140625" style="124" bestFit="1" customWidth="1"/>
    <col min="13305" max="13305" width="2.5703125" style="124" bestFit="1" customWidth="1"/>
    <col min="13306" max="13306" width="2.28515625" style="124" bestFit="1" customWidth="1"/>
    <col min="13307" max="13307" width="2.5703125" style="124" bestFit="1" customWidth="1"/>
    <col min="13308" max="13308" width="2" style="124" bestFit="1" customWidth="1"/>
    <col min="13309" max="13309" width="2.28515625" style="124" bestFit="1" customWidth="1"/>
    <col min="13310" max="13310" width="2.5703125" style="124" bestFit="1" customWidth="1"/>
    <col min="13311" max="13312" width="2" style="124" bestFit="1" customWidth="1"/>
    <col min="13313" max="13313" width="2.28515625" style="124" bestFit="1" customWidth="1"/>
    <col min="13314" max="13314" width="2.140625" style="124" bestFit="1" customWidth="1"/>
    <col min="13315" max="13315" width="2" style="124" bestFit="1" customWidth="1"/>
    <col min="13316" max="13316" width="2.28515625" style="124" bestFit="1" customWidth="1"/>
    <col min="13317" max="13317" width="2.140625" style="124" bestFit="1" customWidth="1"/>
    <col min="13318" max="13323" width="2.28515625" style="124" bestFit="1" customWidth="1"/>
    <col min="13324" max="13324" width="5.5703125" style="124" customWidth="1"/>
    <col min="13325" max="13325" width="5.28515625" style="124" customWidth="1"/>
    <col min="13326" max="13328" width="5.42578125" style="124" customWidth="1"/>
    <col min="13329" max="13329" width="4.85546875" style="124" customWidth="1"/>
    <col min="13330" max="13330" width="9" style="124" customWidth="1"/>
    <col min="13331" max="13331" width="9.7109375" style="124" customWidth="1"/>
    <col min="13332" max="13542" width="11.42578125" style="124"/>
    <col min="13543" max="13543" width="0" style="124" hidden="1" customWidth="1"/>
    <col min="13544" max="13544" width="0.28515625" style="124" customWidth="1"/>
    <col min="13545" max="13545" width="5.42578125" style="124" customWidth="1"/>
    <col min="13546" max="13546" width="9.5703125" style="124" customWidth="1"/>
    <col min="13547" max="13547" width="14.42578125" style="124" customWidth="1"/>
    <col min="13548" max="13548" width="22.42578125" style="124" customWidth="1"/>
    <col min="13549" max="13549" width="9" style="124" customWidth="1"/>
    <col min="13550" max="13550" width="6.28515625" style="124" customWidth="1"/>
    <col min="13551" max="13551" width="10.42578125" style="124" customWidth="1"/>
    <col min="13552" max="13552" width="8.7109375" style="124" customWidth="1"/>
    <col min="13553" max="13553" width="5.7109375" style="124" customWidth="1"/>
    <col min="13554" max="13554" width="8.42578125" style="124" customWidth="1"/>
    <col min="13555" max="13555" width="8" style="124" customWidth="1"/>
    <col min="13556" max="13557" width="2.140625" style="124" bestFit="1" customWidth="1"/>
    <col min="13558" max="13558" width="2.5703125" style="124" bestFit="1" customWidth="1"/>
    <col min="13559" max="13560" width="2.140625" style="124" bestFit="1" customWidth="1"/>
    <col min="13561" max="13561" width="2.5703125" style="124" bestFit="1" customWidth="1"/>
    <col min="13562" max="13562" width="2.28515625" style="124" bestFit="1" customWidth="1"/>
    <col min="13563" max="13563" width="2.5703125" style="124" bestFit="1" customWidth="1"/>
    <col min="13564" max="13564" width="2" style="124" bestFit="1" customWidth="1"/>
    <col min="13565" max="13565" width="2.28515625" style="124" bestFit="1" customWidth="1"/>
    <col min="13566" max="13566" width="2.5703125" style="124" bestFit="1" customWidth="1"/>
    <col min="13567" max="13568" width="2" style="124" bestFit="1" customWidth="1"/>
    <col min="13569" max="13569" width="2.28515625" style="124" bestFit="1" customWidth="1"/>
    <col min="13570" max="13570" width="2.140625" style="124" bestFit="1" customWidth="1"/>
    <col min="13571" max="13571" width="2" style="124" bestFit="1" customWidth="1"/>
    <col min="13572" max="13572" width="2.28515625" style="124" bestFit="1" customWidth="1"/>
    <col min="13573" max="13573" width="2.140625" style="124" bestFit="1" customWidth="1"/>
    <col min="13574" max="13579" width="2.28515625" style="124" bestFit="1" customWidth="1"/>
    <col min="13580" max="13580" width="5.5703125" style="124" customWidth="1"/>
    <col min="13581" max="13581" width="5.28515625" style="124" customWidth="1"/>
    <col min="13582" max="13584" width="5.42578125" style="124" customWidth="1"/>
    <col min="13585" max="13585" width="4.85546875" style="124" customWidth="1"/>
    <col min="13586" max="13586" width="9" style="124" customWidth="1"/>
    <col min="13587" max="13587" width="9.7109375" style="124" customWidth="1"/>
    <col min="13588" max="13798" width="11.42578125" style="124"/>
    <col min="13799" max="13799" width="0" style="124" hidden="1" customWidth="1"/>
    <col min="13800" max="13800" width="0.28515625" style="124" customWidth="1"/>
    <col min="13801" max="13801" width="5.42578125" style="124" customWidth="1"/>
    <col min="13802" max="13802" width="9.5703125" style="124" customWidth="1"/>
    <col min="13803" max="13803" width="14.42578125" style="124" customWidth="1"/>
    <col min="13804" max="13804" width="22.42578125" style="124" customWidth="1"/>
    <col min="13805" max="13805" width="9" style="124" customWidth="1"/>
    <col min="13806" max="13806" width="6.28515625" style="124" customWidth="1"/>
    <col min="13807" max="13807" width="10.42578125" style="124" customWidth="1"/>
    <col min="13808" max="13808" width="8.7109375" style="124" customWidth="1"/>
    <col min="13809" max="13809" width="5.7109375" style="124" customWidth="1"/>
    <col min="13810" max="13810" width="8.42578125" style="124" customWidth="1"/>
    <col min="13811" max="13811" width="8" style="124" customWidth="1"/>
    <col min="13812" max="13813" width="2.140625" style="124" bestFit="1" customWidth="1"/>
    <col min="13814" max="13814" width="2.5703125" style="124" bestFit="1" customWidth="1"/>
    <col min="13815" max="13816" width="2.140625" style="124" bestFit="1" customWidth="1"/>
    <col min="13817" max="13817" width="2.5703125" style="124" bestFit="1" customWidth="1"/>
    <col min="13818" max="13818" width="2.28515625" style="124" bestFit="1" customWidth="1"/>
    <col min="13819" max="13819" width="2.5703125" style="124" bestFit="1" customWidth="1"/>
    <col min="13820" max="13820" width="2" style="124" bestFit="1" customWidth="1"/>
    <col min="13821" max="13821" width="2.28515625" style="124" bestFit="1" customWidth="1"/>
    <col min="13822" max="13822" width="2.5703125" style="124" bestFit="1" customWidth="1"/>
    <col min="13823" max="13824" width="2" style="124" bestFit="1" customWidth="1"/>
    <col min="13825" max="13825" width="2.28515625" style="124" bestFit="1" customWidth="1"/>
    <col min="13826" max="13826" width="2.140625" style="124" bestFit="1" customWidth="1"/>
    <col min="13827" max="13827" width="2" style="124" bestFit="1" customWidth="1"/>
    <col min="13828" max="13828" width="2.28515625" style="124" bestFit="1" customWidth="1"/>
    <col min="13829" max="13829" width="2.140625" style="124" bestFit="1" customWidth="1"/>
    <col min="13830" max="13835" width="2.28515625" style="124" bestFit="1" customWidth="1"/>
    <col min="13836" max="13836" width="5.5703125" style="124" customWidth="1"/>
    <col min="13837" max="13837" width="5.28515625" style="124" customWidth="1"/>
    <col min="13838" max="13840" width="5.42578125" style="124" customWidth="1"/>
    <col min="13841" max="13841" width="4.85546875" style="124" customWidth="1"/>
    <col min="13842" max="13842" width="9" style="124" customWidth="1"/>
    <col min="13843" max="13843" width="9.7109375" style="124" customWidth="1"/>
    <col min="13844" max="14054" width="11.42578125" style="124"/>
    <col min="14055" max="14055" width="0" style="124" hidden="1" customWidth="1"/>
    <col min="14056" max="14056" width="0.28515625" style="124" customWidth="1"/>
    <col min="14057" max="14057" width="5.42578125" style="124" customWidth="1"/>
    <col min="14058" max="14058" width="9.5703125" style="124" customWidth="1"/>
    <col min="14059" max="14059" width="14.42578125" style="124" customWidth="1"/>
    <col min="14060" max="14060" width="22.42578125" style="124" customWidth="1"/>
    <col min="14061" max="14061" width="9" style="124" customWidth="1"/>
    <col min="14062" max="14062" width="6.28515625" style="124" customWidth="1"/>
    <col min="14063" max="14063" width="10.42578125" style="124" customWidth="1"/>
    <col min="14064" max="14064" width="8.7109375" style="124" customWidth="1"/>
    <col min="14065" max="14065" width="5.7109375" style="124" customWidth="1"/>
    <col min="14066" max="14066" width="8.42578125" style="124" customWidth="1"/>
    <col min="14067" max="14067" width="8" style="124" customWidth="1"/>
    <col min="14068" max="14069" width="2.140625" style="124" bestFit="1" customWidth="1"/>
    <col min="14070" max="14070" width="2.5703125" style="124" bestFit="1" customWidth="1"/>
    <col min="14071" max="14072" width="2.140625" style="124" bestFit="1" customWidth="1"/>
    <col min="14073" max="14073" width="2.5703125" style="124" bestFit="1" customWidth="1"/>
    <col min="14074" max="14074" width="2.28515625" style="124" bestFit="1" customWidth="1"/>
    <col min="14075" max="14075" width="2.5703125" style="124" bestFit="1" customWidth="1"/>
    <col min="14076" max="14076" width="2" style="124" bestFit="1" customWidth="1"/>
    <col min="14077" max="14077" width="2.28515625" style="124" bestFit="1" customWidth="1"/>
    <col min="14078" max="14078" width="2.5703125" style="124" bestFit="1" customWidth="1"/>
    <col min="14079" max="14080" width="2" style="124" bestFit="1" customWidth="1"/>
    <col min="14081" max="14081" width="2.28515625" style="124" bestFit="1" customWidth="1"/>
    <col min="14082" max="14082" width="2.140625" style="124" bestFit="1" customWidth="1"/>
    <col min="14083" max="14083" width="2" style="124" bestFit="1" customWidth="1"/>
    <col min="14084" max="14084" width="2.28515625" style="124" bestFit="1" customWidth="1"/>
    <col min="14085" max="14085" width="2.140625" style="124" bestFit="1" customWidth="1"/>
    <col min="14086" max="14091" width="2.28515625" style="124" bestFit="1" customWidth="1"/>
    <col min="14092" max="14092" width="5.5703125" style="124" customWidth="1"/>
    <col min="14093" max="14093" width="5.28515625" style="124" customWidth="1"/>
    <col min="14094" max="14096" width="5.42578125" style="124" customWidth="1"/>
    <col min="14097" max="14097" width="4.85546875" style="124" customWidth="1"/>
    <col min="14098" max="14098" width="9" style="124" customWidth="1"/>
    <col min="14099" max="14099" width="9.7109375" style="124" customWidth="1"/>
    <col min="14100" max="14310" width="11.42578125" style="124"/>
    <col min="14311" max="14311" width="0" style="124" hidden="1" customWidth="1"/>
    <col min="14312" max="14312" width="0.28515625" style="124" customWidth="1"/>
    <col min="14313" max="14313" width="5.42578125" style="124" customWidth="1"/>
    <col min="14314" max="14314" width="9.5703125" style="124" customWidth="1"/>
    <col min="14315" max="14315" width="14.42578125" style="124" customWidth="1"/>
    <col min="14316" max="14316" width="22.42578125" style="124" customWidth="1"/>
    <col min="14317" max="14317" width="9" style="124" customWidth="1"/>
    <col min="14318" max="14318" width="6.28515625" style="124" customWidth="1"/>
    <col min="14319" max="14319" width="10.42578125" style="124" customWidth="1"/>
    <col min="14320" max="14320" width="8.7109375" style="124" customWidth="1"/>
    <col min="14321" max="14321" width="5.7109375" style="124" customWidth="1"/>
    <col min="14322" max="14322" width="8.42578125" style="124" customWidth="1"/>
    <col min="14323" max="14323" width="8" style="124" customWidth="1"/>
    <col min="14324" max="14325" width="2.140625" style="124" bestFit="1" customWidth="1"/>
    <col min="14326" max="14326" width="2.5703125" style="124" bestFit="1" customWidth="1"/>
    <col min="14327" max="14328" width="2.140625" style="124" bestFit="1" customWidth="1"/>
    <col min="14329" max="14329" width="2.5703125" style="124" bestFit="1" customWidth="1"/>
    <col min="14330" max="14330" width="2.28515625" style="124" bestFit="1" customWidth="1"/>
    <col min="14331" max="14331" width="2.5703125" style="124" bestFit="1" customWidth="1"/>
    <col min="14332" max="14332" width="2" style="124" bestFit="1" customWidth="1"/>
    <col min="14333" max="14333" width="2.28515625" style="124" bestFit="1" customWidth="1"/>
    <col min="14334" max="14334" width="2.5703125" style="124" bestFit="1" customWidth="1"/>
    <col min="14335" max="14336" width="2" style="124" bestFit="1" customWidth="1"/>
    <col min="14337" max="14337" width="2.28515625" style="124" bestFit="1" customWidth="1"/>
    <col min="14338" max="14338" width="2.140625" style="124" bestFit="1" customWidth="1"/>
    <col min="14339" max="14339" width="2" style="124" bestFit="1" customWidth="1"/>
    <col min="14340" max="14340" width="2.28515625" style="124" bestFit="1" customWidth="1"/>
    <col min="14341" max="14341" width="2.140625" style="124" bestFit="1" customWidth="1"/>
    <col min="14342" max="14347" width="2.28515625" style="124" bestFit="1" customWidth="1"/>
    <col min="14348" max="14348" width="5.5703125" style="124" customWidth="1"/>
    <col min="14349" max="14349" width="5.28515625" style="124" customWidth="1"/>
    <col min="14350" max="14352" width="5.42578125" style="124" customWidth="1"/>
    <col min="14353" max="14353" width="4.85546875" style="124" customWidth="1"/>
    <col min="14354" max="14354" width="9" style="124" customWidth="1"/>
    <col min="14355" max="14355" width="9.7109375" style="124" customWidth="1"/>
    <col min="14356" max="14566" width="11.42578125" style="124"/>
    <col min="14567" max="14567" width="0" style="124" hidden="1" customWidth="1"/>
    <col min="14568" max="14568" width="0.28515625" style="124" customWidth="1"/>
    <col min="14569" max="14569" width="5.42578125" style="124" customWidth="1"/>
    <col min="14570" max="14570" width="9.5703125" style="124" customWidth="1"/>
    <col min="14571" max="14571" width="14.42578125" style="124" customWidth="1"/>
    <col min="14572" max="14572" width="22.42578125" style="124" customWidth="1"/>
    <col min="14573" max="14573" width="9" style="124" customWidth="1"/>
    <col min="14574" max="14574" width="6.28515625" style="124" customWidth="1"/>
    <col min="14575" max="14575" width="10.42578125" style="124" customWidth="1"/>
    <col min="14576" max="14576" width="8.7109375" style="124" customWidth="1"/>
    <col min="14577" max="14577" width="5.7109375" style="124" customWidth="1"/>
    <col min="14578" max="14578" width="8.42578125" style="124" customWidth="1"/>
    <col min="14579" max="14579" width="8" style="124" customWidth="1"/>
    <col min="14580" max="14581" width="2.140625" style="124" bestFit="1" customWidth="1"/>
    <col min="14582" max="14582" width="2.5703125" style="124" bestFit="1" customWidth="1"/>
    <col min="14583" max="14584" width="2.140625" style="124" bestFit="1" customWidth="1"/>
    <col min="14585" max="14585" width="2.5703125" style="124" bestFit="1" customWidth="1"/>
    <col min="14586" max="14586" width="2.28515625" style="124" bestFit="1" customWidth="1"/>
    <col min="14587" max="14587" width="2.5703125" style="124" bestFit="1" customWidth="1"/>
    <col min="14588" max="14588" width="2" style="124" bestFit="1" customWidth="1"/>
    <col min="14589" max="14589" width="2.28515625" style="124" bestFit="1" customWidth="1"/>
    <col min="14590" max="14590" width="2.5703125" style="124" bestFit="1" customWidth="1"/>
    <col min="14591" max="14592" width="2" style="124" bestFit="1" customWidth="1"/>
    <col min="14593" max="14593" width="2.28515625" style="124" bestFit="1" customWidth="1"/>
    <col min="14594" max="14594" width="2.140625" style="124" bestFit="1" customWidth="1"/>
    <col min="14595" max="14595" width="2" style="124" bestFit="1" customWidth="1"/>
    <col min="14596" max="14596" width="2.28515625" style="124" bestFit="1" customWidth="1"/>
    <col min="14597" max="14597" width="2.140625" style="124" bestFit="1" customWidth="1"/>
    <col min="14598" max="14603" width="2.28515625" style="124" bestFit="1" customWidth="1"/>
    <col min="14604" max="14604" width="5.5703125" style="124" customWidth="1"/>
    <col min="14605" max="14605" width="5.28515625" style="124" customWidth="1"/>
    <col min="14606" max="14608" width="5.42578125" style="124" customWidth="1"/>
    <col min="14609" max="14609" width="4.85546875" style="124" customWidth="1"/>
    <col min="14610" max="14610" width="9" style="124" customWidth="1"/>
    <col min="14611" max="14611" width="9.7109375" style="124" customWidth="1"/>
    <col min="14612" max="14822" width="11.42578125" style="124"/>
    <col min="14823" max="14823" width="0" style="124" hidden="1" customWidth="1"/>
    <col min="14824" max="14824" width="0.28515625" style="124" customWidth="1"/>
    <col min="14825" max="14825" width="5.42578125" style="124" customWidth="1"/>
    <col min="14826" max="14826" width="9.5703125" style="124" customWidth="1"/>
    <col min="14827" max="14827" width="14.42578125" style="124" customWidth="1"/>
    <col min="14828" max="14828" width="22.42578125" style="124" customWidth="1"/>
    <col min="14829" max="14829" width="9" style="124" customWidth="1"/>
    <col min="14830" max="14830" width="6.28515625" style="124" customWidth="1"/>
    <col min="14831" max="14831" width="10.42578125" style="124" customWidth="1"/>
    <col min="14832" max="14832" width="8.7109375" style="124" customWidth="1"/>
    <col min="14833" max="14833" width="5.7109375" style="124" customWidth="1"/>
    <col min="14834" max="14834" width="8.42578125" style="124" customWidth="1"/>
    <col min="14835" max="14835" width="8" style="124" customWidth="1"/>
    <col min="14836" max="14837" width="2.140625" style="124" bestFit="1" customWidth="1"/>
    <col min="14838" max="14838" width="2.5703125" style="124" bestFit="1" customWidth="1"/>
    <col min="14839" max="14840" width="2.140625" style="124" bestFit="1" customWidth="1"/>
    <col min="14841" max="14841" width="2.5703125" style="124" bestFit="1" customWidth="1"/>
    <col min="14842" max="14842" width="2.28515625" style="124" bestFit="1" customWidth="1"/>
    <col min="14843" max="14843" width="2.5703125" style="124" bestFit="1" customWidth="1"/>
    <col min="14844" max="14844" width="2" style="124" bestFit="1" customWidth="1"/>
    <col min="14845" max="14845" width="2.28515625" style="124" bestFit="1" customWidth="1"/>
    <col min="14846" max="14846" width="2.5703125" style="124" bestFit="1" customWidth="1"/>
    <col min="14847" max="14848" width="2" style="124" bestFit="1" customWidth="1"/>
    <col min="14849" max="14849" width="2.28515625" style="124" bestFit="1" customWidth="1"/>
    <col min="14850" max="14850" width="2.140625" style="124" bestFit="1" customWidth="1"/>
    <col min="14851" max="14851" width="2" style="124" bestFit="1" customWidth="1"/>
    <col min="14852" max="14852" width="2.28515625" style="124" bestFit="1" customWidth="1"/>
    <col min="14853" max="14853" width="2.140625" style="124" bestFit="1" customWidth="1"/>
    <col min="14854" max="14859" width="2.28515625" style="124" bestFit="1" customWidth="1"/>
    <col min="14860" max="14860" width="5.5703125" style="124" customWidth="1"/>
    <col min="14861" max="14861" width="5.28515625" style="124" customWidth="1"/>
    <col min="14862" max="14864" width="5.42578125" style="124" customWidth="1"/>
    <col min="14865" max="14865" width="4.85546875" style="124" customWidth="1"/>
    <col min="14866" max="14866" width="9" style="124" customWidth="1"/>
    <col min="14867" max="14867" width="9.7109375" style="124" customWidth="1"/>
    <col min="14868" max="15078" width="11.42578125" style="124"/>
    <col min="15079" max="15079" width="0" style="124" hidden="1" customWidth="1"/>
    <col min="15080" max="15080" width="0.28515625" style="124" customWidth="1"/>
    <col min="15081" max="15081" width="5.42578125" style="124" customWidth="1"/>
    <col min="15082" max="15082" width="9.5703125" style="124" customWidth="1"/>
    <col min="15083" max="15083" width="14.42578125" style="124" customWidth="1"/>
    <col min="15084" max="15084" width="22.42578125" style="124" customWidth="1"/>
    <col min="15085" max="15085" width="9" style="124" customWidth="1"/>
    <col min="15086" max="15086" width="6.28515625" style="124" customWidth="1"/>
    <col min="15087" max="15087" width="10.42578125" style="124" customWidth="1"/>
    <col min="15088" max="15088" width="8.7109375" style="124" customWidth="1"/>
    <col min="15089" max="15089" width="5.7109375" style="124" customWidth="1"/>
    <col min="15090" max="15090" width="8.42578125" style="124" customWidth="1"/>
    <col min="15091" max="15091" width="8" style="124" customWidth="1"/>
    <col min="15092" max="15093" width="2.140625" style="124" bestFit="1" customWidth="1"/>
    <col min="15094" max="15094" width="2.5703125" style="124" bestFit="1" customWidth="1"/>
    <col min="15095" max="15096" width="2.140625" style="124" bestFit="1" customWidth="1"/>
    <col min="15097" max="15097" width="2.5703125" style="124" bestFit="1" customWidth="1"/>
    <col min="15098" max="15098" width="2.28515625" style="124" bestFit="1" customWidth="1"/>
    <col min="15099" max="15099" width="2.5703125" style="124" bestFit="1" customWidth="1"/>
    <col min="15100" max="15100" width="2" style="124" bestFit="1" customWidth="1"/>
    <col min="15101" max="15101" width="2.28515625" style="124" bestFit="1" customWidth="1"/>
    <col min="15102" max="15102" width="2.5703125" style="124" bestFit="1" customWidth="1"/>
    <col min="15103" max="15104" width="2" style="124" bestFit="1" customWidth="1"/>
    <col min="15105" max="15105" width="2.28515625" style="124" bestFit="1" customWidth="1"/>
    <col min="15106" max="15106" width="2.140625" style="124" bestFit="1" customWidth="1"/>
    <col min="15107" max="15107" width="2" style="124" bestFit="1" customWidth="1"/>
    <col min="15108" max="15108" width="2.28515625" style="124" bestFit="1" customWidth="1"/>
    <col min="15109" max="15109" width="2.140625" style="124" bestFit="1" customWidth="1"/>
    <col min="15110" max="15115" width="2.28515625" style="124" bestFit="1" customWidth="1"/>
    <col min="15116" max="15116" width="5.5703125" style="124" customWidth="1"/>
    <col min="15117" max="15117" width="5.28515625" style="124" customWidth="1"/>
    <col min="15118" max="15120" width="5.42578125" style="124" customWidth="1"/>
    <col min="15121" max="15121" width="4.85546875" style="124" customWidth="1"/>
    <col min="15122" max="15122" width="9" style="124" customWidth="1"/>
    <col min="15123" max="15123" width="9.7109375" style="124" customWidth="1"/>
    <col min="15124" max="15334" width="11.42578125" style="124"/>
    <col min="15335" max="15335" width="0" style="124" hidden="1" customWidth="1"/>
    <col min="15336" max="15336" width="0.28515625" style="124" customWidth="1"/>
    <col min="15337" max="15337" width="5.42578125" style="124" customWidth="1"/>
    <col min="15338" max="15338" width="9.5703125" style="124" customWidth="1"/>
    <col min="15339" max="15339" width="14.42578125" style="124" customWidth="1"/>
    <col min="15340" max="15340" width="22.42578125" style="124" customWidth="1"/>
    <col min="15341" max="15341" width="9" style="124" customWidth="1"/>
    <col min="15342" max="15342" width="6.28515625" style="124" customWidth="1"/>
    <col min="15343" max="15343" width="10.42578125" style="124" customWidth="1"/>
    <col min="15344" max="15344" width="8.7109375" style="124" customWidth="1"/>
    <col min="15345" max="15345" width="5.7109375" style="124" customWidth="1"/>
    <col min="15346" max="15346" width="8.42578125" style="124" customWidth="1"/>
    <col min="15347" max="15347" width="8" style="124" customWidth="1"/>
    <col min="15348" max="15349" width="2.140625" style="124" bestFit="1" customWidth="1"/>
    <col min="15350" max="15350" width="2.5703125" style="124" bestFit="1" customWidth="1"/>
    <col min="15351" max="15352" width="2.140625" style="124" bestFit="1" customWidth="1"/>
    <col min="15353" max="15353" width="2.5703125" style="124" bestFit="1" customWidth="1"/>
    <col min="15354" max="15354" width="2.28515625" style="124" bestFit="1" customWidth="1"/>
    <col min="15355" max="15355" width="2.5703125" style="124" bestFit="1" customWidth="1"/>
    <col min="15356" max="15356" width="2" style="124" bestFit="1" customWidth="1"/>
    <col min="15357" max="15357" width="2.28515625" style="124" bestFit="1" customWidth="1"/>
    <col min="15358" max="15358" width="2.5703125" style="124" bestFit="1" customWidth="1"/>
    <col min="15359" max="15360" width="2" style="124" bestFit="1" customWidth="1"/>
    <col min="15361" max="15361" width="2.28515625" style="124" bestFit="1" customWidth="1"/>
    <col min="15362" max="15362" width="2.140625" style="124" bestFit="1" customWidth="1"/>
    <col min="15363" max="15363" width="2" style="124" bestFit="1" customWidth="1"/>
    <col min="15364" max="15364" width="2.28515625" style="124" bestFit="1" customWidth="1"/>
    <col min="15365" max="15365" width="2.140625" style="124" bestFit="1" customWidth="1"/>
    <col min="15366" max="15371" width="2.28515625" style="124" bestFit="1" customWidth="1"/>
    <col min="15372" max="15372" width="5.5703125" style="124" customWidth="1"/>
    <col min="15373" max="15373" width="5.28515625" style="124" customWidth="1"/>
    <col min="15374" max="15376" width="5.42578125" style="124" customWidth="1"/>
    <col min="15377" max="15377" width="4.85546875" style="124" customWidth="1"/>
    <col min="15378" max="15378" width="9" style="124" customWidth="1"/>
    <col min="15379" max="15379" width="9.7109375" style="124" customWidth="1"/>
    <col min="15380" max="15590" width="11.42578125" style="124"/>
    <col min="15591" max="15591" width="0" style="124" hidden="1" customWidth="1"/>
    <col min="15592" max="15592" width="0.28515625" style="124" customWidth="1"/>
    <col min="15593" max="15593" width="5.42578125" style="124" customWidth="1"/>
    <col min="15594" max="15594" width="9.5703125" style="124" customWidth="1"/>
    <col min="15595" max="15595" width="14.42578125" style="124" customWidth="1"/>
    <col min="15596" max="15596" width="22.42578125" style="124" customWidth="1"/>
    <col min="15597" max="15597" width="9" style="124" customWidth="1"/>
    <col min="15598" max="15598" width="6.28515625" style="124" customWidth="1"/>
    <col min="15599" max="15599" width="10.42578125" style="124" customWidth="1"/>
    <col min="15600" max="15600" width="8.7109375" style="124" customWidth="1"/>
    <col min="15601" max="15601" width="5.7109375" style="124" customWidth="1"/>
    <col min="15602" max="15602" width="8.42578125" style="124" customWidth="1"/>
    <col min="15603" max="15603" width="8" style="124" customWidth="1"/>
    <col min="15604" max="15605" width="2.140625" style="124" bestFit="1" customWidth="1"/>
    <col min="15606" max="15606" width="2.5703125" style="124" bestFit="1" customWidth="1"/>
    <col min="15607" max="15608" width="2.140625" style="124" bestFit="1" customWidth="1"/>
    <col min="15609" max="15609" width="2.5703125" style="124" bestFit="1" customWidth="1"/>
    <col min="15610" max="15610" width="2.28515625" style="124" bestFit="1" customWidth="1"/>
    <col min="15611" max="15611" width="2.5703125" style="124" bestFit="1" customWidth="1"/>
    <col min="15612" max="15612" width="2" style="124" bestFit="1" customWidth="1"/>
    <col min="15613" max="15613" width="2.28515625" style="124" bestFit="1" customWidth="1"/>
    <col min="15614" max="15614" width="2.5703125" style="124" bestFit="1" customWidth="1"/>
    <col min="15615" max="15616" width="2" style="124" bestFit="1" customWidth="1"/>
    <col min="15617" max="15617" width="2.28515625" style="124" bestFit="1" customWidth="1"/>
    <col min="15618" max="15618" width="2.140625" style="124" bestFit="1" customWidth="1"/>
    <col min="15619" max="15619" width="2" style="124" bestFit="1" customWidth="1"/>
    <col min="15620" max="15620" width="2.28515625" style="124" bestFit="1" customWidth="1"/>
    <col min="15621" max="15621" width="2.140625" style="124" bestFit="1" customWidth="1"/>
    <col min="15622" max="15627" width="2.28515625" style="124" bestFit="1" customWidth="1"/>
    <col min="15628" max="15628" width="5.5703125" style="124" customWidth="1"/>
    <col min="15629" max="15629" width="5.28515625" style="124" customWidth="1"/>
    <col min="15630" max="15632" width="5.42578125" style="124" customWidth="1"/>
    <col min="15633" max="15633" width="4.85546875" style="124" customWidth="1"/>
    <col min="15634" max="15634" width="9" style="124" customWidth="1"/>
    <col min="15635" max="15635" width="9.7109375" style="124" customWidth="1"/>
    <col min="15636" max="15846" width="11.42578125" style="124"/>
    <col min="15847" max="15847" width="0" style="124" hidden="1" customWidth="1"/>
    <col min="15848" max="15848" width="0.28515625" style="124" customWidth="1"/>
    <col min="15849" max="15849" width="5.42578125" style="124" customWidth="1"/>
    <col min="15850" max="15850" width="9.5703125" style="124" customWidth="1"/>
    <col min="15851" max="15851" width="14.42578125" style="124" customWidth="1"/>
    <col min="15852" max="15852" width="22.42578125" style="124" customWidth="1"/>
    <col min="15853" max="15853" width="9" style="124" customWidth="1"/>
    <col min="15854" max="15854" width="6.28515625" style="124" customWidth="1"/>
    <col min="15855" max="15855" width="10.42578125" style="124" customWidth="1"/>
    <col min="15856" max="15856" width="8.7109375" style="124" customWidth="1"/>
    <col min="15857" max="15857" width="5.7109375" style="124" customWidth="1"/>
    <col min="15858" max="15858" width="8.42578125" style="124" customWidth="1"/>
    <col min="15859" max="15859" width="8" style="124" customWidth="1"/>
    <col min="15860" max="15861" width="2.140625" style="124" bestFit="1" customWidth="1"/>
    <col min="15862" max="15862" width="2.5703125" style="124" bestFit="1" customWidth="1"/>
    <col min="15863" max="15864" width="2.140625" style="124" bestFit="1" customWidth="1"/>
    <col min="15865" max="15865" width="2.5703125" style="124" bestFit="1" customWidth="1"/>
    <col min="15866" max="15866" width="2.28515625" style="124" bestFit="1" customWidth="1"/>
    <col min="15867" max="15867" width="2.5703125" style="124" bestFit="1" customWidth="1"/>
    <col min="15868" max="15868" width="2" style="124" bestFit="1" customWidth="1"/>
    <col min="15869" max="15869" width="2.28515625" style="124" bestFit="1" customWidth="1"/>
    <col min="15870" max="15870" width="2.5703125" style="124" bestFit="1" customWidth="1"/>
    <col min="15871" max="15872" width="2" style="124" bestFit="1" customWidth="1"/>
    <col min="15873" max="15873" width="2.28515625" style="124" bestFit="1" customWidth="1"/>
    <col min="15874" max="15874" width="2.140625" style="124" bestFit="1" customWidth="1"/>
    <col min="15875" max="15875" width="2" style="124" bestFit="1" customWidth="1"/>
    <col min="15876" max="15876" width="2.28515625" style="124" bestFit="1" customWidth="1"/>
    <col min="15877" max="15877" width="2.140625" style="124" bestFit="1" customWidth="1"/>
    <col min="15878" max="15883" width="2.28515625" style="124" bestFit="1" customWidth="1"/>
    <col min="15884" max="15884" width="5.5703125" style="124" customWidth="1"/>
    <col min="15885" max="15885" width="5.28515625" style="124" customWidth="1"/>
    <col min="15886" max="15888" width="5.42578125" style="124" customWidth="1"/>
    <col min="15889" max="15889" width="4.85546875" style="124" customWidth="1"/>
    <col min="15890" max="15890" width="9" style="124" customWidth="1"/>
    <col min="15891" max="15891" width="9.7109375" style="124" customWidth="1"/>
    <col min="15892" max="16102" width="11.42578125" style="124"/>
    <col min="16103" max="16103" width="0" style="124" hidden="1" customWidth="1"/>
    <col min="16104" max="16104" width="0.28515625" style="124" customWidth="1"/>
    <col min="16105" max="16105" width="5.42578125" style="124" customWidth="1"/>
    <col min="16106" max="16106" width="9.5703125" style="124" customWidth="1"/>
    <col min="16107" max="16107" width="14.42578125" style="124" customWidth="1"/>
    <col min="16108" max="16108" width="22.42578125" style="124" customWidth="1"/>
    <col min="16109" max="16109" width="9" style="124" customWidth="1"/>
    <col min="16110" max="16110" width="6.28515625" style="124" customWidth="1"/>
    <col min="16111" max="16111" width="10.42578125" style="124" customWidth="1"/>
    <col min="16112" max="16112" width="8.7109375" style="124" customWidth="1"/>
    <col min="16113" max="16113" width="5.7109375" style="124" customWidth="1"/>
    <col min="16114" max="16114" width="8.42578125" style="124" customWidth="1"/>
    <col min="16115" max="16115" width="8" style="124" customWidth="1"/>
    <col min="16116" max="16117" width="2.140625" style="124" bestFit="1" customWidth="1"/>
    <col min="16118" max="16118" width="2.5703125" style="124" bestFit="1" customWidth="1"/>
    <col min="16119" max="16120" width="2.140625" style="124" bestFit="1" customWidth="1"/>
    <col min="16121" max="16121" width="2.5703125" style="124" bestFit="1" customWidth="1"/>
    <col min="16122" max="16122" width="2.28515625" style="124" bestFit="1" customWidth="1"/>
    <col min="16123" max="16123" width="2.5703125" style="124" bestFit="1" customWidth="1"/>
    <col min="16124" max="16124" width="2" style="124" bestFit="1" customWidth="1"/>
    <col min="16125" max="16125" width="2.28515625" style="124" bestFit="1" customWidth="1"/>
    <col min="16126" max="16126" width="2.5703125" style="124" bestFit="1" customWidth="1"/>
    <col min="16127" max="16128" width="2" style="124" bestFit="1" customWidth="1"/>
    <col min="16129" max="16129" width="2.28515625" style="124" bestFit="1" customWidth="1"/>
    <col min="16130" max="16130" width="2.140625" style="124" bestFit="1" customWidth="1"/>
    <col min="16131" max="16131" width="2" style="124" bestFit="1" customWidth="1"/>
    <col min="16132" max="16132" width="2.28515625" style="124" bestFit="1" customWidth="1"/>
    <col min="16133" max="16133" width="2.140625" style="124" bestFit="1" customWidth="1"/>
    <col min="16134" max="16139" width="2.28515625" style="124" bestFit="1" customWidth="1"/>
    <col min="16140" max="16140" width="5.5703125" style="124" customWidth="1"/>
    <col min="16141" max="16141" width="5.28515625" style="124" customWidth="1"/>
    <col min="16142" max="16144" width="5.42578125" style="124" customWidth="1"/>
    <col min="16145" max="16145" width="4.85546875" style="124" customWidth="1"/>
    <col min="16146" max="16146" width="9" style="124" customWidth="1"/>
    <col min="16147" max="16147" width="9.7109375" style="124" customWidth="1"/>
    <col min="16148" max="16384" width="11.42578125" style="124"/>
  </cols>
  <sheetData>
    <row r="1" spans="1:44">
      <c r="A1" s="1152" t="s">
        <v>0</v>
      </c>
      <c r="B1" s="1152"/>
      <c r="C1" s="1152"/>
      <c r="D1" s="1152"/>
      <c r="E1" s="1152"/>
      <c r="F1" s="1152"/>
      <c r="G1" s="1152"/>
      <c r="H1" s="1152"/>
      <c r="I1" s="1152"/>
      <c r="J1" s="1152"/>
      <c r="K1" s="1152"/>
      <c r="L1" s="1152"/>
      <c r="M1" s="1152"/>
      <c r="N1" s="1152"/>
      <c r="O1" s="1152"/>
      <c r="P1" s="1152"/>
      <c r="Q1" s="1152"/>
      <c r="R1" s="1152"/>
      <c r="S1" s="1152"/>
      <c r="T1" s="1152"/>
      <c r="U1" s="1152"/>
      <c r="V1" s="1152"/>
      <c r="W1" s="1152"/>
      <c r="X1" s="1152"/>
      <c r="Y1" s="1152"/>
      <c r="Z1" s="1152"/>
      <c r="AA1" s="1152"/>
      <c r="AB1" s="1152"/>
      <c r="AC1" s="1152"/>
      <c r="AD1" s="1152"/>
      <c r="AE1" s="1152"/>
      <c r="AF1" s="1152"/>
      <c r="AG1" s="1152"/>
      <c r="AH1" s="1152"/>
      <c r="AI1" s="1152"/>
      <c r="AJ1" s="1152"/>
      <c r="AK1" s="1152"/>
      <c r="AL1" s="1152"/>
      <c r="AM1" s="1152"/>
      <c r="AN1" s="1152"/>
      <c r="AO1" s="1152"/>
      <c r="AP1" s="1152"/>
      <c r="AQ1" s="1152"/>
      <c r="AR1" s="1152"/>
    </row>
    <row r="2" spans="1:44">
      <c r="A2" s="1152" t="s">
        <v>1</v>
      </c>
      <c r="B2" s="1152"/>
      <c r="C2" s="1152"/>
      <c r="D2" s="1152"/>
      <c r="E2" s="1152"/>
      <c r="F2" s="1152"/>
      <c r="G2" s="1152"/>
      <c r="H2" s="1152"/>
      <c r="I2" s="1152"/>
      <c r="J2" s="1152"/>
      <c r="K2" s="1152"/>
      <c r="L2" s="1152"/>
      <c r="M2" s="1152"/>
      <c r="N2" s="1152"/>
      <c r="O2" s="1152"/>
      <c r="P2" s="1152"/>
      <c r="Q2" s="1152"/>
      <c r="R2" s="1152"/>
      <c r="S2" s="1152"/>
      <c r="T2" s="1152"/>
      <c r="U2" s="1152"/>
      <c r="V2" s="1152"/>
      <c r="W2" s="1152"/>
      <c r="X2" s="1152"/>
      <c r="Y2" s="1152"/>
      <c r="Z2" s="1152"/>
      <c r="AA2" s="1152"/>
      <c r="AB2" s="1152"/>
      <c r="AC2" s="1152"/>
      <c r="AD2" s="1152"/>
      <c r="AE2" s="1152"/>
      <c r="AF2" s="1152"/>
      <c r="AG2" s="1152"/>
      <c r="AH2" s="1152"/>
      <c r="AI2" s="1152"/>
      <c r="AJ2" s="1152"/>
      <c r="AK2" s="1152"/>
      <c r="AL2" s="1152"/>
      <c r="AM2" s="1152"/>
      <c r="AN2" s="1152"/>
      <c r="AO2" s="1152"/>
      <c r="AP2" s="1152"/>
      <c r="AQ2" s="1152"/>
      <c r="AR2" s="1152"/>
    </row>
    <row r="3" spans="1:44" ht="18" customHeight="1">
      <c r="A3" s="207"/>
      <c r="B3" s="207"/>
      <c r="C3" s="207"/>
      <c r="D3" s="720" t="s">
        <v>158</v>
      </c>
      <c r="E3" s="720"/>
      <c r="F3" s="720"/>
      <c r="G3" s="720"/>
      <c r="H3" s="720"/>
      <c r="I3" s="720"/>
      <c r="J3" s="720"/>
      <c r="K3" s="720"/>
      <c r="L3" s="720"/>
      <c r="M3" s="720"/>
      <c r="N3" s="720"/>
      <c r="O3" s="720"/>
      <c r="P3" s="720"/>
      <c r="Q3" s="720"/>
      <c r="R3" s="124"/>
      <c r="S3" s="124"/>
      <c r="T3" s="124"/>
      <c r="U3" s="124"/>
      <c r="V3" s="124"/>
      <c r="AK3" s="124"/>
    </row>
    <row r="4" spans="1:44" ht="20.25" customHeight="1">
      <c r="A4" s="207"/>
      <c r="B4" s="207"/>
      <c r="C4" s="207"/>
      <c r="D4" s="720" t="s">
        <v>645</v>
      </c>
      <c r="E4" s="720"/>
      <c r="F4" s="720"/>
      <c r="G4" s="720"/>
      <c r="H4" s="720"/>
      <c r="I4" s="720"/>
      <c r="J4" s="720"/>
      <c r="K4" s="720"/>
      <c r="L4" s="720"/>
      <c r="M4" s="720"/>
      <c r="N4" s="720"/>
      <c r="O4" s="720"/>
      <c r="P4" s="720"/>
      <c r="Q4" s="720"/>
      <c r="R4" s="124"/>
      <c r="S4" s="124"/>
      <c r="T4" s="124"/>
      <c r="U4" s="124"/>
      <c r="V4" s="124"/>
      <c r="AK4" s="124"/>
    </row>
    <row r="5" spans="1:44" ht="19.5" customHeight="1">
      <c r="A5" s="207"/>
      <c r="B5" s="207"/>
      <c r="C5" s="207"/>
      <c r="D5" s="720" t="s">
        <v>160</v>
      </c>
      <c r="E5" s="720"/>
      <c r="F5" s="720"/>
      <c r="G5" s="207"/>
      <c r="H5" s="207"/>
      <c r="I5" s="207"/>
      <c r="J5" s="207"/>
      <c r="K5" s="208"/>
      <c r="L5" s="208"/>
      <c r="M5" s="208"/>
      <c r="N5" s="208"/>
      <c r="O5" s="208"/>
      <c r="P5" s="208"/>
      <c r="Q5" s="208"/>
      <c r="R5" s="209"/>
      <c r="S5" s="209"/>
      <c r="T5" s="209"/>
      <c r="U5" s="209"/>
      <c r="V5" s="209"/>
      <c r="W5" s="209"/>
      <c r="AK5" s="124"/>
    </row>
    <row r="6" spans="1:44" s="210" customFormat="1" ht="20.25" customHeight="1">
      <c r="A6" s="1146" t="s">
        <v>5</v>
      </c>
      <c r="B6" s="1146"/>
      <c r="C6" s="1146"/>
      <c r="D6" s="1147" t="s">
        <v>6</v>
      </c>
      <c r="E6" s="1147" t="s">
        <v>161</v>
      </c>
      <c r="F6" s="1146" t="s">
        <v>404</v>
      </c>
      <c r="G6" s="1146" t="s">
        <v>9</v>
      </c>
      <c r="H6" s="1146" t="s">
        <v>10</v>
      </c>
      <c r="I6" s="1146" t="s">
        <v>406</v>
      </c>
      <c r="J6" s="1146" t="s">
        <v>407</v>
      </c>
      <c r="K6" s="1146" t="s">
        <v>646</v>
      </c>
      <c r="L6" s="1149" t="s">
        <v>647</v>
      </c>
      <c r="M6" s="1150"/>
      <c r="N6" s="1150"/>
      <c r="O6" s="1150"/>
      <c r="P6" s="1150"/>
      <c r="Q6" s="1150"/>
      <c r="R6" s="1150"/>
      <c r="S6" s="1150"/>
      <c r="T6" s="1150"/>
      <c r="U6" s="1150"/>
      <c r="V6" s="1150"/>
      <c r="W6" s="1150"/>
      <c r="X6" s="1150"/>
      <c r="Y6" s="1150"/>
      <c r="Z6" s="1150"/>
      <c r="AA6" s="1150"/>
      <c r="AB6" s="1150"/>
      <c r="AC6" s="1150"/>
      <c r="AD6" s="1150"/>
      <c r="AE6" s="1150"/>
      <c r="AF6" s="1150"/>
      <c r="AG6" s="1150"/>
      <c r="AH6" s="1150"/>
      <c r="AI6" s="1150"/>
      <c r="AJ6" s="1151"/>
      <c r="AK6" s="1146" t="s">
        <v>15</v>
      </c>
      <c r="AL6" s="1146"/>
      <c r="AM6" s="1146"/>
      <c r="AN6" s="1146"/>
      <c r="AO6" s="1146"/>
      <c r="AP6" s="1146" t="s">
        <v>16</v>
      </c>
      <c r="AQ6" s="1146" t="s">
        <v>17</v>
      </c>
      <c r="AR6" s="1146" t="s">
        <v>19</v>
      </c>
    </row>
    <row r="7" spans="1:44" s="210" customFormat="1" ht="12.75" customHeight="1">
      <c r="A7" s="1146" t="s">
        <v>20</v>
      </c>
      <c r="B7" s="1148" t="s">
        <v>21</v>
      </c>
      <c r="C7" s="1146" t="s">
        <v>22</v>
      </c>
      <c r="D7" s="1147"/>
      <c r="E7" s="1147"/>
      <c r="F7" s="1146"/>
      <c r="G7" s="1146"/>
      <c r="H7" s="1146"/>
      <c r="I7" s="1146"/>
      <c r="J7" s="1146"/>
      <c r="K7" s="1146"/>
      <c r="L7" s="1147" t="s">
        <v>23</v>
      </c>
      <c r="M7" s="1147"/>
      <c r="N7" s="1147"/>
      <c r="O7" s="1147"/>
      <c r="P7" s="1147"/>
      <c r="Q7" s="1147"/>
      <c r="R7" s="1147" t="s">
        <v>24</v>
      </c>
      <c r="S7" s="1147"/>
      <c r="T7" s="1147"/>
      <c r="U7" s="1147"/>
      <c r="V7" s="1147"/>
      <c r="W7" s="1147"/>
      <c r="X7" s="1147" t="s">
        <v>25</v>
      </c>
      <c r="Y7" s="1147"/>
      <c r="Z7" s="1147"/>
      <c r="AA7" s="1147"/>
      <c r="AB7" s="1147"/>
      <c r="AC7" s="1147"/>
      <c r="AD7" s="1147" t="s">
        <v>26</v>
      </c>
      <c r="AE7" s="1147"/>
      <c r="AF7" s="1147"/>
      <c r="AG7" s="1147"/>
      <c r="AH7" s="1147"/>
      <c r="AI7" s="1147"/>
      <c r="AJ7" s="1147" t="s">
        <v>162</v>
      </c>
      <c r="AK7" s="1146" t="s">
        <v>648</v>
      </c>
      <c r="AL7" s="1146" t="s">
        <v>413</v>
      </c>
      <c r="AM7" s="1146" t="s">
        <v>414</v>
      </c>
      <c r="AN7" s="1146" t="s">
        <v>415</v>
      </c>
      <c r="AO7" s="1146" t="s">
        <v>416</v>
      </c>
      <c r="AP7" s="1146"/>
      <c r="AQ7" s="1146"/>
      <c r="AR7" s="1146"/>
    </row>
    <row r="8" spans="1:44" s="210" customFormat="1" ht="12.75" customHeight="1">
      <c r="A8" s="1146"/>
      <c r="B8" s="1148"/>
      <c r="C8" s="1146"/>
      <c r="D8" s="1147"/>
      <c r="E8" s="1147"/>
      <c r="F8" s="1146"/>
      <c r="G8" s="1146"/>
      <c r="H8" s="1146"/>
      <c r="I8" s="1146"/>
      <c r="J8" s="1146"/>
      <c r="K8" s="1146"/>
      <c r="L8" s="1147" t="s">
        <v>649</v>
      </c>
      <c r="M8" s="1147"/>
      <c r="N8" s="1147"/>
      <c r="O8" s="1147" t="s">
        <v>34</v>
      </c>
      <c r="P8" s="1147"/>
      <c r="Q8" s="1147"/>
      <c r="R8" s="1147" t="s">
        <v>649</v>
      </c>
      <c r="S8" s="1147"/>
      <c r="T8" s="1147"/>
      <c r="U8" s="1147" t="s">
        <v>34</v>
      </c>
      <c r="V8" s="1147"/>
      <c r="W8" s="1147"/>
      <c r="X8" s="1147" t="s">
        <v>649</v>
      </c>
      <c r="Y8" s="1147"/>
      <c r="Z8" s="1147"/>
      <c r="AA8" s="1147" t="s">
        <v>34</v>
      </c>
      <c r="AB8" s="1147"/>
      <c r="AC8" s="1147"/>
      <c r="AD8" s="1147" t="s">
        <v>649</v>
      </c>
      <c r="AE8" s="1147"/>
      <c r="AF8" s="1147"/>
      <c r="AG8" s="1147" t="s">
        <v>34</v>
      </c>
      <c r="AH8" s="1147"/>
      <c r="AI8" s="1147"/>
      <c r="AJ8" s="1147"/>
      <c r="AK8" s="1146"/>
      <c r="AL8" s="1146"/>
      <c r="AM8" s="1146"/>
      <c r="AN8" s="1146"/>
      <c r="AO8" s="1146"/>
      <c r="AP8" s="1146"/>
      <c r="AQ8" s="1146"/>
      <c r="AR8" s="1146"/>
    </row>
    <row r="9" spans="1:44" s="210" customFormat="1" ht="13.5" customHeight="1">
      <c r="A9" s="1146"/>
      <c r="B9" s="1148"/>
      <c r="C9" s="1146"/>
      <c r="D9" s="1147"/>
      <c r="E9" s="1147"/>
      <c r="F9" s="1146"/>
      <c r="G9" s="1146"/>
      <c r="H9" s="1146"/>
      <c r="I9" s="1146"/>
      <c r="J9" s="1146"/>
      <c r="K9" s="1146"/>
      <c r="L9" s="696" t="s">
        <v>35</v>
      </c>
      <c r="M9" s="696" t="s">
        <v>36</v>
      </c>
      <c r="N9" s="696" t="s">
        <v>37</v>
      </c>
      <c r="O9" s="696" t="s">
        <v>35</v>
      </c>
      <c r="P9" s="696" t="s">
        <v>36</v>
      </c>
      <c r="Q9" s="696" t="s">
        <v>37</v>
      </c>
      <c r="R9" s="696" t="s">
        <v>38</v>
      </c>
      <c r="S9" s="696" t="s">
        <v>37</v>
      </c>
      <c r="T9" s="696" t="s">
        <v>39</v>
      </c>
      <c r="U9" s="696" t="s">
        <v>38</v>
      </c>
      <c r="V9" s="696" t="s">
        <v>37</v>
      </c>
      <c r="W9" s="696" t="s">
        <v>39</v>
      </c>
      <c r="X9" s="696" t="s">
        <v>39</v>
      </c>
      <c r="Y9" s="696" t="s">
        <v>38</v>
      </c>
      <c r="Z9" s="696" t="s">
        <v>40</v>
      </c>
      <c r="AA9" s="696" t="s">
        <v>39</v>
      </c>
      <c r="AB9" s="696" t="s">
        <v>38</v>
      </c>
      <c r="AC9" s="696" t="s">
        <v>40</v>
      </c>
      <c r="AD9" s="696" t="s">
        <v>41</v>
      </c>
      <c r="AE9" s="696" t="s">
        <v>42</v>
      </c>
      <c r="AF9" s="696" t="s">
        <v>43</v>
      </c>
      <c r="AG9" s="696" t="s">
        <v>41</v>
      </c>
      <c r="AH9" s="696" t="s">
        <v>42</v>
      </c>
      <c r="AI9" s="696" t="s">
        <v>43</v>
      </c>
      <c r="AJ9" s="1147"/>
      <c r="AK9" s="1146"/>
      <c r="AL9" s="1146"/>
      <c r="AM9" s="1146"/>
      <c r="AN9" s="1146"/>
      <c r="AO9" s="1146"/>
      <c r="AP9" s="1146"/>
      <c r="AQ9" s="1146"/>
      <c r="AR9" s="1146"/>
    </row>
    <row r="10" spans="1:44" ht="63">
      <c r="A10" s="152" t="s">
        <v>650</v>
      </c>
      <c r="B10" s="152" t="s">
        <v>651</v>
      </c>
      <c r="C10" s="211" t="s">
        <v>2305</v>
      </c>
      <c r="D10" s="212" t="s">
        <v>652</v>
      </c>
      <c r="E10" s="213"/>
      <c r="F10" s="130"/>
      <c r="G10" s="131"/>
      <c r="H10" s="131"/>
      <c r="I10" s="211">
        <v>5</v>
      </c>
      <c r="J10" s="134">
        <v>5</v>
      </c>
      <c r="K10" s="134"/>
      <c r="L10" s="135"/>
      <c r="M10" s="135"/>
      <c r="N10" s="135"/>
      <c r="O10" s="135"/>
      <c r="P10" s="135">
        <f t="shared" ref="P10:Q10" si="0">SUM(P11:P12)</f>
        <v>145072</v>
      </c>
      <c r="Q10" s="135">
        <f t="shared" si="0"/>
        <v>174200</v>
      </c>
      <c r="R10" s="135"/>
      <c r="S10" s="135"/>
      <c r="T10" s="135"/>
      <c r="U10" s="135">
        <f t="shared" ref="U10:W10" si="1">SUM(U11:U12)</f>
        <v>302821</v>
      </c>
      <c r="V10" s="135">
        <f t="shared" si="1"/>
        <v>437600</v>
      </c>
      <c r="W10" s="135">
        <f t="shared" si="1"/>
        <v>278170</v>
      </c>
      <c r="X10" s="135"/>
      <c r="Y10" s="135"/>
      <c r="Z10" s="135"/>
      <c r="AA10" s="135">
        <f t="shared" ref="AA10:AC10" si="2">SUM(AA11:AA12)</f>
        <v>299600</v>
      </c>
      <c r="AB10" s="135">
        <f t="shared" si="2"/>
        <v>377766</v>
      </c>
      <c r="AC10" s="135">
        <f t="shared" si="2"/>
        <v>158845</v>
      </c>
      <c r="AD10" s="135"/>
      <c r="AE10" s="135"/>
      <c r="AF10" s="135"/>
      <c r="AG10" s="135">
        <f t="shared" ref="AG10:AO10" si="3">SUM(AG11:AG12)</f>
        <v>152100</v>
      </c>
      <c r="AH10" s="135">
        <f t="shared" si="3"/>
        <v>57500</v>
      </c>
      <c r="AI10" s="135">
        <f t="shared" si="3"/>
        <v>20000</v>
      </c>
      <c r="AJ10" s="135">
        <f t="shared" si="3"/>
        <v>2403674</v>
      </c>
      <c r="AK10" s="135"/>
      <c r="AL10" s="135"/>
      <c r="AM10" s="135"/>
      <c r="AN10" s="135"/>
      <c r="AO10" s="135">
        <f t="shared" si="3"/>
        <v>2403674</v>
      </c>
      <c r="AP10" s="131"/>
      <c r="AQ10" s="131"/>
      <c r="AR10" s="131"/>
    </row>
    <row r="11" spans="1:44" ht="140.25" customHeight="1">
      <c r="A11" s="258" t="s">
        <v>650</v>
      </c>
      <c r="B11" s="258" t="s">
        <v>651</v>
      </c>
      <c r="C11" s="214" t="s">
        <v>2306</v>
      </c>
      <c r="D11" s="215" t="s">
        <v>653</v>
      </c>
      <c r="E11" s="216">
        <f>SUM(L11,M11,N11,R11,S11,T11,X11,Y11,Z11,AD11,AE11,AF11)</f>
        <v>63</v>
      </c>
      <c r="F11" s="218" t="s">
        <v>654</v>
      </c>
      <c r="G11" s="219" t="s">
        <v>655</v>
      </c>
      <c r="H11" s="221" t="s">
        <v>656</v>
      </c>
      <c r="I11" s="136">
        <v>26</v>
      </c>
      <c r="J11" s="949"/>
      <c r="K11" s="136">
        <v>26</v>
      </c>
      <c r="L11" s="254"/>
      <c r="M11" s="254">
        <v>2</v>
      </c>
      <c r="N11" s="254">
        <v>3</v>
      </c>
      <c r="O11" s="254"/>
      <c r="P11" s="254">
        <v>96558</v>
      </c>
      <c r="Q11" s="254">
        <v>156200</v>
      </c>
      <c r="R11" s="254">
        <v>8</v>
      </c>
      <c r="S11" s="254">
        <v>16</v>
      </c>
      <c r="T11" s="254">
        <v>7</v>
      </c>
      <c r="U11" s="254">
        <v>207907</v>
      </c>
      <c r="V11" s="254">
        <v>403200</v>
      </c>
      <c r="W11" s="254">
        <v>232600</v>
      </c>
      <c r="X11" s="254">
        <v>12</v>
      </c>
      <c r="Y11" s="254">
        <v>8</v>
      </c>
      <c r="Z11" s="254">
        <v>4</v>
      </c>
      <c r="AA11" s="254">
        <v>279000</v>
      </c>
      <c r="AB11" s="254">
        <v>334310</v>
      </c>
      <c r="AC11" s="254">
        <v>120289</v>
      </c>
      <c r="AD11" s="254">
        <v>2</v>
      </c>
      <c r="AE11" s="254">
        <v>1</v>
      </c>
      <c r="AF11" s="254"/>
      <c r="AG11" s="254">
        <v>130900</v>
      </c>
      <c r="AH11" s="254">
        <v>24100</v>
      </c>
      <c r="AI11" s="254"/>
      <c r="AJ11" s="254">
        <f>SUM(O11,P11,Q11,U11,V11,W11,AA11,AB11,AC11,AG11,AH11,AI11)</f>
        <v>1985064</v>
      </c>
      <c r="AK11" s="254"/>
      <c r="AL11" s="254"/>
      <c r="AM11" s="254"/>
      <c r="AN11" s="254"/>
      <c r="AO11" s="254">
        <f>+AJ11</f>
        <v>1985064</v>
      </c>
      <c r="AP11" s="721" t="s">
        <v>657</v>
      </c>
      <c r="AQ11" s="721" t="s">
        <v>658</v>
      </c>
      <c r="AR11" s="721" t="s">
        <v>659</v>
      </c>
    </row>
    <row r="12" spans="1:44" ht="135.75" customHeight="1">
      <c r="A12" s="258" t="s">
        <v>44</v>
      </c>
      <c r="B12" s="258" t="s">
        <v>45</v>
      </c>
      <c r="C12" s="214" t="s">
        <v>660</v>
      </c>
      <c r="D12" s="215" t="s">
        <v>661</v>
      </c>
      <c r="E12" s="216">
        <f>SUM(L12,M12,N12,R12,S12,T12,X12,Y12,Z12,AD12,AE12,AF12)</f>
        <v>63</v>
      </c>
      <c r="F12" s="218" t="s">
        <v>662</v>
      </c>
      <c r="G12" s="219" t="s">
        <v>663</v>
      </c>
      <c r="H12" s="221" t="s">
        <v>664</v>
      </c>
      <c r="I12" s="136">
        <v>74</v>
      </c>
      <c r="J12" s="951"/>
      <c r="K12" s="136">
        <v>74</v>
      </c>
      <c r="L12" s="254"/>
      <c r="M12" s="254">
        <v>4</v>
      </c>
      <c r="N12" s="254">
        <v>4</v>
      </c>
      <c r="O12" s="254"/>
      <c r="P12" s="254">
        <v>48514</v>
      </c>
      <c r="Q12" s="254">
        <v>18000</v>
      </c>
      <c r="R12" s="254">
        <v>13</v>
      </c>
      <c r="S12" s="254">
        <v>8</v>
      </c>
      <c r="T12" s="254">
        <v>8</v>
      </c>
      <c r="U12" s="254">
        <v>94914</v>
      </c>
      <c r="V12" s="254">
        <v>34400</v>
      </c>
      <c r="W12" s="254">
        <v>45570</v>
      </c>
      <c r="X12" s="254">
        <v>4</v>
      </c>
      <c r="Y12" s="254">
        <v>9</v>
      </c>
      <c r="Z12" s="254">
        <v>5</v>
      </c>
      <c r="AA12" s="254">
        <v>20600</v>
      </c>
      <c r="AB12" s="254">
        <v>43456</v>
      </c>
      <c r="AC12" s="254">
        <v>38556</v>
      </c>
      <c r="AD12" s="254">
        <v>4</v>
      </c>
      <c r="AE12" s="254">
        <v>2</v>
      </c>
      <c r="AF12" s="254">
        <v>2</v>
      </c>
      <c r="AG12" s="254">
        <v>21200</v>
      </c>
      <c r="AH12" s="254">
        <v>33400</v>
      </c>
      <c r="AI12" s="254">
        <v>20000</v>
      </c>
      <c r="AJ12" s="254">
        <f t="shared" ref="AJ12" si="4">SUM(O12,P12,Q12,U12,V12,W12,AA12,AB12,AC12,AG12,AH12,AI12)</f>
        <v>418610</v>
      </c>
      <c r="AK12" s="254"/>
      <c r="AL12" s="254"/>
      <c r="AM12" s="254"/>
      <c r="AN12" s="254"/>
      <c r="AO12" s="254">
        <f>+AJ12</f>
        <v>418610</v>
      </c>
      <c r="AP12" s="721" t="s">
        <v>657</v>
      </c>
      <c r="AQ12" s="721" t="s">
        <v>658</v>
      </c>
      <c r="AR12" s="721" t="s">
        <v>659</v>
      </c>
    </row>
    <row r="13" spans="1:44" ht="63">
      <c r="A13" s="152" t="s">
        <v>44</v>
      </c>
      <c r="B13" s="152" t="s">
        <v>103</v>
      </c>
      <c r="C13" s="211" t="s">
        <v>665</v>
      </c>
      <c r="D13" s="212" t="s">
        <v>666</v>
      </c>
      <c r="E13" s="213"/>
      <c r="F13" s="130"/>
      <c r="G13" s="131"/>
      <c r="H13" s="131"/>
      <c r="I13" s="211">
        <v>2</v>
      </c>
      <c r="J13" s="134">
        <v>2</v>
      </c>
      <c r="K13" s="134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>
        <f t="shared" ref="V13:W13" si="5">SUM(V14:V15)</f>
        <v>26660</v>
      </c>
      <c r="W13" s="135">
        <f t="shared" si="5"/>
        <v>57160</v>
      </c>
      <c r="X13" s="135"/>
      <c r="Y13" s="135"/>
      <c r="Z13" s="135"/>
      <c r="AA13" s="135"/>
      <c r="AB13" s="135"/>
      <c r="AC13" s="135">
        <f>SUM(AC14:AC15)</f>
        <v>92335</v>
      </c>
      <c r="AD13" s="135"/>
      <c r="AE13" s="135"/>
      <c r="AF13" s="135"/>
      <c r="AG13" s="135">
        <f>SUM(AG14:AG15)</f>
        <v>30000</v>
      </c>
      <c r="AH13" s="135"/>
      <c r="AI13" s="135">
        <f>SUM(AI14:AI15)</f>
        <v>28000</v>
      </c>
      <c r="AJ13" s="135">
        <f t="shared" ref="AJ13:AO13" si="6">SUM(AJ14:AJ15)</f>
        <v>234155</v>
      </c>
      <c r="AK13" s="135"/>
      <c r="AL13" s="135"/>
      <c r="AM13" s="135"/>
      <c r="AN13" s="135"/>
      <c r="AO13" s="135">
        <f t="shared" si="6"/>
        <v>234155</v>
      </c>
      <c r="AP13" s="131"/>
      <c r="AQ13" s="131"/>
      <c r="AR13" s="131"/>
    </row>
    <row r="14" spans="1:44" ht="111" customHeight="1">
      <c r="A14" s="258" t="s">
        <v>44</v>
      </c>
      <c r="B14" s="258" t="s">
        <v>103</v>
      </c>
      <c r="C14" s="214" t="s">
        <v>667</v>
      </c>
      <c r="D14" s="215" t="s">
        <v>668</v>
      </c>
      <c r="E14" s="216">
        <f t="shared" ref="E14:E15" si="7">SUM(L14,M14,N14,R14,S14,T14,X14,Y14,Z14,AD14,AE14,AF14)</f>
        <v>80</v>
      </c>
      <c r="F14" s="218" t="s">
        <v>662</v>
      </c>
      <c r="G14" s="219" t="s">
        <v>669</v>
      </c>
      <c r="H14" s="221" t="s">
        <v>670</v>
      </c>
      <c r="I14" s="136">
        <v>34</v>
      </c>
      <c r="J14" s="949"/>
      <c r="K14" s="136">
        <v>34</v>
      </c>
      <c r="L14" s="254"/>
      <c r="M14" s="254"/>
      <c r="N14" s="254"/>
      <c r="O14" s="254"/>
      <c r="P14" s="254"/>
      <c r="Q14" s="254"/>
      <c r="R14" s="254"/>
      <c r="S14" s="254">
        <v>15</v>
      </c>
      <c r="T14" s="254">
        <v>10</v>
      </c>
      <c r="U14" s="254"/>
      <c r="V14" s="254">
        <v>2500</v>
      </c>
      <c r="W14" s="254">
        <v>15000</v>
      </c>
      <c r="X14" s="254"/>
      <c r="Y14" s="254"/>
      <c r="Z14" s="254">
        <v>35</v>
      </c>
      <c r="AA14" s="254"/>
      <c r="AB14" s="254"/>
      <c r="AC14" s="254">
        <v>32500</v>
      </c>
      <c r="AD14" s="254">
        <v>20</v>
      </c>
      <c r="AE14" s="254"/>
      <c r="AF14" s="254"/>
      <c r="AG14" s="254">
        <v>30000</v>
      </c>
      <c r="AH14" s="254"/>
      <c r="AI14" s="254"/>
      <c r="AJ14" s="254">
        <f t="shared" ref="AJ14:AJ15" si="8">SUM(O14,P14,Q14,U14,V14,W14,AA14,AB14,AC14,AG14,AH14,AI14)</f>
        <v>80000</v>
      </c>
      <c r="AK14" s="254"/>
      <c r="AL14" s="254"/>
      <c r="AM14" s="254"/>
      <c r="AN14" s="254"/>
      <c r="AO14" s="254">
        <f t="shared" ref="AO14:AO15" si="9">+AJ14</f>
        <v>80000</v>
      </c>
      <c r="AP14" s="721" t="s">
        <v>657</v>
      </c>
      <c r="AQ14" s="721" t="s">
        <v>658</v>
      </c>
      <c r="AR14" s="217" t="s">
        <v>671</v>
      </c>
    </row>
    <row r="15" spans="1:44" ht="87.75" customHeight="1">
      <c r="A15" s="258" t="s">
        <v>44</v>
      </c>
      <c r="B15" s="258" t="s">
        <v>103</v>
      </c>
      <c r="C15" s="214" t="s">
        <v>672</v>
      </c>
      <c r="D15" s="215" t="s">
        <v>673</v>
      </c>
      <c r="E15" s="216">
        <f t="shared" si="7"/>
        <v>47</v>
      </c>
      <c r="F15" s="218" t="s">
        <v>662</v>
      </c>
      <c r="G15" s="219" t="s">
        <v>674</v>
      </c>
      <c r="H15" s="221" t="s">
        <v>675</v>
      </c>
      <c r="I15" s="136">
        <v>66</v>
      </c>
      <c r="J15" s="951"/>
      <c r="K15" s="136">
        <v>66</v>
      </c>
      <c r="L15" s="254"/>
      <c r="M15" s="254"/>
      <c r="N15" s="254"/>
      <c r="O15" s="254"/>
      <c r="P15" s="254"/>
      <c r="Q15" s="254"/>
      <c r="R15" s="254"/>
      <c r="S15" s="254">
        <v>5</v>
      </c>
      <c r="T15" s="254">
        <v>15</v>
      </c>
      <c r="U15" s="254"/>
      <c r="V15" s="254">
        <v>24160</v>
      </c>
      <c r="W15" s="254">
        <v>42160</v>
      </c>
      <c r="X15" s="254"/>
      <c r="Y15" s="254"/>
      <c r="Z15" s="254">
        <v>17</v>
      </c>
      <c r="AA15" s="254"/>
      <c r="AB15" s="254"/>
      <c r="AC15" s="254">
        <v>59835</v>
      </c>
      <c r="AD15" s="254"/>
      <c r="AE15" s="254"/>
      <c r="AF15" s="254">
        <v>10</v>
      </c>
      <c r="AG15" s="254"/>
      <c r="AH15" s="254"/>
      <c r="AI15" s="254">
        <v>28000</v>
      </c>
      <c r="AJ15" s="254">
        <f t="shared" si="8"/>
        <v>154155</v>
      </c>
      <c r="AK15" s="254"/>
      <c r="AL15" s="254"/>
      <c r="AM15" s="254"/>
      <c r="AN15" s="254"/>
      <c r="AO15" s="254">
        <f t="shared" si="9"/>
        <v>154155</v>
      </c>
      <c r="AP15" s="721" t="s">
        <v>657</v>
      </c>
      <c r="AQ15" s="721" t="s">
        <v>658</v>
      </c>
      <c r="AR15" s="217" t="s">
        <v>671</v>
      </c>
    </row>
    <row r="16" spans="1:44" ht="63">
      <c r="A16" s="152" t="s">
        <v>44</v>
      </c>
      <c r="B16" s="152" t="s">
        <v>676</v>
      </c>
      <c r="C16" s="211" t="s">
        <v>677</v>
      </c>
      <c r="D16" s="212" t="s">
        <v>678</v>
      </c>
      <c r="E16" s="213"/>
      <c r="F16" s="130"/>
      <c r="G16" s="131"/>
      <c r="H16" s="131"/>
      <c r="I16" s="211">
        <v>5</v>
      </c>
      <c r="J16" s="134">
        <v>5</v>
      </c>
      <c r="K16" s="134"/>
      <c r="L16" s="135"/>
      <c r="M16" s="135"/>
      <c r="N16" s="135"/>
      <c r="O16" s="135"/>
      <c r="P16" s="135">
        <f t="shared" ref="P16:Q16" si="10">SUM(P17:P18)</f>
        <v>214419</v>
      </c>
      <c r="Q16" s="135">
        <f t="shared" si="10"/>
        <v>3600</v>
      </c>
      <c r="R16" s="135"/>
      <c r="S16" s="135"/>
      <c r="T16" s="135"/>
      <c r="U16" s="135">
        <f t="shared" ref="U16:W16" si="11">SUM(U17:U18)</f>
        <v>117941</v>
      </c>
      <c r="V16" s="135">
        <f t="shared" si="11"/>
        <v>73600</v>
      </c>
      <c r="W16" s="135">
        <f t="shared" si="11"/>
        <v>94697</v>
      </c>
      <c r="X16" s="135"/>
      <c r="Y16" s="135"/>
      <c r="Z16" s="135"/>
      <c r="AA16" s="135">
        <f t="shared" ref="AA16:AB16" si="12">SUM(AA17:AA18)</f>
        <v>4400</v>
      </c>
      <c r="AB16" s="135">
        <f t="shared" si="12"/>
        <v>1800</v>
      </c>
      <c r="AC16" s="135">
        <f>SUM(AC17:AC18)</f>
        <v>30600</v>
      </c>
      <c r="AD16" s="135"/>
      <c r="AE16" s="135"/>
      <c r="AF16" s="135"/>
      <c r="AG16" s="135">
        <f t="shared" ref="AG16:AJ16" si="13">SUM(AG17:AG18)</f>
        <v>27900</v>
      </c>
      <c r="AH16" s="135">
        <f t="shared" si="13"/>
        <v>3600</v>
      </c>
      <c r="AI16" s="135">
        <f t="shared" si="13"/>
        <v>3600</v>
      </c>
      <c r="AJ16" s="135">
        <f t="shared" si="13"/>
        <v>576157</v>
      </c>
      <c r="AK16" s="135"/>
      <c r="AL16" s="135"/>
      <c r="AM16" s="135"/>
      <c r="AN16" s="135"/>
      <c r="AO16" s="135">
        <f>SUM(AO17:AO18)</f>
        <v>576157</v>
      </c>
      <c r="AP16" s="131"/>
      <c r="AQ16" s="131"/>
      <c r="AR16" s="131"/>
    </row>
    <row r="17" spans="1:44" ht="152.25" customHeight="1">
      <c r="A17" s="258" t="s">
        <v>44</v>
      </c>
      <c r="B17" s="258" t="s">
        <v>676</v>
      </c>
      <c r="C17" s="214" t="s">
        <v>679</v>
      </c>
      <c r="D17" s="215" t="s">
        <v>680</v>
      </c>
      <c r="E17" s="216">
        <f t="shared" ref="E17:E18" si="14">SUM(L17,M17,N17,R17,S17,T17,X17,Y17,Z17,AD17,AE17,AF17)</f>
        <v>151</v>
      </c>
      <c r="F17" s="218" t="s">
        <v>662</v>
      </c>
      <c r="G17" s="219" t="s">
        <v>681</v>
      </c>
      <c r="H17" s="221" t="s">
        <v>682</v>
      </c>
      <c r="I17" s="136">
        <v>93</v>
      </c>
      <c r="J17" s="949"/>
      <c r="K17" s="136">
        <v>93</v>
      </c>
      <c r="L17" s="254"/>
      <c r="M17" s="254">
        <v>40</v>
      </c>
      <c r="N17" s="254"/>
      <c r="O17" s="254"/>
      <c r="P17" s="254">
        <v>207219</v>
      </c>
      <c r="Q17" s="254"/>
      <c r="R17" s="254">
        <v>20</v>
      </c>
      <c r="S17" s="254">
        <v>20</v>
      </c>
      <c r="T17" s="254">
        <v>40</v>
      </c>
      <c r="U17" s="254">
        <v>114441</v>
      </c>
      <c r="V17" s="254">
        <v>70000</v>
      </c>
      <c r="W17" s="254">
        <v>90297</v>
      </c>
      <c r="X17" s="254"/>
      <c r="Y17" s="254"/>
      <c r="Z17" s="254">
        <v>20</v>
      </c>
      <c r="AA17" s="254"/>
      <c r="AB17" s="254"/>
      <c r="AC17" s="254">
        <v>28000</v>
      </c>
      <c r="AD17" s="254">
        <v>11</v>
      </c>
      <c r="AE17" s="254"/>
      <c r="AF17" s="254"/>
      <c r="AG17" s="254">
        <v>23500</v>
      </c>
      <c r="AH17" s="254"/>
      <c r="AI17" s="254"/>
      <c r="AJ17" s="254">
        <f t="shared" ref="AJ17:AJ18" si="15">SUM(O17,P17,Q17,U17,V17,W17,AA17,AB17,AC17,AG17,AH17,AI17)</f>
        <v>533457</v>
      </c>
      <c r="AK17" s="254"/>
      <c r="AL17" s="254"/>
      <c r="AM17" s="254"/>
      <c r="AN17" s="254"/>
      <c r="AO17" s="254">
        <f t="shared" ref="AO17:AO18" si="16">+AJ17</f>
        <v>533457</v>
      </c>
      <c r="AP17" s="721" t="s">
        <v>657</v>
      </c>
      <c r="AQ17" s="721" t="s">
        <v>658</v>
      </c>
      <c r="AR17" s="217" t="s">
        <v>671</v>
      </c>
    </row>
    <row r="18" spans="1:44" ht="96.75" customHeight="1">
      <c r="A18" s="258" t="s">
        <v>44</v>
      </c>
      <c r="B18" s="258" t="s">
        <v>676</v>
      </c>
      <c r="C18" s="214" t="s">
        <v>683</v>
      </c>
      <c r="D18" s="215" t="s">
        <v>684</v>
      </c>
      <c r="E18" s="216">
        <f t="shared" si="14"/>
        <v>151</v>
      </c>
      <c r="F18" s="218" t="s">
        <v>662</v>
      </c>
      <c r="G18" s="219" t="s">
        <v>685</v>
      </c>
      <c r="H18" s="221" t="s">
        <v>686</v>
      </c>
      <c r="I18" s="136">
        <v>7</v>
      </c>
      <c r="J18" s="951"/>
      <c r="K18" s="136">
        <v>7</v>
      </c>
      <c r="L18" s="254"/>
      <c r="M18" s="254">
        <v>9</v>
      </c>
      <c r="N18" s="254">
        <v>9</v>
      </c>
      <c r="O18" s="254"/>
      <c r="P18" s="254">
        <v>7200</v>
      </c>
      <c r="Q18" s="254">
        <v>3600</v>
      </c>
      <c r="R18" s="254">
        <v>19</v>
      </c>
      <c r="S18" s="254">
        <v>9</v>
      </c>
      <c r="T18" s="254">
        <v>19</v>
      </c>
      <c r="U18" s="254">
        <v>3500</v>
      </c>
      <c r="V18" s="254">
        <v>3600</v>
      </c>
      <c r="W18" s="254">
        <v>4400</v>
      </c>
      <c r="X18" s="254">
        <v>19</v>
      </c>
      <c r="Y18" s="254">
        <v>10</v>
      </c>
      <c r="Z18" s="254">
        <v>19</v>
      </c>
      <c r="AA18" s="254">
        <v>4400</v>
      </c>
      <c r="AB18" s="254">
        <v>1800</v>
      </c>
      <c r="AC18" s="254">
        <v>2600</v>
      </c>
      <c r="AD18" s="254">
        <v>19</v>
      </c>
      <c r="AE18" s="254">
        <v>10</v>
      </c>
      <c r="AF18" s="254">
        <v>9</v>
      </c>
      <c r="AG18" s="254">
        <v>4400</v>
      </c>
      <c r="AH18" s="254">
        <v>3600</v>
      </c>
      <c r="AI18" s="254">
        <v>3600</v>
      </c>
      <c r="AJ18" s="254">
        <f t="shared" si="15"/>
        <v>42700</v>
      </c>
      <c r="AK18" s="254"/>
      <c r="AL18" s="254"/>
      <c r="AM18" s="254"/>
      <c r="AN18" s="254"/>
      <c r="AO18" s="254">
        <f t="shared" si="16"/>
        <v>42700</v>
      </c>
      <c r="AP18" s="721" t="s">
        <v>657</v>
      </c>
      <c r="AQ18" s="721" t="s">
        <v>658</v>
      </c>
      <c r="AR18" s="217" t="s">
        <v>671</v>
      </c>
    </row>
    <row r="19" spans="1:44" ht="63">
      <c r="A19" s="152" t="s">
        <v>44</v>
      </c>
      <c r="B19" s="152" t="s">
        <v>687</v>
      </c>
      <c r="C19" s="211" t="s">
        <v>688</v>
      </c>
      <c r="D19" s="212" t="s">
        <v>689</v>
      </c>
      <c r="E19" s="213"/>
      <c r="F19" s="130"/>
      <c r="G19" s="131"/>
      <c r="H19" s="131"/>
      <c r="I19" s="211">
        <v>8</v>
      </c>
      <c r="J19" s="134">
        <v>8</v>
      </c>
      <c r="K19" s="134"/>
      <c r="L19" s="135"/>
      <c r="M19" s="135"/>
      <c r="N19" s="135"/>
      <c r="O19" s="135"/>
      <c r="P19" s="135"/>
      <c r="Q19" s="135">
        <f>SUM(Q20:Q21)</f>
        <v>165000</v>
      </c>
      <c r="R19" s="135"/>
      <c r="S19" s="135"/>
      <c r="T19" s="135"/>
      <c r="U19" s="135">
        <f>SUM(U20:U21)</f>
        <v>135000</v>
      </c>
      <c r="V19" s="135"/>
      <c r="W19" s="135">
        <f>SUM(W20:W21)</f>
        <v>232600</v>
      </c>
      <c r="X19" s="135"/>
      <c r="Y19" s="135"/>
      <c r="Z19" s="135"/>
      <c r="AA19" s="135">
        <f>SUM(AA20:AA21)</f>
        <v>145000</v>
      </c>
      <c r="AB19" s="135"/>
      <c r="AC19" s="135">
        <f>SUM(AC20:AC21)</f>
        <v>248800</v>
      </c>
      <c r="AD19" s="135"/>
      <c r="AE19" s="135"/>
      <c r="AF19" s="135"/>
      <c r="AG19" s="135">
        <f>SUM(AG20:AG21)</f>
        <v>10000</v>
      </c>
      <c r="AH19" s="135"/>
      <c r="AI19" s="135"/>
      <c r="AJ19" s="135">
        <f>SUM(AJ20:AJ21)</f>
        <v>936400</v>
      </c>
      <c r="AK19" s="135"/>
      <c r="AL19" s="135"/>
      <c r="AM19" s="135"/>
      <c r="AN19" s="135"/>
      <c r="AO19" s="135">
        <f>SUM(AO20:AO21)</f>
        <v>936400</v>
      </c>
      <c r="AP19" s="131"/>
      <c r="AQ19" s="131"/>
      <c r="AR19" s="131"/>
    </row>
    <row r="20" spans="1:44" ht="94.5">
      <c r="A20" s="258" t="s">
        <v>44</v>
      </c>
      <c r="B20" s="258" t="s">
        <v>687</v>
      </c>
      <c r="C20" s="214" t="s">
        <v>690</v>
      </c>
      <c r="D20" s="215" t="s">
        <v>691</v>
      </c>
      <c r="E20" s="216">
        <f t="shared" ref="E20:E21" si="17">SUM(L20,M20,N20,R20,S20,T20,X20,Y20,Z20,AD20,AE20,AF20)</f>
        <v>14</v>
      </c>
      <c r="F20" s="218" t="s">
        <v>692</v>
      </c>
      <c r="G20" s="219" t="s">
        <v>693</v>
      </c>
      <c r="H20" s="221" t="s">
        <v>694</v>
      </c>
      <c r="I20" s="136">
        <v>97</v>
      </c>
      <c r="J20" s="949"/>
      <c r="K20" s="136">
        <v>97</v>
      </c>
      <c r="L20" s="254"/>
      <c r="M20" s="254"/>
      <c r="N20" s="254">
        <v>2</v>
      </c>
      <c r="O20" s="254"/>
      <c r="P20" s="254"/>
      <c r="Q20" s="254">
        <v>165000</v>
      </c>
      <c r="R20" s="254">
        <v>2</v>
      </c>
      <c r="S20" s="254"/>
      <c r="T20" s="254">
        <v>4</v>
      </c>
      <c r="U20" s="254">
        <v>135000</v>
      </c>
      <c r="V20" s="254"/>
      <c r="W20" s="254">
        <v>227600</v>
      </c>
      <c r="X20" s="254">
        <v>2</v>
      </c>
      <c r="Y20" s="254"/>
      <c r="Z20" s="254">
        <v>4</v>
      </c>
      <c r="AA20" s="254">
        <v>135000</v>
      </c>
      <c r="AB20" s="254"/>
      <c r="AC20" s="254">
        <v>248800</v>
      </c>
      <c r="AD20" s="254"/>
      <c r="AE20" s="254"/>
      <c r="AF20" s="254"/>
      <c r="AG20" s="254"/>
      <c r="AH20" s="254"/>
      <c r="AI20" s="254"/>
      <c r="AJ20" s="254">
        <f t="shared" ref="AJ20:AJ21" si="18">SUM(O20,P20,Q20,U20,V20,W20,AA20,AB20,AC20,AG20,AH20,AI20)</f>
        <v>911400</v>
      </c>
      <c r="AK20" s="254"/>
      <c r="AL20" s="254"/>
      <c r="AM20" s="254"/>
      <c r="AN20" s="254"/>
      <c r="AO20" s="254">
        <f t="shared" ref="AO20:AO21" si="19">+AJ20</f>
        <v>911400</v>
      </c>
      <c r="AP20" s="721" t="s">
        <v>657</v>
      </c>
      <c r="AQ20" s="721" t="s">
        <v>658</v>
      </c>
      <c r="AR20" s="217" t="s">
        <v>695</v>
      </c>
    </row>
    <row r="21" spans="1:44" ht="110.25">
      <c r="A21" s="258" t="s">
        <v>44</v>
      </c>
      <c r="B21" s="258" t="s">
        <v>687</v>
      </c>
      <c r="C21" s="214" t="s">
        <v>696</v>
      </c>
      <c r="D21" s="215" t="s">
        <v>697</v>
      </c>
      <c r="E21" s="216">
        <f t="shared" si="17"/>
        <v>25</v>
      </c>
      <c r="F21" s="218" t="s">
        <v>662</v>
      </c>
      <c r="G21" s="219" t="s">
        <v>698</v>
      </c>
      <c r="H21" s="221" t="s">
        <v>699</v>
      </c>
      <c r="I21" s="136">
        <v>3</v>
      </c>
      <c r="J21" s="951"/>
      <c r="K21" s="136">
        <v>3</v>
      </c>
      <c r="L21" s="254"/>
      <c r="M21" s="254"/>
      <c r="N21" s="254"/>
      <c r="O21" s="254"/>
      <c r="P21" s="254"/>
      <c r="Q21" s="254"/>
      <c r="R21" s="254"/>
      <c r="S21" s="254"/>
      <c r="T21" s="254">
        <v>5</v>
      </c>
      <c r="U21" s="254"/>
      <c r="V21" s="254"/>
      <c r="W21" s="254">
        <v>5000</v>
      </c>
      <c r="X21" s="254">
        <v>10</v>
      </c>
      <c r="Y21" s="254"/>
      <c r="Z21" s="254"/>
      <c r="AA21" s="254">
        <v>10000</v>
      </c>
      <c r="AB21" s="254"/>
      <c r="AC21" s="254"/>
      <c r="AD21" s="254">
        <v>10</v>
      </c>
      <c r="AE21" s="254"/>
      <c r="AF21" s="254"/>
      <c r="AG21" s="254">
        <v>10000</v>
      </c>
      <c r="AH21" s="254"/>
      <c r="AI21" s="254"/>
      <c r="AJ21" s="254">
        <f t="shared" si="18"/>
        <v>25000</v>
      </c>
      <c r="AK21" s="254"/>
      <c r="AL21" s="254"/>
      <c r="AM21" s="254"/>
      <c r="AN21" s="254"/>
      <c r="AO21" s="254">
        <f t="shared" si="19"/>
        <v>25000</v>
      </c>
      <c r="AP21" s="721" t="s">
        <v>657</v>
      </c>
      <c r="AQ21" s="721" t="s">
        <v>658</v>
      </c>
      <c r="AR21" s="217" t="s">
        <v>671</v>
      </c>
    </row>
    <row r="22" spans="1:44" ht="63">
      <c r="A22" s="152" t="s">
        <v>44</v>
      </c>
      <c r="B22" s="152" t="s">
        <v>700</v>
      </c>
      <c r="C22" s="211" t="s">
        <v>701</v>
      </c>
      <c r="D22" s="212" t="s">
        <v>702</v>
      </c>
      <c r="E22" s="213"/>
      <c r="F22" s="130"/>
      <c r="G22" s="131"/>
      <c r="H22" s="131"/>
      <c r="I22" s="211">
        <v>1</v>
      </c>
      <c r="J22" s="134">
        <v>1</v>
      </c>
      <c r="K22" s="134"/>
      <c r="L22" s="135"/>
      <c r="M22" s="135"/>
      <c r="N22" s="135"/>
      <c r="O22" s="135"/>
      <c r="P22" s="135">
        <f t="shared" ref="P22:AO22" si="20">SUM(P23:P27)</f>
        <v>48000</v>
      </c>
      <c r="Q22" s="135"/>
      <c r="R22" s="135"/>
      <c r="S22" s="135"/>
      <c r="T22" s="135"/>
      <c r="U22" s="135">
        <f t="shared" si="20"/>
        <v>48000</v>
      </c>
      <c r="V22" s="135"/>
      <c r="W22" s="135"/>
      <c r="X22" s="135"/>
      <c r="Y22" s="135"/>
      <c r="Z22" s="135"/>
      <c r="AA22" s="135"/>
      <c r="AB22" s="135">
        <f t="shared" si="20"/>
        <v>32200</v>
      </c>
      <c r="AC22" s="135">
        <f t="shared" si="20"/>
        <v>34200</v>
      </c>
      <c r="AD22" s="135"/>
      <c r="AE22" s="135"/>
      <c r="AF22" s="135"/>
      <c r="AG22" s="135"/>
      <c r="AH22" s="135"/>
      <c r="AI22" s="135"/>
      <c r="AJ22" s="135">
        <f t="shared" si="20"/>
        <v>162400</v>
      </c>
      <c r="AK22" s="135"/>
      <c r="AL22" s="135"/>
      <c r="AM22" s="135"/>
      <c r="AN22" s="135"/>
      <c r="AO22" s="135">
        <f t="shared" si="20"/>
        <v>162400</v>
      </c>
      <c r="AP22" s="131"/>
      <c r="AQ22" s="131"/>
      <c r="AR22" s="131"/>
    </row>
    <row r="23" spans="1:44" ht="78.75">
      <c r="A23" s="258" t="s">
        <v>44</v>
      </c>
      <c r="B23" s="258" t="s">
        <v>700</v>
      </c>
      <c r="C23" s="214" t="s">
        <v>703</v>
      </c>
      <c r="D23" s="215" t="s">
        <v>704</v>
      </c>
      <c r="E23" s="216">
        <f t="shared" ref="E23:E27" si="21">SUM(L23,M23,N23,R23,S23,T23,X23,Y23,Z23,AD23,AE23,AF23)</f>
        <v>4</v>
      </c>
      <c r="F23" s="218" t="s">
        <v>662</v>
      </c>
      <c r="G23" s="219" t="s">
        <v>705</v>
      </c>
      <c r="H23" s="221" t="s">
        <v>706</v>
      </c>
      <c r="I23" s="214">
        <v>96</v>
      </c>
      <c r="J23" s="949"/>
      <c r="K23" s="214">
        <v>96</v>
      </c>
      <c r="L23" s="254"/>
      <c r="M23" s="254">
        <v>1</v>
      </c>
      <c r="N23" s="254"/>
      <c r="O23" s="254"/>
      <c r="P23" s="254">
        <v>46500</v>
      </c>
      <c r="Q23" s="254"/>
      <c r="R23" s="254">
        <v>1</v>
      </c>
      <c r="S23" s="254"/>
      <c r="T23" s="254"/>
      <c r="U23" s="254">
        <v>46500</v>
      </c>
      <c r="V23" s="254"/>
      <c r="W23" s="254"/>
      <c r="X23" s="254"/>
      <c r="Y23" s="254">
        <v>1</v>
      </c>
      <c r="Z23" s="254">
        <v>1</v>
      </c>
      <c r="AA23" s="254"/>
      <c r="AB23" s="254">
        <v>31300</v>
      </c>
      <c r="AC23" s="254">
        <v>31300</v>
      </c>
      <c r="AD23" s="254"/>
      <c r="AE23" s="254"/>
      <c r="AF23" s="254"/>
      <c r="AG23" s="254"/>
      <c r="AH23" s="254"/>
      <c r="AI23" s="254"/>
      <c r="AJ23" s="254">
        <f t="shared" ref="AJ23:AJ27" si="22">SUM(O23,P23,Q23,U23,V23,W23,AA23,AB23,AC23,AG23,AH23,AI23)</f>
        <v>155600</v>
      </c>
      <c r="AK23" s="254"/>
      <c r="AL23" s="254"/>
      <c r="AM23" s="254"/>
      <c r="AN23" s="254"/>
      <c r="AO23" s="254">
        <f t="shared" ref="AO23:AO27" si="23">+AJ23</f>
        <v>155600</v>
      </c>
      <c r="AP23" s="721" t="s">
        <v>657</v>
      </c>
      <c r="AQ23" s="721" t="s">
        <v>658</v>
      </c>
      <c r="AR23" s="217" t="s">
        <v>671</v>
      </c>
    </row>
    <row r="24" spans="1:44" ht="64.5" customHeight="1">
      <c r="A24" s="935" t="s">
        <v>44</v>
      </c>
      <c r="B24" s="935" t="s">
        <v>700</v>
      </c>
      <c r="C24" s="1135" t="s">
        <v>707</v>
      </c>
      <c r="D24" s="1137" t="s">
        <v>708</v>
      </c>
      <c r="E24" s="216">
        <f t="shared" si="21"/>
        <v>48</v>
      </c>
      <c r="F24" s="218" t="s">
        <v>131</v>
      </c>
      <c r="G24" s="1139" t="s">
        <v>709</v>
      </c>
      <c r="H24" s="939" t="s">
        <v>710</v>
      </c>
      <c r="I24" s="1135">
        <v>2</v>
      </c>
      <c r="J24" s="950"/>
      <c r="K24" s="1135">
        <v>2</v>
      </c>
      <c r="L24" s="254"/>
      <c r="M24" s="254">
        <v>18</v>
      </c>
      <c r="N24" s="254"/>
      <c r="O24" s="254"/>
      <c r="P24" s="254">
        <v>450</v>
      </c>
      <c r="Q24" s="254"/>
      <c r="R24" s="254">
        <v>18</v>
      </c>
      <c r="S24" s="254"/>
      <c r="T24" s="254"/>
      <c r="U24" s="254">
        <v>450</v>
      </c>
      <c r="V24" s="254"/>
      <c r="W24" s="254"/>
      <c r="X24" s="254"/>
      <c r="Y24" s="254"/>
      <c r="Z24" s="254">
        <v>12</v>
      </c>
      <c r="AA24" s="254"/>
      <c r="AB24" s="254"/>
      <c r="AC24" s="254">
        <v>500</v>
      </c>
      <c r="AD24" s="254"/>
      <c r="AE24" s="254"/>
      <c r="AF24" s="254"/>
      <c r="AG24" s="254"/>
      <c r="AH24" s="254"/>
      <c r="AI24" s="254"/>
      <c r="AJ24" s="254">
        <f t="shared" si="22"/>
        <v>1400</v>
      </c>
      <c r="AK24" s="254"/>
      <c r="AL24" s="254"/>
      <c r="AM24" s="254"/>
      <c r="AN24" s="254"/>
      <c r="AO24" s="254">
        <f t="shared" si="23"/>
        <v>1400</v>
      </c>
      <c r="AP24" s="1143" t="s">
        <v>657</v>
      </c>
      <c r="AQ24" s="1143" t="s">
        <v>658</v>
      </c>
      <c r="AR24" s="1143" t="s">
        <v>671</v>
      </c>
    </row>
    <row r="25" spans="1:44" ht="64.5" customHeight="1">
      <c r="A25" s="984"/>
      <c r="B25" s="984"/>
      <c r="C25" s="1136"/>
      <c r="D25" s="1138"/>
      <c r="E25" s="216">
        <f t="shared" si="21"/>
        <v>52</v>
      </c>
      <c r="F25" s="218" t="s">
        <v>134</v>
      </c>
      <c r="G25" s="1140"/>
      <c r="H25" s="940"/>
      <c r="I25" s="1136"/>
      <c r="J25" s="950"/>
      <c r="K25" s="1136"/>
      <c r="L25" s="254"/>
      <c r="M25" s="254">
        <v>12</v>
      </c>
      <c r="N25" s="254"/>
      <c r="O25" s="254"/>
      <c r="P25" s="254">
        <v>300</v>
      </c>
      <c r="Q25" s="254"/>
      <c r="R25" s="254">
        <v>12</v>
      </c>
      <c r="S25" s="254"/>
      <c r="T25" s="254"/>
      <c r="U25" s="254">
        <v>300</v>
      </c>
      <c r="V25" s="254"/>
      <c r="W25" s="254"/>
      <c r="X25" s="254"/>
      <c r="Y25" s="254"/>
      <c r="Z25" s="254">
        <v>28</v>
      </c>
      <c r="AA25" s="254"/>
      <c r="AB25" s="254"/>
      <c r="AC25" s="254">
        <v>1500</v>
      </c>
      <c r="AD25" s="254"/>
      <c r="AE25" s="254"/>
      <c r="AF25" s="254"/>
      <c r="AG25" s="254"/>
      <c r="AH25" s="254"/>
      <c r="AI25" s="254"/>
      <c r="AJ25" s="254">
        <f t="shared" si="22"/>
        <v>2100</v>
      </c>
      <c r="AK25" s="254"/>
      <c r="AL25" s="254"/>
      <c r="AM25" s="254"/>
      <c r="AN25" s="254"/>
      <c r="AO25" s="254">
        <f t="shared" si="23"/>
        <v>2100</v>
      </c>
      <c r="AP25" s="1144"/>
      <c r="AQ25" s="1144"/>
      <c r="AR25" s="1144" t="s">
        <v>711</v>
      </c>
    </row>
    <row r="26" spans="1:44" ht="80.25" customHeight="1">
      <c r="A26" s="935" t="s">
        <v>44</v>
      </c>
      <c r="B26" s="935" t="s">
        <v>700</v>
      </c>
      <c r="C26" s="1135" t="s">
        <v>712</v>
      </c>
      <c r="D26" s="1137" t="s">
        <v>713</v>
      </c>
      <c r="E26" s="216">
        <f t="shared" si="21"/>
        <v>64</v>
      </c>
      <c r="F26" s="218" t="s">
        <v>131</v>
      </c>
      <c r="G26" s="1139" t="s">
        <v>714</v>
      </c>
      <c r="H26" s="939" t="s">
        <v>699</v>
      </c>
      <c r="I26" s="1135">
        <v>2</v>
      </c>
      <c r="J26" s="950"/>
      <c r="K26" s="1135">
        <v>2</v>
      </c>
      <c r="L26" s="254"/>
      <c r="M26" s="254">
        <v>18</v>
      </c>
      <c r="N26" s="254"/>
      <c r="O26" s="254"/>
      <c r="P26" s="254">
        <v>450</v>
      </c>
      <c r="Q26" s="254"/>
      <c r="R26" s="254">
        <v>18</v>
      </c>
      <c r="S26" s="254"/>
      <c r="T26" s="254"/>
      <c r="U26" s="254">
        <v>450</v>
      </c>
      <c r="V26" s="254"/>
      <c r="W26" s="254"/>
      <c r="X26" s="254"/>
      <c r="Y26" s="254">
        <v>14</v>
      </c>
      <c r="Z26" s="254">
        <v>14</v>
      </c>
      <c r="AA26" s="254"/>
      <c r="AB26" s="254">
        <v>600</v>
      </c>
      <c r="AC26" s="254">
        <v>600</v>
      </c>
      <c r="AD26" s="254"/>
      <c r="AE26" s="254"/>
      <c r="AF26" s="254"/>
      <c r="AG26" s="254"/>
      <c r="AH26" s="254"/>
      <c r="AI26" s="254"/>
      <c r="AJ26" s="254">
        <f t="shared" si="22"/>
        <v>2100</v>
      </c>
      <c r="AK26" s="254"/>
      <c r="AL26" s="254"/>
      <c r="AM26" s="254"/>
      <c r="AN26" s="254"/>
      <c r="AO26" s="254">
        <f t="shared" si="23"/>
        <v>2100</v>
      </c>
      <c r="AP26" s="1143" t="s">
        <v>657</v>
      </c>
      <c r="AQ26" s="1143" t="s">
        <v>658</v>
      </c>
      <c r="AR26" s="1143" t="s">
        <v>671</v>
      </c>
    </row>
    <row r="27" spans="1:44" ht="80.25" customHeight="1">
      <c r="A27" s="984"/>
      <c r="B27" s="984"/>
      <c r="C27" s="1136"/>
      <c r="D27" s="1138"/>
      <c r="E27" s="216">
        <f t="shared" si="21"/>
        <v>36</v>
      </c>
      <c r="F27" s="218" t="s">
        <v>134</v>
      </c>
      <c r="G27" s="1140"/>
      <c r="H27" s="940"/>
      <c r="I27" s="1136"/>
      <c r="J27" s="951"/>
      <c r="K27" s="1136"/>
      <c r="L27" s="254"/>
      <c r="M27" s="254">
        <v>12</v>
      </c>
      <c r="N27" s="254"/>
      <c r="O27" s="254"/>
      <c r="P27" s="254">
        <v>300</v>
      </c>
      <c r="Q27" s="254"/>
      <c r="R27" s="254">
        <v>12</v>
      </c>
      <c r="S27" s="254"/>
      <c r="T27" s="254"/>
      <c r="U27" s="254">
        <v>300</v>
      </c>
      <c r="V27" s="254"/>
      <c r="W27" s="254"/>
      <c r="X27" s="254"/>
      <c r="Y27" s="254">
        <v>6</v>
      </c>
      <c r="Z27" s="254">
        <v>6</v>
      </c>
      <c r="AA27" s="254"/>
      <c r="AB27" s="254">
        <v>300</v>
      </c>
      <c r="AC27" s="254">
        <v>300</v>
      </c>
      <c r="AD27" s="254"/>
      <c r="AE27" s="254"/>
      <c r="AF27" s="254"/>
      <c r="AG27" s="254"/>
      <c r="AH27" s="254"/>
      <c r="AI27" s="254"/>
      <c r="AJ27" s="254">
        <f t="shared" si="22"/>
        <v>1200</v>
      </c>
      <c r="AK27" s="254"/>
      <c r="AL27" s="254"/>
      <c r="AM27" s="254"/>
      <c r="AN27" s="254"/>
      <c r="AO27" s="254">
        <f t="shared" si="23"/>
        <v>1200</v>
      </c>
      <c r="AP27" s="1144" t="s">
        <v>657</v>
      </c>
      <c r="AQ27" s="1144" t="s">
        <v>658</v>
      </c>
      <c r="AR27" s="1144" t="s">
        <v>711</v>
      </c>
    </row>
    <row r="28" spans="1:44" ht="78.75">
      <c r="A28" s="152" t="s">
        <v>44</v>
      </c>
      <c r="B28" s="152" t="s">
        <v>480</v>
      </c>
      <c r="C28" s="211" t="s">
        <v>715</v>
      </c>
      <c r="D28" s="212" t="s">
        <v>716</v>
      </c>
      <c r="E28" s="213"/>
      <c r="F28" s="130"/>
      <c r="G28" s="131"/>
      <c r="H28" s="131"/>
      <c r="I28" s="211">
        <v>1</v>
      </c>
      <c r="J28" s="134">
        <v>1</v>
      </c>
      <c r="K28" s="134"/>
      <c r="L28" s="135"/>
      <c r="M28" s="135"/>
      <c r="N28" s="135"/>
      <c r="O28" s="135"/>
      <c r="P28" s="135">
        <f>SUM(P29:P30)</f>
        <v>22313</v>
      </c>
      <c r="Q28" s="135"/>
      <c r="R28" s="135"/>
      <c r="S28" s="135"/>
      <c r="T28" s="135"/>
      <c r="U28" s="135">
        <f>SUM(U29:U30)</f>
        <v>36225</v>
      </c>
      <c r="V28" s="135"/>
      <c r="W28" s="135">
        <f>SUM(W29:W30)</f>
        <v>33915</v>
      </c>
      <c r="X28" s="135"/>
      <c r="Y28" s="135"/>
      <c r="Z28" s="135"/>
      <c r="AA28" s="135"/>
      <c r="AB28" s="135"/>
      <c r="AC28" s="135"/>
      <c r="AD28" s="135"/>
      <c r="AE28" s="135"/>
      <c r="AF28" s="135"/>
      <c r="AG28" s="135"/>
      <c r="AH28" s="135"/>
      <c r="AI28" s="135"/>
      <c r="AJ28" s="135">
        <f>SUM(AJ29:AJ30)</f>
        <v>92453</v>
      </c>
      <c r="AK28" s="135"/>
      <c r="AL28" s="135"/>
      <c r="AM28" s="135"/>
      <c r="AN28" s="135"/>
      <c r="AO28" s="135">
        <f>SUM(AO29:AO30)</f>
        <v>92453</v>
      </c>
      <c r="AP28" s="131"/>
      <c r="AQ28" s="131"/>
      <c r="AR28" s="131"/>
    </row>
    <row r="29" spans="1:44" ht="77.25" customHeight="1">
      <c r="A29" s="935" t="s">
        <v>44</v>
      </c>
      <c r="B29" s="935" t="s">
        <v>480</v>
      </c>
      <c r="C29" s="1135" t="s">
        <v>717</v>
      </c>
      <c r="D29" s="1137" t="s">
        <v>718</v>
      </c>
      <c r="E29" s="216">
        <f t="shared" ref="E29:E30" si="24">SUM(L29,M29,N29,R29,S29,T29,X29,Y29,Z29,AD29,AE29,AF29)</f>
        <v>3543.75</v>
      </c>
      <c r="F29" s="218" t="s">
        <v>131</v>
      </c>
      <c r="G29" s="1139" t="s">
        <v>719</v>
      </c>
      <c r="H29" s="939" t="s">
        <v>720</v>
      </c>
      <c r="I29" s="1135">
        <v>100</v>
      </c>
      <c r="J29" s="949"/>
      <c r="K29" s="1135">
        <v>100</v>
      </c>
      <c r="L29" s="254"/>
      <c r="M29" s="254">
        <v>356.25</v>
      </c>
      <c r="N29" s="254"/>
      <c r="O29" s="254"/>
      <c r="P29" s="254">
        <v>16734.75</v>
      </c>
      <c r="Q29" s="254"/>
      <c r="R29" s="254">
        <v>1725</v>
      </c>
      <c r="S29" s="254"/>
      <c r="T29" s="254">
        <v>1462.5</v>
      </c>
      <c r="U29" s="254">
        <v>27168.75</v>
      </c>
      <c r="V29" s="254"/>
      <c r="W29" s="254">
        <v>25436.25</v>
      </c>
      <c r="X29" s="254"/>
      <c r="Y29" s="254"/>
      <c r="Z29" s="254"/>
      <c r="AA29" s="254"/>
      <c r="AB29" s="254"/>
      <c r="AC29" s="254"/>
      <c r="AD29" s="254"/>
      <c r="AE29" s="254"/>
      <c r="AF29" s="254"/>
      <c r="AG29" s="254"/>
      <c r="AH29" s="254"/>
      <c r="AI29" s="254"/>
      <c r="AJ29" s="254">
        <f t="shared" ref="AJ29:AJ30" si="25">SUM(O29,P29,Q29,U29,V29,W29,AA29,AB29,AC29,AG29,AH29,AI29)</f>
        <v>69339.75</v>
      </c>
      <c r="AK29" s="254"/>
      <c r="AL29" s="254"/>
      <c r="AM29" s="254"/>
      <c r="AN29" s="254"/>
      <c r="AO29" s="254">
        <f t="shared" ref="AO29:AO30" si="26">+AJ29</f>
        <v>69339.75</v>
      </c>
      <c r="AP29" s="939" t="s">
        <v>721</v>
      </c>
      <c r="AQ29" s="939" t="s">
        <v>722</v>
      </c>
      <c r="AR29" s="1143" t="s">
        <v>723</v>
      </c>
    </row>
    <row r="30" spans="1:44" ht="77.25" customHeight="1">
      <c r="A30" s="984"/>
      <c r="B30" s="984"/>
      <c r="C30" s="1136"/>
      <c r="D30" s="1138"/>
      <c r="E30" s="216">
        <f t="shared" si="24"/>
        <v>1181.25</v>
      </c>
      <c r="F30" s="218" t="s">
        <v>134</v>
      </c>
      <c r="G30" s="1140"/>
      <c r="H30" s="940"/>
      <c r="I30" s="1136"/>
      <c r="J30" s="951"/>
      <c r="K30" s="1136"/>
      <c r="L30" s="254"/>
      <c r="M30" s="254">
        <v>118.75</v>
      </c>
      <c r="N30" s="254"/>
      <c r="O30" s="254"/>
      <c r="P30" s="254">
        <v>5578.25</v>
      </c>
      <c r="Q30" s="254"/>
      <c r="R30" s="254">
        <v>575</v>
      </c>
      <c r="S30" s="254"/>
      <c r="T30" s="254">
        <v>487.5</v>
      </c>
      <c r="U30" s="254">
        <v>9056.25</v>
      </c>
      <c r="V30" s="254"/>
      <c r="W30" s="254">
        <v>8478.75</v>
      </c>
      <c r="X30" s="254"/>
      <c r="Y30" s="254"/>
      <c r="Z30" s="254"/>
      <c r="AA30" s="254"/>
      <c r="AB30" s="254"/>
      <c r="AC30" s="254"/>
      <c r="AD30" s="254"/>
      <c r="AE30" s="254"/>
      <c r="AF30" s="254"/>
      <c r="AG30" s="254"/>
      <c r="AH30" s="254"/>
      <c r="AI30" s="254"/>
      <c r="AJ30" s="254">
        <f t="shared" si="25"/>
        <v>23113.25</v>
      </c>
      <c r="AK30" s="254"/>
      <c r="AL30" s="254"/>
      <c r="AM30" s="254"/>
      <c r="AN30" s="254"/>
      <c r="AO30" s="254">
        <f t="shared" si="26"/>
        <v>23113.25</v>
      </c>
      <c r="AP30" s="940" t="s">
        <v>721</v>
      </c>
      <c r="AQ30" s="940" t="s">
        <v>722</v>
      </c>
      <c r="AR30" s="1144" t="s">
        <v>724</v>
      </c>
    </row>
    <row r="31" spans="1:44" ht="47.25">
      <c r="A31" s="152" t="s">
        <v>44</v>
      </c>
      <c r="B31" s="152" t="s">
        <v>489</v>
      </c>
      <c r="C31" s="211" t="s">
        <v>725</v>
      </c>
      <c r="D31" s="212" t="s">
        <v>726</v>
      </c>
      <c r="E31" s="213"/>
      <c r="F31" s="130"/>
      <c r="G31" s="131"/>
      <c r="H31" s="131"/>
      <c r="I31" s="211">
        <v>4</v>
      </c>
      <c r="J31" s="134">
        <v>4</v>
      </c>
      <c r="K31" s="134"/>
      <c r="L31" s="135"/>
      <c r="M31" s="135"/>
      <c r="N31" s="135"/>
      <c r="O31" s="135"/>
      <c r="P31" s="135">
        <f>SUM(P32:P36)</f>
        <v>140983</v>
      </c>
      <c r="Q31" s="135"/>
      <c r="R31" s="135"/>
      <c r="S31" s="135"/>
      <c r="T31" s="135"/>
      <c r="U31" s="135">
        <f t="shared" ref="U31:V31" si="27">SUM(U32:U36)</f>
        <v>154364</v>
      </c>
      <c r="V31" s="135">
        <f t="shared" si="27"/>
        <v>3000</v>
      </c>
      <c r="W31" s="135">
        <f>SUM(W32:W36)</f>
        <v>171148</v>
      </c>
      <c r="X31" s="135"/>
      <c r="Y31" s="135"/>
      <c r="Z31" s="135"/>
      <c r="AA31" s="135">
        <f>SUM(AA32:AA36)</f>
        <v>2000</v>
      </c>
      <c r="AB31" s="135"/>
      <c r="AC31" s="135"/>
      <c r="AD31" s="135"/>
      <c r="AE31" s="135"/>
      <c r="AF31" s="135"/>
      <c r="AG31" s="135"/>
      <c r="AH31" s="135"/>
      <c r="AI31" s="135"/>
      <c r="AJ31" s="135">
        <f>SUM(AJ32:AJ36)</f>
        <v>471495</v>
      </c>
      <c r="AK31" s="135"/>
      <c r="AL31" s="135"/>
      <c r="AM31" s="135"/>
      <c r="AN31" s="135"/>
      <c r="AO31" s="135">
        <f>SUM(AO32:AO36)</f>
        <v>471495</v>
      </c>
      <c r="AP31" s="131"/>
      <c r="AQ31" s="131"/>
      <c r="AR31" s="131"/>
    </row>
    <row r="32" spans="1:44" ht="63">
      <c r="A32" s="258" t="s">
        <v>44</v>
      </c>
      <c r="B32" s="258" t="s">
        <v>489</v>
      </c>
      <c r="C32" s="214" t="s">
        <v>727</v>
      </c>
      <c r="D32" s="215" t="s">
        <v>728</v>
      </c>
      <c r="E32" s="216">
        <f t="shared" ref="E32:E36" si="28">SUM(L32,M32,N32,R32,S32,T32,X32,Y32,Z32,AD32,AE32,AF32)</f>
        <v>14</v>
      </c>
      <c r="F32" s="218" t="s">
        <v>692</v>
      </c>
      <c r="G32" s="219" t="s">
        <v>729</v>
      </c>
      <c r="H32" s="221" t="s">
        <v>730</v>
      </c>
      <c r="I32" s="214">
        <v>2</v>
      </c>
      <c r="J32" s="949"/>
      <c r="K32" s="214">
        <v>2</v>
      </c>
      <c r="L32" s="254"/>
      <c r="M32" s="254"/>
      <c r="N32" s="254"/>
      <c r="O32" s="254"/>
      <c r="P32" s="254"/>
      <c r="Q32" s="254"/>
      <c r="R32" s="254">
        <v>10</v>
      </c>
      <c r="S32" s="254">
        <v>4</v>
      </c>
      <c r="T32" s="254"/>
      <c r="U32" s="254">
        <v>7500</v>
      </c>
      <c r="V32" s="254">
        <v>3000</v>
      </c>
      <c r="W32" s="254"/>
      <c r="X32" s="254"/>
      <c r="Y32" s="254"/>
      <c r="Z32" s="254"/>
      <c r="AA32" s="254"/>
      <c r="AB32" s="254"/>
      <c r="AC32" s="254"/>
      <c r="AD32" s="254"/>
      <c r="AE32" s="254"/>
      <c r="AF32" s="254"/>
      <c r="AG32" s="254"/>
      <c r="AH32" s="254"/>
      <c r="AI32" s="254"/>
      <c r="AJ32" s="254">
        <f t="shared" ref="AJ32:AJ36" si="29">SUM(O32,P32,Q32,U32,V32,W32,AA32,AB32,AC32,AG32,AH32,AI32)</f>
        <v>10500</v>
      </c>
      <c r="AK32" s="254"/>
      <c r="AL32" s="254"/>
      <c r="AM32" s="254"/>
      <c r="AN32" s="254"/>
      <c r="AO32" s="254">
        <f t="shared" ref="AO32:AO36" si="30">+AJ32</f>
        <v>10500</v>
      </c>
      <c r="AP32" s="721" t="s">
        <v>721</v>
      </c>
      <c r="AQ32" s="721" t="s">
        <v>722</v>
      </c>
      <c r="AR32" s="721" t="s">
        <v>723</v>
      </c>
    </row>
    <row r="33" spans="1:44" ht="102" customHeight="1">
      <c r="A33" s="935" t="s">
        <v>44</v>
      </c>
      <c r="B33" s="935" t="s">
        <v>489</v>
      </c>
      <c r="C33" s="1135" t="s">
        <v>731</v>
      </c>
      <c r="D33" s="1137" t="s">
        <v>732</v>
      </c>
      <c r="E33" s="216">
        <f t="shared" si="28"/>
        <v>1377</v>
      </c>
      <c r="F33" s="218" t="s">
        <v>131</v>
      </c>
      <c r="G33" s="1139" t="s">
        <v>733</v>
      </c>
      <c r="H33" s="939" t="s">
        <v>734</v>
      </c>
      <c r="I33" s="1135">
        <v>97</v>
      </c>
      <c r="J33" s="950"/>
      <c r="K33" s="1135">
        <v>97</v>
      </c>
      <c r="L33" s="254"/>
      <c r="M33" s="254">
        <v>375.75</v>
      </c>
      <c r="N33" s="254"/>
      <c r="O33" s="254"/>
      <c r="P33" s="254">
        <v>105737.25</v>
      </c>
      <c r="Q33" s="254"/>
      <c r="R33" s="254">
        <v>517.5</v>
      </c>
      <c r="S33" s="254"/>
      <c r="T33" s="254">
        <v>483.75</v>
      </c>
      <c r="U33" s="254">
        <v>110148</v>
      </c>
      <c r="V33" s="254"/>
      <c r="W33" s="254">
        <v>128361</v>
      </c>
      <c r="X33" s="254"/>
      <c r="Y33" s="254"/>
      <c r="Z33" s="254"/>
      <c r="AA33" s="254"/>
      <c r="AB33" s="254"/>
      <c r="AC33" s="254"/>
      <c r="AD33" s="254"/>
      <c r="AE33" s="254"/>
      <c r="AF33" s="254"/>
      <c r="AG33" s="254"/>
      <c r="AH33" s="254"/>
      <c r="AI33" s="254"/>
      <c r="AJ33" s="254">
        <f t="shared" si="29"/>
        <v>344246.25</v>
      </c>
      <c r="AK33" s="254"/>
      <c r="AL33" s="254"/>
      <c r="AM33" s="254"/>
      <c r="AN33" s="254"/>
      <c r="AO33" s="254">
        <f t="shared" si="30"/>
        <v>344246.25</v>
      </c>
      <c r="AP33" s="939" t="s">
        <v>721</v>
      </c>
      <c r="AQ33" s="939" t="s">
        <v>722</v>
      </c>
      <c r="AR33" s="939" t="s">
        <v>723</v>
      </c>
    </row>
    <row r="34" spans="1:44" ht="102" customHeight="1">
      <c r="A34" s="984"/>
      <c r="B34" s="984"/>
      <c r="C34" s="1136"/>
      <c r="D34" s="1138"/>
      <c r="E34" s="216">
        <f t="shared" si="28"/>
        <v>459</v>
      </c>
      <c r="F34" s="218" t="s">
        <v>134</v>
      </c>
      <c r="G34" s="1140"/>
      <c r="H34" s="940"/>
      <c r="I34" s="1136"/>
      <c r="J34" s="950"/>
      <c r="K34" s="1136"/>
      <c r="L34" s="254"/>
      <c r="M34" s="254">
        <v>125.25</v>
      </c>
      <c r="N34" s="254"/>
      <c r="O34" s="254"/>
      <c r="P34" s="254">
        <v>35245.75</v>
      </c>
      <c r="Q34" s="254"/>
      <c r="R34" s="254">
        <v>172.5</v>
      </c>
      <c r="S34" s="254"/>
      <c r="T34" s="254">
        <v>161.25</v>
      </c>
      <c r="U34" s="254">
        <v>36716</v>
      </c>
      <c r="V34" s="254"/>
      <c r="W34" s="254">
        <v>42787</v>
      </c>
      <c r="X34" s="254"/>
      <c r="Y34" s="254"/>
      <c r="Z34" s="254"/>
      <c r="AA34" s="254"/>
      <c r="AB34" s="254"/>
      <c r="AC34" s="254"/>
      <c r="AD34" s="254"/>
      <c r="AE34" s="254"/>
      <c r="AF34" s="254"/>
      <c r="AG34" s="254"/>
      <c r="AH34" s="254"/>
      <c r="AI34" s="254"/>
      <c r="AJ34" s="254">
        <f t="shared" si="29"/>
        <v>114748.75</v>
      </c>
      <c r="AK34" s="254"/>
      <c r="AL34" s="254"/>
      <c r="AM34" s="254"/>
      <c r="AN34" s="254"/>
      <c r="AO34" s="254">
        <f t="shared" si="30"/>
        <v>114748.75</v>
      </c>
      <c r="AP34" s="940" t="s">
        <v>721</v>
      </c>
      <c r="AQ34" s="940" t="s">
        <v>722</v>
      </c>
      <c r="AR34" s="940" t="s">
        <v>724</v>
      </c>
    </row>
    <row r="35" spans="1:44" ht="77.25" customHeight="1">
      <c r="A35" s="935" t="s">
        <v>44</v>
      </c>
      <c r="B35" s="935" t="s">
        <v>489</v>
      </c>
      <c r="C35" s="1135" t="s">
        <v>735</v>
      </c>
      <c r="D35" s="1137" t="s">
        <v>736</v>
      </c>
      <c r="E35" s="216">
        <f t="shared" si="28"/>
        <v>35</v>
      </c>
      <c r="F35" s="218" t="s">
        <v>131</v>
      </c>
      <c r="G35" s="1139" t="s">
        <v>737</v>
      </c>
      <c r="H35" s="939" t="s">
        <v>738</v>
      </c>
      <c r="I35" s="1135">
        <v>1</v>
      </c>
      <c r="J35" s="950"/>
      <c r="K35" s="1135">
        <v>1</v>
      </c>
      <c r="L35" s="254"/>
      <c r="M35" s="254"/>
      <c r="N35" s="254"/>
      <c r="O35" s="254"/>
      <c r="P35" s="254"/>
      <c r="Q35" s="254"/>
      <c r="R35" s="254"/>
      <c r="S35" s="254"/>
      <c r="T35" s="254"/>
      <c r="U35" s="254"/>
      <c r="V35" s="254"/>
      <c r="W35" s="254"/>
      <c r="X35" s="254">
        <v>35</v>
      </c>
      <c r="Y35" s="254"/>
      <c r="Z35" s="254"/>
      <c r="AA35" s="254">
        <v>1500</v>
      </c>
      <c r="AB35" s="254"/>
      <c r="AC35" s="254"/>
      <c r="AD35" s="254"/>
      <c r="AE35" s="254"/>
      <c r="AF35" s="254"/>
      <c r="AG35" s="254"/>
      <c r="AH35" s="254"/>
      <c r="AI35" s="254"/>
      <c r="AJ35" s="254">
        <f t="shared" si="29"/>
        <v>1500</v>
      </c>
      <c r="AK35" s="254"/>
      <c r="AL35" s="254"/>
      <c r="AM35" s="254"/>
      <c r="AN35" s="254"/>
      <c r="AO35" s="254">
        <f t="shared" si="30"/>
        <v>1500</v>
      </c>
      <c r="AP35" s="939" t="s">
        <v>721</v>
      </c>
      <c r="AQ35" s="939" t="s">
        <v>722</v>
      </c>
      <c r="AR35" s="939" t="s">
        <v>723</v>
      </c>
    </row>
    <row r="36" spans="1:44" ht="77.25" customHeight="1">
      <c r="A36" s="984"/>
      <c r="B36" s="984"/>
      <c r="C36" s="1136"/>
      <c r="D36" s="1138"/>
      <c r="E36" s="216">
        <f t="shared" si="28"/>
        <v>15</v>
      </c>
      <c r="F36" s="218" t="s">
        <v>134</v>
      </c>
      <c r="G36" s="1140"/>
      <c r="H36" s="940"/>
      <c r="I36" s="1136"/>
      <c r="J36" s="951"/>
      <c r="K36" s="1136"/>
      <c r="L36" s="254"/>
      <c r="M36" s="254"/>
      <c r="N36" s="254"/>
      <c r="O36" s="254"/>
      <c r="P36" s="254"/>
      <c r="Q36" s="254"/>
      <c r="R36" s="254"/>
      <c r="S36" s="254"/>
      <c r="T36" s="254"/>
      <c r="U36" s="254"/>
      <c r="V36" s="254"/>
      <c r="W36" s="254"/>
      <c r="X36" s="254">
        <v>15</v>
      </c>
      <c r="Y36" s="254"/>
      <c r="Z36" s="254"/>
      <c r="AA36" s="254">
        <v>500</v>
      </c>
      <c r="AB36" s="254"/>
      <c r="AC36" s="254"/>
      <c r="AD36" s="254"/>
      <c r="AE36" s="254"/>
      <c r="AF36" s="254"/>
      <c r="AG36" s="254"/>
      <c r="AH36" s="254"/>
      <c r="AI36" s="254"/>
      <c r="AJ36" s="254">
        <f t="shared" si="29"/>
        <v>500</v>
      </c>
      <c r="AK36" s="254"/>
      <c r="AL36" s="254"/>
      <c r="AM36" s="254"/>
      <c r="AN36" s="254"/>
      <c r="AO36" s="254">
        <f t="shared" si="30"/>
        <v>500</v>
      </c>
      <c r="AP36" s="940" t="s">
        <v>721</v>
      </c>
      <c r="AQ36" s="940" t="s">
        <v>722</v>
      </c>
      <c r="AR36" s="940" t="s">
        <v>724</v>
      </c>
    </row>
    <row r="37" spans="1:44" ht="78.75">
      <c r="A37" s="152" t="s">
        <v>44</v>
      </c>
      <c r="B37" s="152" t="s">
        <v>739</v>
      </c>
      <c r="C37" s="211" t="s">
        <v>740</v>
      </c>
      <c r="D37" s="212" t="s">
        <v>741</v>
      </c>
      <c r="E37" s="213"/>
      <c r="F37" s="130"/>
      <c r="G37" s="131"/>
      <c r="H37" s="131"/>
      <c r="I37" s="211">
        <v>2</v>
      </c>
      <c r="J37" s="134">
        <v>2</v>
      </c>
      <c r="K37" s="134"/>
      <c r="L37" s="135"/>
      <c r="M37" s="135"/>
      <c r="N37" s="135"/>
      <c r="O37" s="135"/>
      <c r="P37" s="135">
        <f t="shared" ref="P37:AO37" si="31">SUM(P38:P43)</f>
        <v>6350</v>
      </c>
      <c r="Q37" s="135">
        <f t="shared" si="31"/>
        <v>5550</v>
      </c>
      <c r="R37" s="135"/>
      <c r="S37" s="135"/>
      <c r="T37" s="135"/>
      <c r="U37" s="135">
        <f t="shared" si="31"/>
        <v>7550</v>
      </c>
      <c r="V37" s="135">
        <f t="shared" si="31"/>
        <v>8250</v>
      </c>
      <c r="W37" s="135">
        <f t="shared" si="31"/>
        <v>60000</v>
      </c>
      <c r="X37" s="135"/>
      <c r="Y37" s="135"/>
      <c r="Z37" s="135"/>
      <c r="AA37" s="135">
        <f t="shared" si="31"/>
        <v>60200</v>
      </c>
      <c r="AB37" s="135">
        <f t="shared" si="31"/>
        <v>13750</v>
      </c>
      <c r="AC37" s="135">
        <f t="shared" si="31"/>
        <v>29050</v>
      </c>
      <c r="AD37" s="135"/>
      <c r="AE37" s="135"/>
      <c r="AF37" s="135"/>
      <c r="AG37" s="135">
        <f t="shared" si="31"/>
        <v>11550</v>
      </c>
      <c r="AH37" s="135">
        <f t="shared" si="31"/>
        <v>14750</v>
      </c>
      <c r="AI37" s="135"/>
      <c r="AJ37" s="135">
        <f t="shared" si="31"/>
        <v>217000</v>
      </c>
      <c r="AK37" s="135"/>
      <c r="AL37" s="135"/>
      <c r="AM37" s="135"/>
      <c r="AN37" s="135"/>
      <c r="AO37" s="135">
        <f t="shared" si="31"/>
        <v>217000</v>
      </c>
      <c r="AP37" s="131"/>
      <c r="AQ37" s="131"/>
      <c r="AR37" s="131"/>
    </row>
    <row r="38" spans="1:44" ht="77.25" customHeight="1">
      <c r="A38" s="935" t="s">
        <v>44</v>
      </c>
      <c r="B38" s="935" t="s">
        <v>739</v>
      </c>
      <c r="C38" s="1135" t="s">
        <v>742</v>
      </c>
      <c r="D38" s="1137" t="s">
        <v>743</v>
      </c>
      <c r="E38" s="216">
        <f t="shared" ref="E38:E43" si="32">SUM(L38,M38,N38,R38,S38,T38,X38,Y38,Z38,AD38,AE38,AF38)</f>
        <v>600</v>
      </c>
      <c r="F38" s="218" t="s">
        <v>131</v>
      </c>
      <c r="G38" s="1139" t="s">
        <v>744</v>
      </c>
      <c r="H38" s="939" t="s">
        <v>745</v>
      </c>
      <c r="I38" s="1135">
        <v>3</v>
      </c>
      <c r="J38" s="949"/>
      <c r="K38" s="1135">
        <v>3</v>
      </c>
      <c r="L38" s="254"/>
      <c r="M38" s="254">
        <v>60</v>
      </c>
      <c r="N38" s="254">
        <v>60</v>
      </c>
      <c r="O38" s="254"/>
      <c r="P38" s="254">
        <v>780</v>
      </c>
      <c r="Q38" s="254">
        <v>780</v>
      </c>
      <c r="R38" s="254">
        <v>60</v>
      </c>
      <c r="S38" s="254">
        <v>60</v>
      </c>
      <c r="T38" s="254">
        <v>60</v>
      </c>
      <c r="U38" s="254">
        <v>780</v>
      </c>
      <c r="V38" s="254">
        <v>780</v>
      </c>
      <c r="W38" s="254">
        <v>780</v>
      </c>
      <c r="X38" s="254">
        <v>60</v>
      </c>
      <c r="Y38" s="254">
        <v>60</v>
      </c>
      <c r="Z38" s="254">
        <v>60</v>
      </c>
      <c r="AA38" s="254">
        <v>780</v>
      </c>
      <c r="AB38" s="254">
        <v>780</v>
      </c>
      <c r="AC38" s="254">
        <v>780</v>
      </c>
      <c r="AD38" s="254">
        <v>60</v>
      </c>
      <c r="AE38" s="254">
        <v>60</v>
      </c>
      <c r="AF38" s="254"/>
      <c r="AG38" s="254">
        <v>780</v>
      </c>
      <c r="AH38" s="254">
        <v>780</v>
      </c>
      <c r="AI38" s="254"/>
      <c r="AJ38" s="254">
        <f t="shared" ref="AJ38:AJ43" si="33">SUM(O38,P38,Q38,U38,V38,W38,AA38,AB38,AC38,AG38,AH38,AI38)</f>
        <v>7800</v>
      </c>
      <c r="AK38" s="254"/>
      <c r="AL38" s="254"/>
      <c r="AM38" s="254"/>
      <c r="AN38" s="254"/>
      <c r="AO38" s="254">
        <f t="shared" ref="AO38:AO43" si="34">+AJ38</f>
        <v>7800</v>
      </c>
      <c r="AP38" s="939" t="s">
        <v>657</v>
      </c>
      <c r="AQ38" s="939" t="s">
        <v>658</v>
      </c>
      <c r="AR38" s="721" t="s">
        <v>659</v>
      </c>
    </row>
    <row r="39" spans="1:44" ht="77.25" customHeight="1">
      <c r="A39" s="984"/>
      <c r="B39" s="984"/>
      <c r="C39" s="1136"/>
      <c r="D39" s="1138"/>
      <c r="E39" s="216">
        <f t="shared" si="32"/>
        <v>925</v>
      </c>
      <c r="F39" s="218" t="s">
        <v>134</v>
      </c>
      <c r="G39" s="1140"/>
      <c r="H39" s="940"/>
      <c r="I39" s="1136"/>
      <c r="J39" s="950"/>
      <c r="K39" s="1136"/>
      <c r="L39" s="254"/>
      <c r="M39" s="254">
        <v>70</v>
      </c>
      <c r="N39" s="254">
        <v>85</v>
      </c>
      <c r="O39" s="254"/>
      <c r="P39" s="254">
        <v>3320</v>
      </c>
      <c r="Q39" s="254">
        <v>2520</v>
      </c>
      <c r="R39" s="254">
        <v>115</v>
      </c>
      <c r="S39" s="254">
        <v>115</v>
      </c>
      <c r="T39" s="254">
        <v>115</v>
      </c>
      <c r="U39" s="254">
        <v>2520</v>
      </c>
      <c r="V39" s="254">
        <v>3720</v>
      </c>
      <c r="W39" s="254">
        <v>3720</v>
      </c>
      <c r="X39" s="254">
        <v>85</v>
      </c>
      <c r="Y39" s="254">
        <v>85</v>
      </c>
      <c r="Z39" s="254">
        <v>85</v>
      </c>
      <c r="AA39" s="254">
        <v>2920</v>
      </c>
      <c r="AB39" s="254">
        <v>2920</v>
      </c>
      <c r="AC39" s="254">
        <v>2920</v>
      </c>
      <c r="AD39" s="254">
        <v>85</v>
      </c>
      <c r="AE39" s="254">
        <v>85</v>
      </c>
      <c r="AF39" s="254"/>
      <c r="AG39" s="254">
        <v>2920</v>
      </c>
      <c r="AH39" s="254">
        <v>4120</v>
      </c>
      <c r="AI39" s="254"/>
      <c r="AJ39" s="254">
        <f t="shared" si="33"/>
        <v>31600</v>
      </c>
      <c r="AK39" s="254"/>
      <c r="AL39" s="254"/>
      <c r="AM39" s="254"/>
      <c r="AN39" s="254"/>
      <c r="AO39" s="254">
        <f t="shared" si="34"/>
        <v>31600</v>
      </c>
      <c r="AP39" s="940" t="s">
        <v>657</v>
      </c>
      <c r="AQ39" s="940" t="s">
        <v>658</v>
      </c>
      <c r="AR39" s="721" t="s">
        <v>659</v>
      </c>
    </row>
    <row r="40" spans="1:44" ht="78.75">
      <c r="A40" s="258" t="s">
        <v>44</v>
      </c>
      <c r="B40" s="258" t="s">
        <v>739</v>
      </c>
      <c r="C40" s="214" t="s">
        <v>746</v>
      </c>
      <c r="D40" s="215" t="s">
        <v>747</v>
      </c>
      <c r="E40" s="216">
        <f t="shared" si="32"/>
        <v>7</v>
      </c>
      <c r="F40" s="218" t="s">
        <v>662</v>
      </c>
      <c r="G40" s="220" t="s">
        <v>748</v>
      </c>
      <c r="H40" s="221" t="s">
        <v>749</v>
      </c>
      <c r="I40" s="214">
        <v>4</v>
      </c>
      <c r="J40" s="950"/>
      <c r="K40" s="214">
        <v>4</v>
      </c>
      <c r="L40" s="254"/>
      <c r="M40" s="254"/>
      <c r="N40" s="254"/>
      <c r="O40" s="254"/>
      <c r="P40" s="254"/>
      <c r="Q40" s="254"/>
      <c r="R40" s="254">
        <v>2</v>
      </c>
      <c r="S40" s="254">
        <v>1</v>
      </c>
      <c r="T40" s="254">
        <v>1</v>
      </c>
      <c r="U40" s="254">
        <v>2000</v>
      </c>
      <c r="V40" s="254">
        <v>1500</v>
      </c>
      <c r="W40" s="254">
        <v>1500</v>
      </c>
      <c r="X40" s="254">
        <v>2</v>
      </c>
      <c r="Y40" s="254"/>
      <c r="Z40" s="254">
        <v>1</v>
      </c>
      <c r="AA40" s="254">
        <v>2500</v>
      </c>
      <c r="AB40" s="254"/>
      <c r="AC40" s="254">
        <v>500</v>
      </c>
      <c r="AD40" s="254"/>
      <c r="AE40" s="254"/>
      <c r="AF40" s="254"/>
      <c r="AG40" s="254"/>
      <c r="AH40" s="254"/>
      <c r="AI40" s="254"/>
      <c r="AJ40" s="254">
        <f t="shared" si="33"/>
        <v>8000</v>
      </c>
      <c r="AK40" s="254"/>
      <c r="AL40" s="254"/>
      <c r="AM40" s="254"/>
      <c r="AN40" s="254"/>
      <c r="AO40" s="254">
        <f t="shared" si="34"/>
        <v>8000</v>
      </c>
      <c r="AP40" s="721" t="s">
        <v>657</v>
      </c>
      <c r="AQ40" s="721" t="s">
        <v>750</v>
      </c>
      <c r="AR40" s="721" t="s">
        <v>659</v>
      </c>
    </row>
    <row r="41" spans="1:44" ht="142.5" customHeight="1">
      <c r="A41" s="258" t="s">
        <v>44</v>
      </c>
      <c r="B41" s="258" t="s">
        <v>739</v>
      </c>
      <c r="C41" s="214" t="s">
        <v>751</v>
      </c>
      <c r="D41" s="215" t="s">
        <v>752</v>
      </c>
      <c r="E41" s="216">
        <f t="shared" si="32"/>
        <v>23</v>
      </c>
      <c r="F41" s="218" t="s">
        <v>654</v>
      </c>
      <c r="G41" s="219" t="s">
        <v>753</v>
      </c>
      <c r="H41" s="221" t="s">
        <v>754</v>
      </c>
      <c r="I41" s="214">
        <v>57</v>
      </c>
      <c r="J41" s="950"/>
      <c r="K41" s="214">
        <v>57</v>
      </c>
      <c r="L41" s="254"/>
      <c r="M41" s="254"/>
      <c r="N41" s="254"/>
      <c r="O41" s="254"/>
      <c r="P41" s="254"/>
      <c r="Q41" s="254"/>
      <c r="R41" s="254"/>
      <c r="S41" s="254"/>
      <c r="T41" s="254">
        <v>10</v>
      </c>
      <c r="U41" s="254"/>
      <c r="V41" s="254"/>
      <c r="W41" s="254">
        <v>52000</v>
      </c>
      <c r="X41" s="254">
        <v>10</v>
      </c>
      <c r="Y41" s="254"/>
      <c r="Z41" s="254">
        <v>3</v>
      </c>
      <c r="AA41" s="254">
        <v>52000</v>
      </c>
      <c r="AB41" s="254"/>
      <c r="AC41" s="254">
        <v>19000</v>
      </c>
      <c r="AD41" s="254"/>
      <c r="AE41" s="254"/>
      <c r="AF41" s="254"/>
      <c r="AG41" s="254"/>
      <c r="AH41" s="254"/>
      <c r="AI41" s="254"/>
      <c r="AJ41" s="254">
        <f t="shared" si="33"/>
        <v>123000</v>
      </c>
      <c r="AK41" s="254"/>
      <c r="AL41" s="254"/>
      <c r="AM41" s="254"/>
      <c r="AN41" s="254"/>
      <c r="AO41" s="254">
        <f t="shared" si="34"/>
        <v>123000</v>
      </c>
      <c r="AP41" s="721" t="s">
        <v>657</v>
      </c>
      <c r="AQ41" s="721" t="s">
        <v>658</v>
      </c>
      <c r="AR41" s="721"/>
    </row>
    <row r="42" spans="1:44" ht="77.25" customHeight="1">
      <c r="A42" s="935" t="s">
        <v>44</v>
      </c>
      <c r="B42" s="935" t="s">
        <v>739</v>
      </c>
      <c r="C42" s="1135" t="s">
        <v>755</v>
      </c>
      <c r="D42" s="1137" t="s">
        <v>756</v>
      </c>
      <c r="E42" s="216">
        <f t="shared" si="32"/>
        <v>220</v>
      </c>
      <c r="F42" s="218" t="s">
        <v>131</v>
      </c>
      <c r="G42" s="1139" t="s">
        <v>757</v>
      </c>
      <c r="H42" s="939" t="s">
        <v>758</v>
      </c>
      <c r="I42" s="1135">
        <v>36</v>
      </c>
      <c r="J42" s="950"/>
      <c r="K42" s="1135">
        <v>36</v>
      </c>
      <c r="L42" s="254"/>
      <c r="M42" s="254">
        <v>23</v>
      </c>
      <c r="N42" s="254">
        <v>23</v>
      </c>
      <c r="O42" s="254"/>
      <c r="P42" s="254">
        <v>1250</v>
      </c>
      <c r="Q42" s="254">
        <v>1250</v>
      </c>
      <c r="R42" s="254">
        <v>23</v>
      </c>
      <c r="S42" s="254">
        <v>23</v>
      </c>
      <c r="T42" s="254">
        <v>18</v>
      </c>
      <c r="U42" s="254">
        <v>1250</v>
      </c>
      <c r="V42" s="254">
        <v>1250</v>
      </c>
      <c r="W42" s="254">
        <v>1200</v>
      </c>
      <c r="X42" s="254">
        <v>18</v>
      </c>
      <c r="Y42" s="254">
        <v>23</v>
      </c>
      <c r="Z42" s="254">
        <v>23</v>
      </c>
      <c r="AA42" s="254">
        <v>1200</v>
      </c>
      <c r="AB42" s="254">
        <v>2810</v>
      </c>
      <c r="AC42" s="254">
        <v>1970</v>
      </c>
      <c r="AD42" s="254">
        <v>23</v>
      </c>
      <c r="AE42" s="254">
        <v>23</v>
      </c>
      <c r="AF42" s="254"/>
      <c r="AG42" s="254">
        <v>3170</v>
      </c>
      <c r="AH42" s="254">
        <v>3170</v>
      </c>
      <c r="AI42" s="254"/>
      <c r="AJ42" s="254">
        <f t="shared" si="33"/>
        <v>18520</v>
      </c>
      <c r="AK42" s="254"/>
      <c r="AL42" s="254"/>
      <c r="AM42" s="254"/>
      <c r="AN42" s="254"/>
      <c r="AO42" s="254">
        <f t="shared" si="34"/>
        <v>18520</v>
      </c>
      <c r="AP42" s="939" t="s">
        <v>657</v>
      </c>
      <c r="AQ42" s="939" t="s">
        <v>658</v>
      </c>
      <c r="AR42" s="721" t="s">
        <v>659</v>
      </c>
    </row>
    <row r="43" spans="1:44" ht="77.25" customHeight="1">
      <c r="A43" s="984"/>
      <c r="B43" s="984"/>
      <c r="C43" s="1136"/>
      <c r="D43" s="1138"/>
      <c r="E43" s="216">
        <f t="shared" si="32"/>
        <v>280</v>
      </c>
      <c r="F43" s="218" t="s">
        <v>134</v>
      </c>
      <c r="G43" s="1140"/>
      <c r="H43" s="940"/>
      <c r="I43" s="1136"/>
      <c r="J43" s="951"/>
      <c r="K43" s="1136"/>
      <c r="L43" s="254"/>
      <c r="M43" s="254">
        <v>32</v>
      </c>
      <c r="N43" s="254">
        <v>32</v>
      </c>
      <c r="O43" s="254"/>
      <c r="P43" s="254">
        <v>1000</v>
      </c>
      <c r="Q43" s="254">
        <v>1000</v>
      </c>
      <c r="R43" s="254">
        <v>32</v>
      </c>
      <c r="S43" s="254">
        <v>32</v>
      </c>
      <c r="T43" s="254">
        <v>12</v>
      </c>
      <c r="U43" s="254">
        <v>1000</v>
      </c>
      <c r="V43" s="254">
        <v>1000</v>
      </c>
      <c r="W43" s="254">
        <v>800</v>
      </c>
      <c r="X43" s="254">
        <v>12</v>
      </c>
      <c r="Y43" s="254">
        <v>32</v>
      </c>
      <c r="Z43" s="254">
        <v>32</v>
      </c>
      <c r="AA43" s="254">
        <v>800</v>
      </c>
      <c r="AB43" s="254">
        <v>7240</v>
      </c>
      <c r="AC43" s="254">
        <v>3880</v>
      </c>
      <c r="AD43" s="254">
        <v>32</v>
      </c>
      <c r="AE43" s="254">
        <v>32</v>
      </c>
      <c r="AF43" s="254"/>
      <c r="AG43" s="254">
        <v>4680</v>
      </c>
      <c r="AH43" s="254">
        <v>6680</v>
      </c>
      <c r="AI43" s="254"/>
      <c r="AJ43" s="254">
        <f t="shared" si="33"/>
        <v>28080</v>
      </c>
      <c r="AK43" s="254"/>
      <c r="AL43" s="254"/>
      <c r="AM43" s="254"/>
      <c r="AN43" s="254"/>
      <c r="AO43" s="254">
        <f t="shared" si="34"/>
        <v>28080</v>
      </c>
      <c r="AP43" s="940" t="s">
        <v>657</v>
      </c>
      <c r="AQ43" s="940" t="s">
        <v>658</v>
      </c>
      <c r="AR43" s="721" t="s">
        <v>659</v>
      </c>
    </row>
    <row r="44" spans="1:44" ht="94.5">
      <c r="A44" s="152" t="s">
        <v>44</v>
      </c>
      <c r="B44" s="152" t="s">
        <v>126</v>
      </c>
      <c r="C44" s="211" t="s">
        <v>759</v>
      </c>
      <c r="D44" s="212" t="s">
        <v>760</v>
      </c>
      <c r="E44" s="213"/>
      <c r="F44" s="130"/>
      <c r="G44" s="131"/>
      <c r="H44" s="131"/>
      <c r="I44" s="211">
        <v>1</v>
      </c>
      <c r="J44" s="134">
        <v>1</v>
      </c>
      <c r="K44" s="134"/>
      <c r="L44" s="135"/>
      <c r="M44" s="135"/>
      <c r="N44" s="135"/>
      <c r="O44" s="135"/>
      <c r="P44" s="135">
        <f t="shared" ref="P44:Q44" si="35">SUM(P45:P46)</f>
        <v>6720</v>
      </c>
      <c r="Q44" s="135">
        <f t="shared" si="35"/>
        <v>12580</v>
      </c>
      <c r="R44" s="135"/>
      <c r="S44" s="135"/>
      <c r="T44" s="135"/>
      <c r="U44" s="135">
        <f t="shared" ref="U44:W44" si="36">SUM(U45:U46)</f>
        <v>12580</v>
      </c>
      <c r="V44" s="135">
        <f t="shared" si="36"/>
        <v>13440</v>
      </c>
      <c r="W44" s="135">
        <f t="shared" si="36"/>
        <v>12580</v>
      </c>
      <c r="X44" s="135"/>
      <c r="Y44" s="135"/>
      <c r="Z44" s="135"/>
      <c r="AA44" s="135">
        <f t="shared" ref="AA44:AC44" si="37">SUM(AA45:AA46)</f>
        <v>11760</v>
      </c>
      <c r="AB44" s="135">
        <f t="shared" si="37"/>
        <v>13420</v>
      </c>
      <c r="AC44" s="135">
        <f t="shared" si="37"/>
        <v>10920</v>
      </c>
      <c r="AD44" s="135"/>
      <c r="AE44" s="135"/>
      <c r="AF44" s="135"/>
      <c r="AG44" s="135">
        <f t="shared" ref="AG44" si="38">SUM(AG45:AG46)</f>
        <v>2500</v>
      </c>
      <c r="AH44" s="135"/>
      <c r="AI44" s="135"/>
      <c r="AJ44" s="135">
        <f t="shared" ref="AJ44" si="39">SUM(AJ45:AJ46)</f>
        <v>96500</v>
      </c>
      <c r="AK44" s="135"/>
      <c r="AL44" s="135"/>
      <c r="AM44" s="135"/>
      <c r="AN44" s="135"/>
      <c r="AO44" s="135">
        <f t="shared" ref="AO44" si="40">SUM(AO45:AO46)</f>
        <v>96500</v>
      </c>
      <c r="AP44" s="131"/>
      <c r="AQ44" s="131"/>
      <c r="AR44" s="131"/>
    </row>
    <row r="45" spans="1:44" ht="77.25" customHeight="1">
      <c r="A45" s="935" t="s">
        <v>44</v>
      </c>
      <c r="B45" s="935" t="s">
        <v>126</v>
      </c>
      <c r="C45" s="1135" t="s">
        <v>761</v>
      </c>
      <c r="D45" s="1137" t="s">
        <v>762</v>
      </c>
      <c r="E45" s="216">
        <f t="shared" ref="E45:E46" si="41">SUM(L45,M45,N45,R45,S45,T45,X45,Y45,Z45,AD45,AE45,AF45)</f>
        <v>318</v>
      </c>
      <c r="F45" s="218" t="s">
        <v>131</v>
      </c>
      <c r="G45" s="1139" t="s">
        <v>763</v>
      </c>
      <c r="H45" s="939" t="s">
        <v>764</v>
      </c>
      <c r="I45" s="1135">
        <v>100</v>
      </c>
      <c r="J45" s="949"/>
      <c r="K45" s="1135">
        <v>100</v>
      </c>
      <c r="L45" s="254"/>
      <c r="M45" s="254">
        <v>24</v>
      </c>
      <c r="N45" s="254">
        <v>36</v>
      </c>
      <c r="O45" s="254"/>
      <c r="P45" s="254">
        <v>4032</v>
      </c>
      <c r="Q45" s="254">
        <v>7548</v>
      </c>
      <c r="R45" s="254">
        <v>36</v>
      </c>
      <c r="S45" s="254">
        <v>48</v>
      </c>
      <c r="T45" s="254">
        <v>36</v>
      </c>
      <c r="U45" s="254">
        <v>7548</v>
      </c>
      <c r="V45" s="254">
        <v>8064</v>
      </c>
      <c r="W45" s="254">
        <v>7548</v>
      </c>
      <c r="X45" s="254">
        <v>42</v>
      </c>
      <c r="Y45" s="254">
        <v>39</v>
      </c>
      <c r="Z45" s="254">
        <v>39</v>
      </c>
      <c r="AA45" s="254">
        <v>7056</v>
      </c>
      <c r="AB45" s="254">
        <v>8052</v>
      </c>
      <c r="AC45" s="254">
        <v>6552</v>
      </c>
      <c r="AD45" s="254">
        <v>18</v>
      </c>
      <c r="AE45" s="254"/>
      <c r="AF45" s="254"/>
      <c r="AG45" s="254">
        <v>1500</v>
      </c>
      <c r="AH45" s="254"/>
      <c r="AI45" s="254"/>
      <c r="AJ45" s="254">
        <f t="shared" ref="AJ45:AJ46" si="42">SUM(O45,P45,Q45,U45,V45,W45,AA45,AB45,AC45,AG45,AH45,AI45)</f>
        <v>57900</v>
      </c>
      <c r="AK45" s="254"/>
      <c r="AL45" s="254"/>
      <c r="AM45" s="254"/>
      <c r="AN45" s="254"/>
      <c r="AO45" s="254">
        <f t="shared" ref="AO45:AO46" si="43">+AJ45</f>
        <v>57900</v>
      </c>
      <c r="AP45" s="939" t="s">
        <v>657</v>
      </c>
      <c r="AQ45" s="939" t="s">
        <v>750</v>
      </c>
      <c r="AR45" s="939" t="s">
        <v>765</v>
      </c>
    </row>
    <row r="46" spans="1:44" ht="77.25" customHeight="1">
      <c r="A46" s="984"/>
      <c r="B46" s="984"/>
      <c r="C46" s="1136"/>
      <c r="D46" s="1138"/>
      <c r="E46" s="216">
        <f t="shared" si="41"/>
        <v>212</v>
      </c>
      <c r="F46" s="218" t="s">
        <v>134</v>
      </c>
      <c r="G46" s="1140"/>
      <c r="H46" s="940"/>
      <c r="I46" s="1136"/>
      <c r="J46" s="951"/>
      <c r="K46" s="1136"/>
      <c r="L46" s="254"/>
      <c r="M46" s="254">
        <v>16</v>
      </c>
      <c r="N46" s="254">
        <v>24</v>
      </c>
      <c r="O46" s="254"/>
      <c r="P46" s="254">
        <v>2688</v>
      </c>
      <c r="Q46" s="254">
        <v>5032</v>
      </c>
      <c r="R46" s="254">
        <v>24</v>
      </c>
      <c r="S46" s="254">
        <v>32</v>
      </c>
      <c r="T46" s="254">
        <v>24</v>
      </c>
      <c r="U46" s="254">
        <v>5032</v>
      </c>
      <c r="V46" s="254">
        <v>5376</v>
      </c>
      <c r="W46" s="254">
        <v>5032</v>
      </c>
      <c r="X46" s="254">
        <v>28</v>
      </c>
      <c r="Y46" s="254">
        <v>26</v>
      </c>
      <c r="Z46" s="254">
        <v>26</v>
      </c>
      <c r="AA46" s="254">
        <v>4704</v>
      </c>
      <c r="AB46" s="254">
        <v>5368</v>
      </c>
      <c r="AC46" s="254">
        <v>4368</v>
      </c>
      <c r="AD46" s="254">
        <v>12</v>
      </c>
      <c r="AE46" s="254"/>
      <c r="AF46" s="254"/>
      <c r="AG46" s="254">
        <v>1000</v>
      </c>
      <c r="AH46" s="254"/>
      <c r="AI46" s="254"/>
      <c r="AJ46" s="254">
        <f t="shared" si="42"/>
        <v>38600</v>
      </c>
      <c r="AK46" s="254"/>
      <c r="AL46" s="254"/>
      <c r="AM46" s="254"/>
      <c r="AN46" s="254"/>
      <c r="AO46" s="254">
        <f t="shared" si="43"/>
        <v>38600</v>
      </c>
      <c r="AP46" s="940" t="s">
        <v>657</v>
      </c>
      <c r="AQ46" s="940" t="s">
        <v>750</v>
      </c>
      <c r="AR46" s="940" t="s">
        <v>659</v>
      </c>
    </row>
    <row r="47" spans="1:44" ht="78.75">
      <c r="A47" s="152" t="s">
        <v>44</v>
      </c>
      <c r="B47" s="152" t="s">
        <v>497</v>
      </c>
      <c r="C47" s="211" t="s">
        <v>766</v>
      </c>
      <c r="D47" s="212" t="s">
        <v>767</v>
      </c>
      <c r="E47" s="213"/>
      <c r="F47" s="130"/>
      <c r="G47" s="131"/>
      <c r="H47" s="131"/>
      <c r="I47" s="211">
        <v>4</v>
      </c>
      <c r="J47" s="134">
        <v>4</v>
      </c>
      <c r="K47" s="134"/>
      <c r="L47" s="135"/>
      <c r="M47" s="135"/>
      <c r="N47" s="135"/>
      <c r="O47" s="135"/>
      <c r="P47" s="135">
        <f t="shared" ref="P47:Q47" si="44">SUM(P48:P49)</f>
        <v>43360</v>
      </c>
      <c r="Q47" s="135">
        <f t="shared" si="44"/>
        <v>57360</v>
      </c>
      <c r="R47" s="135"/>
      <c r="S47" s="135"/>
      <c r="T47" s="135"/>
      <c r="U47" s="135">
        <f t="shared" ref="U47:W47" si="45">SUM(U48:U49)</f>
        <v>92560</v>
      </c>
      <c r="V47" s="135">
        <f t="shared" si="45"/>
        <v>57360</v>
      </c>
      <c r="W47" s="135">
        <f t="shared" si="45"/>
        <v>84960</v>
      </c>
      <c r="X47" s="135"/>
      <c r="Y47" s="135"/>
      <c r="Z47" s="135"/>
      <c r="AA47" s="135">
        <f t="shared" ref="AA47:AC47" si="46">SUM(AA48:AA49)</f>
        <v>57360</v>
      </c>
      <c r="AB47" s="135">
        <f t="shared" si="46"/>
        <v>57360</v>
      </c>
      <c r="AC47" s="135">
        <f t="shared" si="46"/>
        <v>27360</v>
      </c>
      <c r="AD47" s="135"/>
      <c r="AE47" s="135"/>
      <c r="AF47" s="135"/>
      <c r="AG47" s="135">
        <f t="shared" ref="AG47:AH47" si="47">SUM(AG48:AG49)</f>
        <v>27360</v>
      </c>
      <c r="AH47" s="135">
        <f t="shared" si="47"/>
        <v>10260</v>
      </c>
      <c r="AI47" s="135"/>
      <c r="AJ47" s="135">
        <f t="shared" ref="AJ47" si="48">SUM(AJ48:AJ49)</f>
        <v>515300</v>
      </c>
      <c r="AK47" s="135"/>
      <c r="AL47" s="135"/>
      <c r="AM47" s="135"/>
      <c r="AN47" s="135"/>
      <c r="AO47" s="135">
        <f t="shared" ref="AO47" si="49">SUM(AO48:AO49)</f>
        <v>515300</v>
      </c>
      <c r="AP47" s="131"/>
      <c r="AQ47" s="131"/>
      <c r="AR47" s="131"/>
    </row>
    <row r="48" spans="1:44" ht="89.25" customHeight="1">
      <c r="A48" s="258" t="s">
        <v>44</v>
      </c>
      <c r="B48" s="258" t="s">
        <v>497</v>
      </c>
      <c r="C48" s="214" t="s">
        <v>768</v>
      </c>
      <c r="D48" s="215" t="s">
        <v>769</v>
      </c>
      <c r="E48" s="216">
        <f t="shared" ref="E48:E49" si="50">SUM(L48,M48,N48,R48,S48,T48,X48,Y48,Z48,AD48,AE48,AF48)</f>
        <v>105</v>
      </c>
      <c r="F48" s="218" t="s">
        <v>770</v>
      </c>
      <c r="G48" s="219" t="s">
        <v>771</v>
      </c>
      <c r="H48" s="221" t="s">
        <v>772</v>
      </c>
      <c r="I48" s="136">
        <v>42</v>
      </c>
      <c r="J48" s="949"/>
      <c r="K48" s="136">
        <v>42</v>
      </c>
      <c r="L48" s="254"/>
      <c r="M48" s="254">
        <v>10</v>
      </c>
      <c r="N48" s="254">
        <v>10</v>
      </c>
      <c r="O48" s="254"/>
      <c r="P48" s="254">
        <v>12000</v>
      </c>
      <c r="Q48" s="254">
        <v>30000</v>
      </c>
      <c r="R48" s="254">
        <v>32</v>
      </c>
      <c r="S48" s="254">
        <v>10</v>
      </c>
      <c r="T48" s="254">
        <v>33</v>
      </c>
      <c r="U48" s="254">
        <v>56400</v>
      </c>
      <c r="V48" s="254">
        <v>30000</v>
      </c>
      <c r="W48" s="254">
        <v>57600</v>
      </c>
      <c r="X48" s="254">
        <v>10</v>
      </c>
      <c r="Y48" s="254"/>
      <c r="Z48" s="254"/>
      <c r="AA48" s="254">
        <v>30000</v>
      </c>
      <c r="AB48" s="254"/>
      <c r="AC48" s="254"/>
      <c r="AD48" s="254"/>
      <c r="AE48" s="254"/>
      <c r="AF48" s="254"/>
      <c r="AG48" s="254"/>
      <c r="AH48" s="254"/>
      <c r="AI48" s="254"/>
      <c r="AJ48" s="254">
        <f t="shared" ref="AJ48:AJ49" si="51">SUM(O48,P48,Q48,U48,V48,W48,AA48,AB48,AC48,AG48,AH48,AI48)</f>
        <v>216000</v>
      </c>
      <c r="AK48" s="254"/>
      <c r="AL48" s="254"/>
      <c r="AM48" s="254"/>
      <c r="AN48" s="254"/>
      <c r="AO48" s="254">
        <f t="shared" ref="AO48:AO49" si="52">+AJ48</f>
        <v>216000</v>
      </c>
      <c r="AP48" s="721" t="s">
        <v>657</v>
      </c>
      <c r="AQ48" s="721" t="s">
        <v>658</v>
      </c>
      <c r="AR48" s="721" t="s">
        <v>773</v>
      </c>
    </row>
    <row r="49" spans="1:44" ht="68.25" customHeight="1">
      <c r="A49" s="258" t="s">
        <v>44</v>
      </c>
      <c r="B49" s="258" t="s">
        <v>497</v>
      </c>
      <c r="C49" s="214" t="s">
        <v>774</v>
      </c>
      <c r="D49" s="215" t="s">
        <v>775</v>
      </c>
      <c r="E49" s="216">
        <f t="shared" si="50"/>
        <v>108</v>
      </c>
      <c r="F49" s="218" t="s">
        <v>98</v>
      </c>
      <c r="G49" s="219" t="s">
        <v>776</v>
      </c>
      <c r="H49" s="221" t="s">
        <v>777</v>
      </c>
      <c r="I49" s="136">
        <v>58</v>
      </c>
      <c r="J49" s="951"/>
      <c r="K49" s="136">
        <v>58</v>
      </c>
      <c r="L49" s="254"/>
      <c r="M49" s="254">
        <v>18</v>
      </c>
      <c r="N49" s="254">
        <v>8</v>
      </c>
      <c r="O49" s="254"/>
      <c r="P49" s="254">
        <v>31360</v>
      </c>
      <c r="Q49" s="254">
        <v>27360</v>
      </c>
      <c r="R49" s="254">
        <v>30</v>
      </c>
      <c r="S49" s="254">
        <v>8</v>
      </c>
      <c r="T49" s="254">
        <v>8</v>
      </c>
      <c r="U49" s="254">
        <v>36160</v>
      </c>
      <c r="V49" s="254">
        <v>27360</v>
      </c>
      <c r="W49" s="254">
        <v>27360</v>
      </c>
      <c r="X49" s="254">
        <v>8</v>
      </c>
      <c r="Y49" s="254">
        <v>9</v>
      </c>
      <c r="Z49" s="254">
        <v>8</v>
      </c>
      <c r="AA49" s="254">
        <v>27360</v>
      </c>
      <c r="AB49" s="254">
        <v>57360</v>
      </c>
      <c r="AC49" s="254">
        <v>27360</v>
      </c>
      <c r="AD49" s="254">
        <v>8</v>
      </c>
      <c r="AE49" s="254">
        <v>3</v>
      </c>
      <c r="AF49" s="254"/>
      <c r="AG49" s="254">
        <v>27360</v>
      </c>
      <c r="AH49" s="254">
        <v>10260</v>
      </c>
      <c r="AI49" s="254"/>
      <c r="AJ49" s="254">
        <f t="shared" si="51"/>
        <v>299300</v>
      </c>
      <c r="AK49" s="254"/>
      <c r="AL49" s="254"/>
      <c r="AM49" s="254"/>
      <c r="AN49" s="254"/>
      <c r="AO49" s="254">
        <f t="shared" si="52"/>
        <v>299300</v>
      </c>
      <c r="AP49" s="721" t="s">
        <v>657</v>
      </c>
      <c r="AQ49" s="721" t="s">
        <v>658</v>
      </c>
      <c r="AR49" s="721" t="s">
        <v>723</v>
      </c>
    </row>
    <row r="50" spans="1:44" ht="94.5">
      <c r="A50" s="152" t="s">
        <v>44</v>
      </c>
      <c r="B50" s="152" t="s">
        <v>778</v>
      </c>
      <c r="C50" s="211" t="s">
        <v>779</v>
      </c>
      <c r="D50" s="212" t="s">
        <v>780</v>
      </c>
      <c r="E50" s="213"/>
      <c r="F50" s="130"/>
      <c r="G50" s="131"/>
      <c r="H50" s="131"/>
      <c r="I50" s="211">
        <v>1</v>
      </c>
      <c r="J50" s="134">
        <v>1</v>
      </c>
      <c r="K50" s="134"/>
      <c r="L50" s="135"/>
      <c r="M50" s="135"/>
      <c r="N50" s="135"/>
      <c r="O50" s="135"/>
      <c r="P50" s="135">
        <f>SUM(P51:P52)</f>
        <v>43692</v>
      </c>
      <c r="Q50" s="135"/>
      <c r="R50" s="135"/>
      <c r="S50" s="135"/>
      <c r="T50" s="135"/>
      <c r="U50" s="135">
        <f>SUM(U51:U52)</f>
        <v>52028</v>
      </c>
      <c r="V50" s="135"/>
      <c r="W50" s="135">
        <f>SUM(W51:W52)</f>
        <v>27157.000000000004</v>
      </c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5">
        <f>SUM(AJ51:AJ52)</f>
        <v>122877</v>
      </c>
      <c r="AK50" s="135"/>
      <c r="AL50" s="135"/>
      <c r="AM50" s="135"/>
      <c r="AN50" s="135"/>
      <c r="AO50" s="135">
        <f>SUM(AO51:AO52)</f>
        <v>122877</v>
      </c>
      <c r="AP50" s="131"/>
      <c r="AQ50" s="131"/>
      <c r="AR50" s="131"/>
    </row>
    <row r="51" spans="1:44" ht="77.25" customHeight="1">
      <c r="A51" s="935" t="s">
        <v>44</v>
      </c>
      <c r="B51" s="935" t="s">
        <v>778</v>
      </c>
      <c r="C51" s="1135" t="s">
        <v>781</v>
      </c>
      <c r="D51" s="1137" t="s">
        <v>782</v>
      </c>
      <c r="E51" s="216">
        <f t="shared" ref="E51:E52" si="53">SUM(L51,M51,N51,R51,S51,T51,X51,Y51,Z51,AD51,AE51,AF51)</f>
        <v>1886.4</v>
      </c>
      <c r="F51" s="218" t="s">
        <v>131</v>
      </c>
      <c r="G51" s="1139" t="s">
        <v>783</v>
      </c>
      <c r="H51" s="939" t="s">
        <v>784</v>
      </c>
      <c r="I51" s="1135">
        <v>100</v>
      </c>
      <c r="J51" s="949"/>
      <c r="K51" s="1135">
        <v>100</v>
      </c>
      <c r="L51" s="254"/>
      <c r="M51" s="254">
        <v>536</v>
      </c>
      <c r="N51" s="254"/>
      <c r="O51" s="254"/>
      <c r="P51" s="254">
        <v>34953.599999999999</v>
      </c>
      <c r="Q51" s="254"/>
      <c r="R51" s="254">
        <v>750.4</v>
      </c>
      <c r="S51" s="254"/>
      <c r="T51" s="254">
        <v>600</v>
      </c>
      <c r="U51" s="254">
        <v>39622.400000000001</v>
      </c>
      <c r="V51" s="254"/>
      <c r="W51" s="254">
        <v>21725.600000000002</v>
      </c>
      <c r="X51" s="254"/>
      <c r="Y51" s="254"/>
      <c r="Z51" s="254"/>
      <c r="AA51" s="254"/>
      <c r="AB51" s="254"/>
      <c r="AC51" s="254"/>
      <c r="AD51" s="254"/>
      <c r="AE51" s="254"/>
      <c r="AF51" s="254"/>
      <c r="AG51" s="254"/>
      <c r="AH51" s="254"/>
      <c r="AI51" s="254"/>
      <c r="AJ51" s="254">
        <f t="shared" ref="AJ51:AJ52" si="54">SUM(O51,P51,Q51,U51,V51,W51,AA51,AB51,AC51,AG51,AH51,AI51)</f>
        <v>96301.6</v>
      </c>
      <c r="AK51" s="254"/>
      <c r="AL51" s="254"/>
      <c r="AM51" s="254"/>
      <c r="AN51" s="254"/>
      <c r="AO51" s="254">
        <f t="shared" ref="AO51:AO52" si="55">+AJ51</f>
        <v>96301.6</v>
      </c>
      <c r="AP51" s="939" t="s">
        <v>657</v>
      </c>
      <c r="AQ51" s="939" t="s">
        <v>658</v>
      </c>
      <c r="AR51" s="721" t="s">
        <v>659</v>
      </c>
    </row>
    <row r="52" spans="1:44" ht="77.25" customHeight="1">
      <c r="A52" s="984"/>
      <c r="B52" s="984"/>
      <c r="C52" s="1136"/>
      <c r="D52" s="1138"/>
      <c r="E52" s="216">
        <f t="shared" si="53"/>
        <v>546.6</v>
      </c>
      <c r="F52" s="218" t="s">
        <v>134</v>
      </c>
      <c r="G52" s="1140"/>
      <c r="H52" s="940"/>
      <c r="I52" s="1136"/>
      <c r="J52" s="951"/>
      <c r="K52" s="1136"/>
      <c r="L52" s="254"/>
      <c r="M52" s="254">
        <v>134</v>
      </c>
      <c r="N52" s="254"/>
      <c r="O52" s="254"/>
      <c r="P52" s="254">
        <v>8738.4</v>
      </c>
      <c r="Q52" s="254"/>
      <c r="R52" s="254">
        <v>262.60000000000002</v>
      </c>
      <c r="S52" s="254"/>
      <c r="T52" s="254">
        <v>150</v>
      </c>
      <c r="U52" s="254">
        <v>12405.6</v>
      </c>
      <c r="V52" s="254"/>
      <c r="W52" s="254">
        <v>5431.4000000000005</v>
      </c>
      <c r="X52" s="254"/>
      <c r="Y52" s="254"/>
      <c r="Z52" s="254"/>
      <c r="AA52" s="254"/>
      <c r="AB52" s="254"/>
      <c r="AC52" s="254"/>
      <c r="AD52" s="254"/>
      <c r="AE52" s="254"/>
      <c r="AF52" s="254"/>
      <c r="AG52" s="254"/>
      <c r="AH52" s="254"/>
      <c r="AI52" s="254"/>
      <c r="AJ52" s="254">
        <f t="shared" si="54"/>
        <v>26575.4</v>
      </c>
      <c r="AK52" s="254"/>
      <c r="AL52" s="254"/>
      <c r="AM52" s="254"/>
      <c r="AN52" s="254"/>
      <c r="AO52" s="254">
        <f t="shared" si="55"/>
        <v>26575.4</v>
      </c>
      <c r="AP52" s="940" t="s">
        <v>721</v>
      </c>
      <c r="AQ52" s="940" t="s">
        <v>722</v>
      </c>
      <c r="AR52" s="721" t="s">
        <v>659</v>
      </c>
    </row>
    <row r="53" spans="1:44" ht="63">
      <c r="A53" s="152" t="s">
        <v>44</v>
      </c>
      <c r="B53" s="152" t="s">
        <v>785</v>
      </c>
      <c r="C53" s="211" t="s">
        <v>786</v>
      </c>
      <c r="D53" s="212" t="s">
        <v>787</v>
      </c>
      <c r="E53" s="213"/>
      <c r="F53" s="130"/>
      <c r="G53" s="131"/>
      <c r="H53" s="131"/>
      <c r="I53" s="211">
        <v>3</v>
      </c>
      <c r="J53" s="134">
        <v>3</v>
      </c>
      <c r="K53" s="134"/>
      <c r="L53" s="135"/>
      <c r="M53" s="135"/>
      <c r="N53" s="135"/>
      <c r="O53" s="135"/>
      <c r="P53" s="135">
        <f>SUM(P54)</f>
        <v>43000</v>
      </c>
      <c r="Q53" s="135"/>
      <c r="R53" s="135"/>
      <c r="S53" s="135"/>
      <c r="T53" s="135"/>
      <c r="U53" s="135">
        <f t="shared" ref="U53:W53" si="56">SUM(U54)</f>
        <v>86000</v>
      </c>
      <c r="V53" s="135">
        <f t="shared" si="56"/>
        <v>43000</v>
      </c>
      <c r="W53" s="135">
        <f t="shared" si="56"/>
        <v>93900</v>
      </c>
      <c r="X53" s="135"/>
      <c r="Y53" s="135"/>
      <c r="Z53" s="135"/>
      <c r="AA53" s="135"/>
      <c r="AB53" s="135"/>
      <c r="AC53" s="135">
        <f>SUM(AC54)</f>
        <v>117300</v>
      </c>
      <c r="AD53" s="135"/>
      <c r="AE53" s="135"/>
      <c r="AF53" s="135"/>
      <c r="AG53" s="135"/>
      <c r="AH53" s="135"/>
      <c r="AI53" s="135"/>
      <c r="AJ53" s="135">
        <f>SUM(AJ54)</f>
        <v>383200</v>
      </c>
      <c r="AK53" s="135"/>
      <c r="AL53" s="135"/>
      <c r="AM53" s="135"/>
      <c r="AN53" s="135"/>
      <c r="AO53" s="135">
        <f>SUM(AO54)</f>
        <v>383200</v>
      </c>
      <c r="AP53" s="131"/>
      <c r="AQ53" s="131"/>
      <c r="AR53" s="131"/>
    </row>
    <row r="54" spans="1:44" ht="78.75">
      <c r="A54" s="258" t="s">
        <v>44</v>
      </c>
      <c r="B54" s="258" t="s">
        <v>785</v>
      </c>
      <c r="C54" s="214" t="s">
        <v>788</v>
      </c>
      <c r="D54" s="215" t="s">
        <v>789</v>
      </c>
      <c r="E54" s="216">
        <f>SUM(L54,M54,N54,R54,S54,T54,X54,Y54,Z54,AD54,AE54,AF54)</f>
        <v>10</v>
      </c>
      <c r="F54" s="218" t="s">
        <v>790</v>
      </c>
      <c r="G54" s="219" t="s">
        <v>791</v>
      </c>
      <c r="H54" s="221" t="s">
        <v>792</v>
      </c>
      <c r="I54" s="214">
        <v>100</v>
      </c>
      <c r="J54" s="136"/>
      <c r="K54" s="214">
        <v>100</v>
      </c>
      <c r="L54" s="254"/>
      <c r="M54" s="254">
        <v>1</v>
      </c>
      <c r="N54" s="254"/>
      <c r="O54" s="254"/>
      <c r="P54" s="254">
        <v>43000</v>
      </c>
      <c r="Q54" s="254"/>
      <c r="R54" s="254">
        <v>2</v>
      </c>
      <c r="S54" s="254">
        <v>1</v>
      </c>
      <c r="T54" s="254">
        <v>3</v>
      </c>
      <c r="U54" s="254">
        <v>86000</v>
      </c>
      <c r="V54" s="254">
        <v>43000</v>
      </c>
      <c r="W54" s="254">
        <v>93900</v>
      </c>
      <c r="X54" s="254"/>
      <c r="Y54" s="254"/>
      <c r="Z54" s="254">
        <v>3</v>
      </c>
      <c r="AA54" s="254"/>
      <c r="AB54" s="254"/>
      <c r="AC54" s="254">
        <v>117300</v>
      </c>
      <c r="AD54" s="254"/>
      <c r="AE54" s="254"/>
      <c r="AF54" s="254"/>
      <c r="AG54" s="254"/>
      <c r="AH54" s="254"/>
      <c r="AI54" s="254"/>
      <c r="AJ54" s="254">
        <f>SUM(O54,P54,Q54,U54,V54,W54,AA54,AB54,AC54,AG54,AH54,AI54)</f>
        <v>383200</v>
      </c>
      <c r="AK54" s="254"/>
      <c r="AL54" s="254"/>
      <c r="AM54" s="254"/>
      <c r="AN54" s="254"/>
      <c r="AO54" s="254">
        <f>+AJ54</f>
        <v>383200</v>
      </c>
      <c r="AP54" s="721" t="s">
        <v>657</v>
      </c>
      <c r="AQ54" s="721" t="s">
        <v>658</v>
      </c>
      <c r="AR54" s="721" t="s">
        <v>671</v>
      </c>
    </row>
    <row r="55" spans="1:44" ht="63">
      <c r="A55" s="152" t="s">
        <v>44</v>
      </c>
      <c r="B55" s="152" t="s">
        <v>793</v>
      </c>
      <c r="C55" s="211" t="s">
        <v>794</v>
      </c>
      <c r="D55" s="212" t="s">
        <v>795</v>
      </c>
      <c r="E55" s="213"/>
      <c r="F55" s="130"/>
      <c r="G55" s="131"/>
      <c r="H55" s="131"/>
      <c r="I55" s="211">
        <v>1</v>
      </c>
      <c r="J55" s="134">
        <v>1</v>
      </c>
      <c r="K55" s="134"/>
      <c r="L55" s="135"/>
      <c r="M55" s="135"/>
      <c r="N55" s="135"/>
      <c r="O55" s="135"/>
      <c r="P55" s="135"/>
      <c r="Q55" s="135"/>
      <c r="R55" s="135"/>
      <c r="S55" s="135"/>
      <c r="T55" s="135"/>
      <c r="U55" s="135">
        <f>SUM(U56)</f>
        <v>1600</v>
      </c>
      <c r="V55" s="135"/>
      <c r="W55" s="135">
        <f>SUM(W56)</f>
        <v>3000</v>
      </c>
      <c r="X55" s="135"/>
      <c r="Y55" s="135"/>
      <c r="Z55" s="135"/>
      <c r="AA55" s="135">
        <f t="shared" ref="AA55:AB55" si="57">SUM(AA56)</f>
        <v>3000</v>
      </c>
      <c r="AB55" s="135">
        <f t="shared" si="57"/>
        <v>4600</v>
      </c>
      <c r="AC55" s="135"/>
      <c r="AD55" s="135"/>
      <c r="AE55" s="135"/>
      <c r="AF55" s="135"/>
      <c r="AG55" s="135"/>
      <c r="AH55" s="135"/>
      <c r="AI55" s="135"/>
      <c r="AJ55" s="135">
        <f>SUM(AJ56)</f>
        <v>12200</v>
      </c>
      <c r="AK55" s="135"/>
      <c r="AL55" s="135"/>
      <c r="AM55" s="135"/>
      <c r="AN55" s="135"/>
      <c r="AO55" s="135">
        <f>SUM(AO56)</f>
        <v>12200</v>
      </c>
      <c r="AP55" s="131"/>
      <c r="AQ55" s="131"/>
      <c r="AR55" s="131"/>
    </row>
    <row r="56" spans="1:44" ht="63">
      <c r="A56" s="258" t="s">
        <v>44</v>
      </c>
      <c r="B56" s="258" t="s">
        <v>793</v>
      </c>
      <c r="C56" s="214" t="s">
        <v>796</v>
      </c>
      <c r="D56" s="215" t="s">
        <v>797</v>
      </c>
      <c r="E56" s="216">
        <f>SUM(L56,M56,N56,R56,S56,T56,X56,Y56,Z56,AD56,AE56,AF56)</f>
        <v>11</v>
      </c>
      <c r="F56" s="218" t="s">
        <v>798</v>
      </c>
      <c r="G56" s="219" t="s">
        <v>799</v>
      </c>
      <c r="H56" s="221" t="s">
        <v>800</v>
      </c>
      <c r="I56" s="214">
        <v>100</v>
      </c>
      <c r="J56" s="136"/>
      <c r="K56" s="214">
        <v>100</v>
      </c>
      <c r="L56" s="254"/>
      <c r="M56" s="254"/>
      <c r="N56" s="254"/>
      <c r="O56" s="254"/>
      <c r="P56" s="254"/>
      <c r="Q56" s="254"/>
      <c r="R56" s="254">
        <v>4</v>
      </c>
      <c r="S56" s="254"/>
      <c r="T56" s="254">
        <v>1</v>
      </c>
      <c r="U56" s="254">
        <v>1600</v>
      </c>
      <c r="V56" s="254"/>
      <c r="W56" s="254">
        <v>3000</v>
      </c>
      <c r="X56" s="254">
        <v>1</v>
      </c>
      <c r="Y56" s="254">
        <v>5</v>
      </c>
      <c r="Z56" s="254"/>
      <c r="AA56" s="254">
        <v>3000</v>
      </c>
      <c r="AB56" s="254">
        <v>4600</v>
      </c>
      <c r="AC56" s="254"/>
      <c r="AD56" s="254"/>
      <c r="AE56" s="254"/>
      <c r="AF56" s="254"/>
      <c r="AG56" s="254"/>
      <c r="AH56" s="254"/>
      <c r="AI56" s="254"/>
      <c r="AJ56" s="254">
        <f>SUM(O56,P56,Q56,U56,V56,W56,AA56,AB56,AC56,AG56,AH56,AI56)</f>
        <v>12200</v>
      </c>
      <c r="AK56" s="254"/>
      <c r="AL56" s="254"/>
      <c r="AM56" s="254"/>
      <c r="AN56" s="254"/>
      <c r="AO56" s="254">
        <f>+AJ56</f>
        <v>12200</v>
      </c>
      <c r="AP56" s="721" t="s">
        <v>657</v>
      </c>
      <c r="AQ56" s="721" t="s">
        <v>658</v>
      </c>
      <c r="AR56" s="721" t="s">
        <v>671</v>
      </c>
    </row>
    <row r="57" spans="1:44" ht="94.5">
      <c r="A57" s="152" t="s">
        <v>44</v>
      </c>
      <c r="B57" s="152" t="s">
        <v>801</v>
      </c>
      <c r="C57" s="211" t="s">
        <v>802</v>
      </c>
      <c r="D57" s="212" t="s">
        <v>803</v>
      </c>
      <c r="E57" s="213"/>
      <c r="F57" s="130"/>
      <c r="G57" s="131"/>
      <c r="H57" s="131"/>
      <c r="I57" s="211">
        <v>3</v>
      </c>
      <c r="J57" s="134">
        <v>3</v>
      </c>
      <c r="K57" s="134"/>
      <c r="L57" s="135"/>
      <c r="M57" s="135"/>
      <c r="N57" s="135"/>
      <c r="O57" s="135"/>
      <c r="P57" s="135">
        <f>SUM(P58:P62)</f>
        <v>102250</v>
      </c>
      <c r="Q57" s="135">
        <f t="shared" ref="Q57:AO57" si="58">SUM(Q58:Q62)</f>
        <v>400</v>
      </c>
      <c r="R57" s="135"/>
      <c r="S57" s="135"/>
      <c r="T57" s="135"/>
      <c r="U57" s="135">
        <f t="shared" si="58"/>
        <v>53300</v>
      </c>
      <c r="V57" s="135">
        <f t="shared" si="58"/>
        <v>102650</v>
      </c>
      <c r="W57" s="135">
        <f t="shared" si="58"/>
        <v>800</v>
      </c>
      <c r="X57" s="135"/>
      <c r="Y57" s="135"/>
      <c r="Z57" s="135"/>
      <c r="AA57" s="135">
        <f t="shared" si="58"/>
        <v>800</v>
      </c>
      <c r="AB57" s="135">
        <f t="shared" si="58"/>
        <v>103050</v>
      </c>
      <c r="AC57" s="135">
        <f t="shared" si="58"/>
        <v>1200</v>
      </c>
      <c r="AD57" s="135"/>
      <c r="AE57" s="135"/>
      <c r="AF57" s="135"/>
      <c r="AG57" s="135">
        <f t="shared" si="58"/>
        <v>1200</v>
      </c>
      <c r="AH57" s="135">
        <f t="shared" si="58"/>
        <v>1200</v>
      </c>
      <c r="AI57" s="135">
        <f t="shared" si="58"/>
        <v>1200</v>
      </c>
      <c r="AJ57" s="135">
        <f t="shared" si="58"/>
        <v>368050</v>
      </c>
      <c r="AK57" s="135"/>
      <c r="AL57" s="135"/>
      <c r="AM57" s="135"/>
      <c r="AN57" s="135"/>
      <c r="AO57" s="135">
        <f t="shared" si="58"/>
        <v>368050</v>
      </c>
      <c r="AP57" s="131"/>
      <c r="AQ57" s="131"/>
      <c r="AR57" s="131"/>
    </row>
    <row r="58" spans="1:44" ht="78.75">
      <c r="A58" s="258" t="s">
        <v>44</v>
      </c>
      <c r="B58" s="258" t="s">
        <v>801</v>
      </c>
      <c r="C58" s="214" t="s">
        <v>804</v>
      </c>
      <c r="D58" s="215" t="s">
        <v>805</v>
      </c>
      <c r="E58" s="216">
        <f t="shared" ref="E58:E62" si="59">SUM(L58,M58,N58,R58,S58,T58,X58,Y58,Z58,AD58,AE58,AF58)</f>
        <v>5</v>
      </c>
      <c r="F58" s="218" t="s">
        <v>662</v>
      </c>
      <c r="G58" s="219" t="s">
        <v>806</v>
      </c>
      <c r="H58" s="221" t="s">
        <v>807</v>
      </c>
      <c r="I58" s="214">
        <v>96</v>
      </c>
      <c r="J58" s="949"/>
      <c r="K58" s="214">
        <v>96</v>
      </c>
      <c r="L58" s="254"/>
      <c r="M58" s="254">
        <v>1</v>
      </c>
      <c r="N58" s="254"/>
      <c r="O58" s="254"/>
      <c r="P58" s="254">
        <v>100000</v>
      </c>
      <c r="Q58" s="254"/>
      <c r="R58" s="254">
        <v>2</v>
      </c>
      <c r="S58" s="254">
        <v>1</v>
      </c>
      <c r="T58" s="254"/>
      <c r="U58" s="254">
        <v>52000</v>
      </c>
      <c r="V58" s="254">
        <v>100000</v>
      </c>
      <c r="W58" s="254"/>
      <c r="X58" s="254"/>
      <c r="Y58" s="254">
        <v>1</v>
      </c>
      <c r="Z58" s="254"/>
      <c r="AA58" s="254"/>
      <c r="AB58" s="254">
        <v>100000</v>
      </c>
      <c r="AC58" s="254"/>
      <c r="AD58" s="254"/>
      <c r="AE58" s="254"/>
      <c r="AF58" s="254"/>
      <c r="AG58" s="254"/>
      <c r="AH58" s="254"/>
      <c r="AI58" s="254"/>
      <c r="AJ58" s="254">
        <f t="shared" ref="AJ58:AJ62" si="60">SUM(O58,P58,Q58,U58,V58,W58,AA58,AB58,AC58,AG58,AH58,AI58)</f>
        <v>352000</v>
      </c>
      <c r="AK58" s="254"/>
      <c r="AL58" s="254"/>
      <c r="AM58" s="254"/>
      <c r="AN58" s="254"/>
      <c r="AO58" s="254">
        <f t="shared" ref="AO58:AO62" si="61">+AJ58</f>
        <v>352000</v>
      </c>
      <c r="AP58" s="721" t="s">
        <v>657</v>
      </c>
      <c r="AQ58" s="721" t="s">
        <v>658</v>
      </c>
      <c r="AR58" s="721" t="s">
        <v>808</v>
      </c>
    </row>
    <row r="59" spans="1:44" ht="77.25" customHeight="1">
      <c r="A59" s="935" t="s">
        <v>44</v>
      </c>
      <c r="B59" s="935" t="s">
        <v>801</v>
      </c>
      <c r="C59" s="1135" t="s">
        <v>809</v>
      </c>
      <c r="D59" s="1137" t="s">
        <v>810</v>
      </c>
      <c r="E59" s="216">
        <f t="shared" si="59"/>
        <v>162</v>
      </c>
      <c r="F59" s="218" t="s">
        <v>131</v>
      </c>
      <c r="G59" s="1139" t="s">
        <v>811</v>
      </c>
      <c r="H59" s="939" t="s">
        <v>699</v>
      </c>
      <c r="I59" s="1135">
        <v>1</v>
      </c>
      <c r="J59" s="950"/>
      <c r="K59" s="1135">
        <v>1</v>
      </c>
      <c r="L59" s="254"/>
      <c r="M59" s="254">
        <v>54</v>
      </c>
      <c r="N59" s="254"/>
      <c r="O59" s="254"/>
      <c r="P59" s="254">
        <v>1350</v>
      </c>
      <c r="Q59" s="254"/>
      <c r="R59" s="254"/>
      <c r="S59" s="254">
        <v>54</v>
      </c>
      <c r="T59" s="254"/>
      <c r="U59" s="254"/>
      <c r="V59" s="254">
        <v>1350</v>
      </c>
      <c r="W59" s="254"/>
      <c r="X59" s="254"/>
      <c r="Y59" s="254">
        <v>54</v>
      </c>
      <c r="Z59" s="254"/>
      <c r="AA59" s="254"/>
      <c r="AB59" s="254">
        <v>1350</v>
      </c>
      <c r="AC59" s="254"/>
      <c r="AD59" s="254"/>
      <c r="AE59" s="254"/>
      <c r="AF59" s="254"/>
      <c r="AG59" s="254"/>
      <c r="AH59" s="254"/>
      <c r="AI59" s="254"/>
      <c r="AJ59" s="254">
        <f t="shared" si="60"/>
        <v>4050</v>
      </c>
      <c r="AK59" s="254"/>
      <c r="AL59" s="254"/>
      <c r="AM59" s="254"/>
      <c r="AN59" s="254"/>
      <c r="AO59" s="254">
        <f t="shared" si="61"/>
        <v>4050</v>
      </c>
      <c r="AP59" s="939" t="s">
        <v>657</v>
      </c>
      <c r="AQ59" s="939" t="s">
        <v>750</v>
      </c>
      <c r="AR59" s="1143" t="s">
        <v>671</v>
      </c>
    </row>
    <row r="60" spans="1:44" ht="77.25" customHeight="1">
      <c r="A60" s="984"/>
      <c r="B60" s="984"/>
      <c r="C60" s="1136"/>
      <c r="D60" s="1138"/>
      <c r="E60" s="216">
        <f t="shared" si="59"/>
        <v>108</v>
      </c>
      <c r="F60" s="218" t="s">
        <v>134</v>
      </c>
      <c r="G60" s="1140"/>
      <c r="H60" s="940"/>
      <c r="I60" s="1136"/>
      <c r="J60" s="950"/>
      <c r="K60" s="1136"/>
      <c r="L60" s="254"/>
      <c r="M60" s="254">
        <v>36</v>
      </c>
      <c r="N60" s="254"/>
      <c r="O60" s="254"/>
      <c r="P60" s="254">
        <v>900</v>
      </c>
      <c r="Q60" s="254"/>
      <c r="R60" s="254"/>
      <c r="S60" s="254">
        <v>36</v>
      </c>
      <c r="T60" s="254"/>
      <c r="U60" s="254"/>
      <c r="V60" s="254">
        <v>900</v>
      </c>
      <c r="W60" s="254"/>
      <c r="X60" s="254"/>
      <c r="Y60" s="254">
        <v>36</v>
      </c>
      <c r="Z60" s="254"/>
      <c r="AA60" s="254"/>
      <c r="AB60" s="254">
        <v>900</v>
      </c>
      <c r="AC60" s="254"/>
      <c r="AD60" s="254"/>
      <c r="AE60" s="254"/>
      <c r="AF60" s="254"/>
      <c r="AG60" s="254"/>
      <c r="AH60" s="254"/>
      <c r="AI60" s="254"/>
      <c r="AJ60" s="254">
        <f t="shared" si="60"/>
        <v>2700</v>
      </c>
      <c r="AK60" s="254"/>
      <c r="AL60" s="254"/>
      <c r="AM60" s="254"/>
      <c r="AN60" s="254"/>
      <c r="AO60" s="254">
        <f t="shared" si="61"/>
        <v>2700</v>
      </c>
      <c r="AP60" s="940" t="s">
        <v>657</v>
      </c>
      <c r="AQ60" s="940" t="s">
        <v>750</v>
      </c>
      <c r="AR60" s="1144" t="s">
        <v>711</v>
      </c>
    </row>
    <row r="61" spans="1:44" ht="77.25" customHeight="1">
      <c r="A61" s="935" t="s">
        <v>44</v>
      </c>
      <c r="B61" s="935" t="s">
        <v>801</v>
      </c>
      <c r="C61" s="1135" t="s">
        <v>812</v>
      </c>
      <c r="D61" s="1137" t="s">
        <v>813</v>
      </c>
      <c r="E61" s="216">
        <f t="shared" si="59"/>
        <v>408</v>
      </c>
      <c r="F61" s="218" t="s">
        <v>131</v>
      </c>
      <c r="G61" s="1139" t="s">
        <v>814</v>
      </c>
      <c r="H61" s="939" t="s">
        <v>815</v>
      </c>
      <c r="I61" s="1135">
        <v>3</v>
      </c>
      <c r="J61" s="950"/>
      <c r="K61" s="1135">
        <v>3</v>
      </c>
      <c r="L61" s="254"/>
      <c r="M61" s="254"/>
      <c r="N61" s="254">
        <v>18</v>
      </c>
      <c r="O61" s="254"/>
      <c r="P61" s="254"/>
      <c r="Q61" s="254">
        <v>240</v>
      </c>
      <c r="R61" s="254">
        <v>48</v>
      </c>
      <c r="S61" s="254">
        <v>18</v>
      </c>
      <c r="T61" s="254">
        <v>36</v>
      </c>
      <c r="U61" s="254">
        <v>840</v>
      </c>
      <c r="V61" s="254">
        <v>240</v>
      </c>
      <c r="W61" s="254">
        <v>480</v>
      </c>
      <c r="X61" s="254">
        <v>36</v>
      </c>
      <c r="Y61" s="254">
        <v>36</v>
      </c>
      <c r="Z61" s="254">
        <v>54</v>
      </c>
      <c r="AA61" s="254">
        <v>480</v>
      </c>
      <c r="AB61" s="254">
        <v>480</v>
      </c>
      <c r="AC61" s="254">
        <v>720</v>
      </c>
      <c r="AD61" s="254">
        <v>54</v>
      </c>
      <c r="AE61" s="254">
        <v>54</v>
      </c>
      <c r="AF61" s="254">
        <v>54</v>
      </c>
      <c r="AG61" s="254">
        <v>720</v>
      </c>
      <c r="AH61" s="254">
        <v>720</v>
      </c>
      <c r="AI61" s="254">
        <v>720</v>
      </c>
      <c r="AJ61" s="254">
        <f t="shared" si="60"/>
        <v>5640</v>
      </c>
      <c r="AK61" s="254"/>
      <c r="AL61" s="254"/>
      <c r="AM61" s="254"/>
      <c r="AN61" s="254"/>
      <c r="AO61" s="254">
        <f t="shared" si="61"/>
        <v>5640</v>
      </c>
      <c r="AP61" s="939" t="s">
        <v>657</v>
      </c>
      <c r="AQ61" s="939" t="s">
        <v>658</v>
      </c>
      <c r="AR61" s="1143" t="s">
        <v>671</v>
      </c>
    </row>
    <row r="62" spans="1:44" ht="77.25" customHeight="1">
      <c r="A62" s="984"/>
      <c r="B62" s="984"/>
      <c r="C62" s="1136"/>
      <c r="D62" s="1138"/>
      <c r="E62" s="216">
        <f t="shared" si="59"/>
        <v>262</v>
      </c>
      <c r="F62" s="218" t="s">
        <v>134</v>
      </c>
      <c r="G62" s="1140"/>
      <c r="H62" s="940"/>
      <c r="I62" s="1136"/>
      <c r="J62" s="951"/>
      <c r="K62" s="1136"/>
      <c r="L62" s="254"/>
      <c r="M62" s="254"/>
      <c r="N62" s="254">
        <v>12</v>
      </c>
      <c r="O62" s="254"/>
      <c r="P62" s="254"/>
      <c r="Q62" s="254">
        <v>160</v>
      </c>
      <c r="R62" s="254">
        <v>22</v>
      </c>
      <c r="S62" s="254">
        <v>12</v>
      </c>
      <c r="T62" s="254">
        <v>24</v>
      </c>
      <c r="U62" s="254">
        <v>460</v>
      </c>
      <c r="V62" s="254">
        <v>160</v>
      </c>
      <c r="W62" s="254">
        <v>320</v>
      </c>
      <c r="X62" s="254">
        <v>24</v>
      </c>
      <c r="Y62" s="254">
        <v>24</v>
      </c>
      <c r="Z62" s="254">
        <v>36</v>
      </c>
      <c r="AA62" s="254">
        <v>320</v>
      </c>
      <c r="AB62" s="254">
        <v>320</v>
      </c>
      <c r="AC62" s="254">
        <v>480</v>
      </c>
      <c r="AD62" s="254">
        <v>36</v>
      </c>
      <c r="AE62" s="254">
        <v>36</v>
      </c>
      <c r="AF62" s="254">
        <v>36</v>
      </c>
      <c r="AG62" s="254">
        <v>480</v>
      </c>
      <c r="AH62" s="254">
        <v>480</v>
      </c>
      <c r="AI62" s="254">
        <v>480</v>
      </c>
      <c r="AJ62" s="254">
        <f t="shared" si="60"/>
        <v>3660</v>
      </c>
      <c r="AK62" s="254"/>
      <c r="AL62" s="254"/>
      <c r="AM62" s="254"/>
      <c r="AN62" s="254"/>
      <c r="AO62" s="254">
        <f t="shared" si="61"/>
        <v>3660</v>
      </c>
      <c r="AP62" s="940" t="s">
        <v>657</v>
      </c>
      <c r="AQ62" s="940" t="s">
        <v>658</v>
      </c>
      <c r="AR62" s="1144" t="s">
        <v>711</v>
      </c>
    </row>
    <row r="63" spans="1:44" ht="110.25">
      <c r="A63" s="152" t="s">
        <v>44</v>
      </c>
      <c r="B63" s="152" t="s">
        <v>816</v>
      </c>
      <c r="C63" s="261" t="s">
        <v>817</v>
      </c>
      <c r="D63" s="212" t="s">
        <v>818</v>
      </c>
      <c r="E63" s="213"/>
      <c r="F63" s="130"/>
      <c r="G63" s="131"/>
      <c r="H63" s="131"/>
      <c r="I63" s="211">
        <v>1</v>
      </c>
      <c r="J63" s="134">
        <v>1</v>
      </c>
      <c r="K63" s="134"/>
      <c r="L63" s="135"/>
      <c r="M63" s="135"/>
      <c r="N63" s="135"/>
      <c r="O63" s="135"/>
      <c r="P63" s="135"/>
      <c r="Q63" s="135">
        <f>SUM(Q64)</f>
        <v>40500</v>
      </c>
      <c r="R63" s="135"/>
      <c r="S63" s="135"/>
      <c r="T63" s="135"/>
      <c r="U63" s="135"/>
      <c r="V63" s="135"/>
      <c r="W63" s="135">
        <f>SUM(W64)</f>
        <v>40500</v>
      </c>
      <c r="X63" s="135"/>
      <c r="Y63" s="135"/>
      <c r="Z63" s="135"/>
      <c r="AA63" s="135"/>
      <c r="AB63" s="135">
        <f>SUM(AB64)</f>
        <v>40500</v>
      </c>
      <c r="AC63" s="135"/>
      <c r="AD63" s="135"/>
      <c r="AE63" s="135"/>
      <c r="AF63" s="135"/>
      <c r="AG63" s="135"/>
      <c r="AH63" s="135"/>
      <c r="AI63" s="135"/>
      <c r="AJ63" s="135">
        <f>SUM(AJ64)</f>
        <v>121500</v>
      </c>
      <c r="AK63" s="135"/>
      <c r="AL63" s="135"/>
      <c r="AM63" s="135"/>
      <c r="AN63" s="135"/>
      <c r="AO63" s="135">
        <f>SUM(AO64)</f>
        <v>121500</v>
      </c>
      <c r="AP63" s="131"/>
      <c r="AQ63" s="131"/>
      <c r="AR63" s="131"/>
    </row>
    <row r="64" spans="1:44" ht="110.25">
      <c r="A64" s="258" t="s">
        <v>44</v>
      </c>
      <c r="B64" s="258" t="s">
        <v>816</v>
      </c>
      <c r="C64" s="267" t="s">
        <v>819</v>
      </c>
      <c r="D64" s="215" t="s">
        <v>820</v>
      </c>
      <c r="E64" s="216">
        <f>SUM(L64,M64,N64,R64,S64,T64,X64,Y64,Z64,AD64,AE64,AF64)</f>
        <v>3</v>
      </c>
      <c r="F64" s="218" t="s">
        <v>662</v>
      </c>
      <c r="G64" s="219" t="s">
        <v>821</v>
      </c>
      <c r="H64" s="221" t="s">
        <v>822</v>
      </c>
      <c r="I64" s="214">
        <v>100</v>
      </c>
      <c r="J64" s="136"/>
      <c r="K64" s="214">
        <v>100</v>
      </c>
      <c r="L64" s="254"/>
      <c r="M64" s="254"/>
      <c r="N64" s="254">
        <v>1</v>
      </c>
      <c r="O64" s="254"/>
      <c r="P64" s="254"/>
      <c r="Q64" s="254">
        <v>40500</v>
      </c>
      <c r="R64" s="254"/>
      <c r="S64" s="254"/>
      <c r="T64" s="254">
        <v>1</v>
      </c>
      <c r="U64" s="254"/>
      <c r="V64" s="254"/>
      <c r="W64" s="254">
        <v>40500</v>
      </c>
      <c r="X64" s="254"/>
      <c r="Y64" s="254">
        <v>1</v>
      </c>
      <c r="Z64" s="254"/>
      <c r="AA64" s="254"/>
      <c r="AB64" s="254">
        <v>40500</v>
      </c>
      <c r="AC64" s="254"/>
      <c r="AD64" s="254"/>
      <c r="AE64" s="254"/>
      <c r="AF64" s="254"/>
      <c r="AG64" s="254"/>
      <c r="AH64" s="254"/>
      <c r="AI64" s="254"/>
      <c r="AJ64" s="254">
        <f>SUM(O64,P64,Q64,U64,V64,W64,AA64,AB64,AC64,AG64,AH64,AI64)</f>
        <v>121500</v>
      </c>
      <c r="AK64" s="254"/>
      <c r="AL64" s="254"/>
      <c r="AM64" s="254"/>
      <c r="AN64" s="254"/>
      <c r="AO64" s="254">
        <f>+AJ64</f>
        <v>121500</v>
      </c>
      <c r="AP64" s="721" t="s">
        <v>823</v>
      </c>
      <c r="AQ64" s="721" t="s">
        <v>750</v>
      </c>
      <c r="AR64" s="721" t="s">
        <v>659</v>
      </c>
    </row>
    <row r="65" spans="1:44" ht="110.25">
      <c r="A65" s="152" t="s">
        <v>44</v>
      </c>
      <c r="B65" s="152" t="s">
        <v>504</v>
      </c>
      <c r="C65" s="211" t="s">
        <v>824</v>
      </c>
      <c r="D65" s="212" t="s">
        <v>818</v>
      </c>
      <c r="E65" s="213"/>
      <c r="F65" s="130"/>
      <c r="G65" s="131"/>
      <c r="H65" s="131"/>
      <c r="I65" s="211">
        <v>2</v>
      </c>
      <c r="J65" s="134">
        <v>2</v>
      </c>
      <c r="K65" s="134"/>
      <c r="L65" s="135"/>
      <c r="M65" s="135"/>
      <c r="N65" s="135"/>
      <c r="O65" s="135"/>
      <c r="P65" s="135"/>
      <c r="Q65" s="135"/>
      <c r="R65" s="135"/>
      <c r="S65" s="135"/>
      <c r="T65" s="135"/>
      <c r="U65" s="135">
        <f>SUM(U66)</f>
        <v>52000</v>
      </c>
      <c r="V65" s="135"/>
      <c r="W65" s="135">
        <f>SUM(W66)</f>
        <v>40500</v>
      </c>
      <c r="X65" s="135"/>
      <c r="Y65" s="135"/>
      <c r="Z65" s="135"/>
      <c r="AA65" s="135"/>
      <c r="AB65" s="135">
        <f>SUM(AB66)</f>
        <v>103100</v>
      </c>
      <c r="AC65" s="135">
        <f>SUM(AC66)</f>
        <v>31300</v>
      </c>
      <c r="AD65" s="135"/>
      <c r="AE65" s="135"/>
      <c r="AF65" s="135"/>
      <c r="AG65" s="135">
        <f>SUM(AG66)</f>
        <v>40500</v>
      </c>
      <c r="AH65" s="135"/>
      <c r="AI65" s="135"/>
      <c r="AJ65" s="135">
        <f>SUM(AJ66)</f>
        <v>267400</v>
      </c>
      <c r="AK65" s="135"/>
      <c r="AL65" s="135"/>
      <c r="AM65" s="135"/>
      <c r="AN65" s="135"/>
      <c r="AO65" s="135">
        <f>SUM(AO66)</f>
        <v>267400</v>
      </c>
      <c r="AP65" s="131"/>
      <c r="AQ65" s="131"/>
      <c r="AR65" s="131"/>
    </row>
    <row r="66" spans="1:44" ht="183" customHeight="1">
      <c r="A66" s="258" t="s">
        <v>44</v>
      </c>
      <c r="B66" s="258" t="s">
        <v>504</v>
      </c>
      <c r="C66" s="214" t="s">
        <v>825</v>
      </c>
      <c r="D66" s="215" t="s">
        <v>826</v>
      </c>
      <c r="E66" s="216">
        <f>SUM(L66,M66,N66,R66,S66,T66,X66,Y66,Z66,AD66,AE66,AF66)</f>
        <v>8</v>
      </c>
      <c r="F66" s="218" t="s">
        <v>662</v>
      </c>
      <c r="G66" s="219" t="s">
        <v>827</v>
      </c>
      <c r="H66" s="221" t="s">
        <v>822</v>
      </c>
      <c r="I66" s="214">
        <v>100</v>
      </c>
      <c r="J66" s="136"/>
      <c r="K66" s="214">
        <v>100</v>
      </c>
      <c r="L66" s="254"/>
      <c r="M66" s="254"/>
      <c r="N66" s="254"/>
      <c r="O66" s="254"/>
      <c r="P66" s="254"/>
      <c r="Q66" s="254"/>
      <c r="R66" s="254">
        <v>2</v>
      </c>
      <c r="S66" s="254"/>
      <c r="T66" s="254">
        <v>1</v>
      </c>
      <c r="U66" s="254">
        <v>52000</v>
      </c>
      <c r="V66" s="254"/>
      <c r="W66" s="254">
        <v>40500</v>
      </c>
      <c r="X66" s="254"/>
      <c r="Y66" s="254">
        <v>3</v>
      </c>
      <c r="Z66" s="254">
        <v>1</v>
      </c>
      <c r="AA66" s="254"/>
      <c r="AB66" s="254">
        <v>103100</v>
      </c>
      <c r="AC66" s="254">
        <v>31300</v>
      </c>
      <c r="AD66" s="254">
        <v>1</v>
      </c>
      <c r="AE66" s="254"/>
      <c r="AF66" s="254"/>
      <c r="AG66" s="254">
        <v>40500</v>
      </c>
      <c r="AH66" s="254"/>
      <c r="AI66" s="254"/>
      <c r="AJ66" s="254">
        <f>SUM(O66,P66,Q66,U66,V66,W66,AA66,AB66,AC66,AG66,AH66,AI66)</f>
        <v>267400</v>
      </c>
      <c r="AK66" s="254"/>
      <c r="AL66" s="254"/>
      <c r="AM66" s="254"/>
      <c r="AN66" s="254"/>
      <c r="AO66" s="254">
        <f>+AJ66</f>
        <v>267400</v>
      </c>
      <c r="AP66" s="721" t="s">
        <v>828</v>
      </c>
      <c r="AQ66" s="721" t="s">
        <v>658</v>
      </c>
      <c r="AR66" s="721" t="s">
        <v>659</v>
      </c>
    </row>
    <row r="67" spans="1:44" ht="110.25">
      <c r="A67" s="152" t="s">
        <v>44</v>
      </c>
      <c r="B67" s="152" t="s">
        <v>829</v>
      </c>
      <c r="C67" s="211" t="s">
        <v>830</v>
      </c>
      <c r="D67" s="212" t="s">
        <v>831</v>
      </c>
      <c r="E67" s="213"/>
      <c r="F67" s="130"/>
      <c r="G67" s="131"/>
      <c r="H67" s="131"/>
      <c r="I67" s="211">
        <v>2</v>
      </c>
      <c r="J67" s="134">
        <v>2</v>
      </c>
      <c r="K67" s="134"/>
      <c r="L67" s="135"/>
      <c r="M67" s="135"/>
      <c r="N67" s="135"/>
      <c r="O67" s="135"/>
      <c r="P67" s="135">
        <f t="shared" ref="P67:AO67" si="62">SUM(P68:P72)</f>
        <v>56500</v>
      </c>
      <c r="Q67" s="135"/>
      <c r="R67" s="135"/>
      <c r="S67" s="135"/>
      <c r="T67" s="135"/>
      <c r="U67" s="135">
        <f t="shared" si="62"/>
        <v>400</v>
      </c>
      <c r="V67" s="135">
        <f t="shared" si="62"/>
        <v>400</v>
      </c>
      <c r="W67" s="135">
        <f t="shared" si="62"/>
        <v>1150</v>
      </c>
      <c r="X67" s="135"/>
      <c r="Y67" s="135"/>
      <c r="Z67" s="135"/>
      <c r="AA67" s="135">
        <f t="shared" si="62"/>
        <v>400</v>
      </c>
      <c r="AB67" s="135">
        <f t="shared" si="62"/>
        <v>89100</v>
      </c>
      <c r="AC67" s="135">
        <f t="shared" si="62"/>
        <v>35500</v>
      </c>
      <c r="AD67" s="135"/>
      <c r="AE67" s="135"/>
      <c r="AF67" s="135"/>
      <c r="AG67" s="135">
        <f t="shared" si="62"/>
        <v>59550</v>
      </c>
      <c r="AH67" s="135">
        <f t="shared" si="62"/>
        <v>1200</v>
      </c>
      <c r="AI67" s="135">
        <f t="shared" si="62"/>
        <v>550</v>
      </c>
      <c r="AJ67" s="135">
        <f t="shared" si="62"/>
        <v>244750</v>
      </c>
      <c r="AK67" s="135"/>
      <c r="AL67" s="135"/>
      <c r="AM67" s="135"/>
      <c r="AN67" s="135"/>
      <c r="AO67" s="135">
        <f t="shared" si="62"/>
        <v>244750</v>
      </c>
      <c r="AP67" s="131"/>
      <c r="AQ67" s="131"/>
      <c r="AR67" s="131"/>
    </row>
    <row r="68" spans="1:44" ht="63">
      <c r="A68" s="258" t="s">
        <v>44</v>
      </c>
      <c r="B68" s="258" t="s">
        <v>829</v>
      </c>
      <c r="C68" s="214" t="s">
        <v>832</v>
      </c>
      <c r="D68" s="215" t="s">
        <v>833</v>
      </c>
      <c r="E68" s="216">
        <f t="shared" ref="E68:E72" si="63">SUM(L68,M68,N68,R68,S68,T68,X68,Y68,Z68,AD68,AE68,AF68)</f>
        <v>5</v>
      </c>
      <c r="F68" s="218" t="s">
        <v>662</v>
      </c>
      <c r="G68" s="219" t="s">
        <v>834</v>
      </c>
      <c r="H68" s="221" t="s">
        <v>835</v>
      </c>
      <c r="I68" s="214">
        <v>95</v>
      </c>
      <c r="J68" s="949"/>
      <c r="K68" s="214">
        <v>95</v>
      </c>
      <c r="L68" s="254"/>
      <c r="M68" s="254">
        <v>1</v>
      </c>
      <c r="N68" s="254"/>
      <c r="O68" s="254"/>
      <c r="P68" s="254">
        <v>56500</v>
      </c>
      <c r="Q68" s="254"/>
      <c r="R68" s="254"/>
      <c r="S68" s="254"/>
      <c r="T68" s="254"/>
      <c r="U68" s="254"/>
      <c r="V68" s="254"/>
      <c r="W68" s="254"/>
      <c r="X68" s="254"/>
      <c r="Y68" s="254">
        <v>2</v>
      </c>
      <c r="Z68" s="254">
        <v>1</v>
      </c>
      <c r="AA68" s="254"/>
      <c r="AB68" s="254">
        <v>87800</v>
      </c>
      <c r="AC68" s="254">
        <v>31300</v>
      </c>
      <c r="AD68" s="254">
        <v>1</v>
      </c>
      <c r="AE68" s="254"/>
      <c r="AF68" s="254"/>
      <c r="AG68" s="254">
        <v>56500</v>
      </c>
      <c r="AH68" s="254"/>
      <c r="AI68" s="254"/>
      <c r="AJ68" s="254">
        <f t="shared" ref="AJ68:AJ72" si="64">SUM(O68,P68,Q68,U68,V68,W68,AA68,AB68,AC68,AG68,AH68,AI68)</f>
        <v>232100</v>
      </c>
      <c r="AK68" s="254"/>
      <c r="AL68" s="254"/>
      <c r="AM68" s="254"/>
      <c r="AN68" s="254"/>
      <c r="AO68" s="254">
        <f t="shared" ref="AO68:AO72" si="65">+AJ68</f>
        <v>232100</v>
      </c>
      <c r="AP68" s="721" t="s">
        <v>657</v>
      </c>
      <c r="AQ68" s="721" t="s">
        <v>658</v>
      </c>
      <c r="AR68" s="721" t="s">
        <v>659</v>
      </c>
    </row>
    <row r="69" spans="1:44" ht="77.25" customHeight="1">
      <c r="A69" s="935" t="s">
        <v>44</v>
      </c>
      <c r="B69" s="935" t="s">
        <v>829</v>
      </c>
      <c r="C69" s="1135" t="s">
        <v>836</v>
      </c>
      <c r="D69" s="1137" t="s">
        <v>837</v>
      </c>
      <c r="E69" s="216">
        <f t="shared" si="63"/>
        <v>24</v>
      </c>
      <c r="F69" s="218" t="s">
        <v>131</v>
      </c>
      <c r="G69" s="1139" t="s">
        <v>838</v>
      </c>
      <c r="H69" s="939" t="s">
        <v>839</v>
      </c>
      <c r="I69" s="1135">
        <v>1</v>
      </c>
      <c r="J69" s="950"/>
      <c r="K69" s="1135">
        <v>1</v>
      </c>
      <c r="L69" s="254"/>
      <c r="M69" s="254"/>
      <c r="N69" s="254"/>
      <c r="O69" s="254"/>
      <c r="P69" s="254"/>
      <c r="Q69" s="254"/>
      <c r="R69" s="254"/>
      <c r="S69" s="254"/>
      <c r="T69" s="254">
        <v>2</v>
      </c>
      <c r="U69" s="254"/>
      <c r="V69" s="254"/>
      <c r="W69" s="254">
        <v>300</v>
      </c>
      <c r="X69" s="254"/>
      <c r="Y69" s="254"/>
      <c r="Z69" s="254">
        <v>16</v>
      </c>
      <c r="AA69" s="254"/>
      <c r="AB69" s="254"/>
      <c r="AC69" s="254">
        <v>900</v>
      </c>
      <c r="AD69" s="254">
        <v>6</v>
      </c>
      <c r="AE69" s="254"/>
      <c r="AF69" s="254"/>
      <c r="AG69" s="254">
        <v>900</v>
      </c>
      <c r="AH69" s="254"/>
      <c r="AI69" s="254"/>
      <c r="AJ69" s="254">
        <f t="shared" si="64"/>
        <v>2100</v>
      </c>
      <c r="AK69" s="254"/>
      <c r="AL69" s="254"/>
      <c r="AM69" s="254"/>
      <c r="AN69" s="254"/>
      <c r="AO69" s="254">
        <f t="shared" si="65"/>
        <v>2100</v>
      </c>
      <c r="AP69" s="939" t="s">
        <v>657</v>
      </c>
      <c r="AQ69" s="939" t="s">
        <v>658</v>
      </c>
      <c r="AR69" s="721" t="s">
        <v>659</v>
      </c>
    </row>
    <row r="70" spans="1:44" ht="77.25" customHeight="1">
      <c r="A70" s="984"/>
      <c r="B70" s="984"/>
      <c r="C70" s="1136"/>
      <c r="D70" s="1138"/>
      <c r="E70" s="216">
        <f t="shared" si="63"/>
        <v>46</v>
      </c>
      <c r="F70" s="218" t="s">
        <v>134</v>
      </c>
      <c r="G70" s="1140"/>
      <c r="H70" s="940"/>
      <c r="I70" s="1136"/>
      <c r="J70" s="950"/>
      <c r="K70" s="1136"/>
      <c r="L70" s="254"/>
      <c r="M70" s="254"/>
      <c r="N70" s="254"/>
      <c r="O70" s="254"/>
      <c r="P70" s="254"/>
      <c r="Q70" s="254"/>
      <c r="R70" s="254"/>
      <c r="S70" s="254"/>
      <c r="T70" s="254">
        <v>3</v>
      </c>
      <c r="U70" s="254"/>
      <c r="V70" s="254"/>
      <c r="W70" s="254">
        <v>450</v>
      </c>
      <c r="X70" s="254"/>
      <c r="Y70" s="254"/>
      <c r="Z70" s="254">
        <v>34</v>
      </c>
      <c r="AA70" s="254"/>
      <c r="AB70" s="254"/>
      <c r="AC70" s="254">
        <v>1600</v>
      </c>
      <c r="AD70" s="254">
        <v>9</v>
      </c>
      <c r="AE70" s="254"/>
      <c r="AF70" s="254"/>
      <c r="AG70" s="254">
        <v>1350</v>
      </c>
      <c r="AH70" s="254"/>
      <c r="AI70" s="254"/>
      <c r="AJ70" s="254">
        <f t="shared" si="64"/>
        <v>3400</v>
      </c>
      <c r="AK70" s="254"/>
      <c r="AL70" s="254"/>
      <c r="AM70" s="254"/>
      <c r="AN70" s="254"/>
      <c r="AO70" s="254">
        <f t="shared" si="65"/>
        <v>3400</v>
      </c>
      <c r="AP70" s="940" t="s">
        <v>657</v>
      </c>
      <c r="AQ70" s="940" t="s">
        <v>658</v>
      </c>
      <c r="AR70" s="721" t="s">
        <v>659</v>
      </c>
    </row>
    <row r="71" spans="1:44" ht="77.25" customHeight="1">
      <c r="A71" s="935" t="s">
        <v>44</v>
      </c>
      <c r="B71" s="935" t="s">
        <v>829</v>
      </c>
      <c r="C71" s="1135" t="s">
        <v>840</v>
      </c>
      <c r="D71" s="1137" t="s">
        <v>841</v>
      </c>
      <c r="E71" s="216">
        <f t="shared" si="63"/>
        <v>142</v>
      </c>
      <c r="F71" s="218" t="s">
        <v>131</v>
      </c>
      <c r="G71" s="1139" t="s">
        <v>842</v>
      </c>
      <c r="H71" s="939" t="s">
        <v>843</v>
      </c>
      <c r="I71" s="1135">
        <v>4</v>
      </c>
      <c r="J71" s="950"/>
      <c r="K71" s="1135">
        <v>4</v>
      </c>
      <c r="L71" s="254"/>
      <c r="M71" s="254"/>
      <c r="N71" s="254"/>
      <c r="O71" s="254"/>
      <c r="P71" s="254"/>
      <c r="Q71" s="254"/>
      <c r="R71" s="254">
        <v>8</v>
      </c>
      <c r="S71" s="254">
        <v>8</v>
      </c>
      <c r="T71" s="254">
        <v>8</v>
      </c>
      <c r="U71" s="254">
        <v>240</v>
      </c>
      <c r="V71" s="254">
        <v>240</v>
      </c>
      <c r="W71" s="254">
        <v>240</v>
      </c>
      <c r="X71" s="254">
        <v>12</v>
      </c>
      <c r="Y71" s="254">
        <v>26</v>
      </c>
      <c r="Z71" s="254">
        <v>26</v>
      </c>
      <c r="AA71" s="254">
        <v>240</v>
      </c>
      <c r="AB71" s="254">
        <v>840</v>
      </c>
      <c r="AC71" s="254">
        <v>1080</v>
      </c>
      <c r="AD71" s="254">
        <v>18</v>
      </c>
      <c r="AE71" s="254">
        <v>18</v>
      </c>
      <c r="AF71" s="254">
        <v>18</v>
      </c>
      <c r="AG71" s="254">
        <v>480</v>
      </c>
      <c r="AH71" s="254">
        <v>720</v>
      </c>
      <c r="AI71" s="254">
        <v>330</v>
      </c>
      <c r="AJ71" s="254">
        <f t="shared" si="64"/>
        <v>4410</v>
      </c>
      <c r="AK71" s="254"/>
      <c r="AL71" s="254"/>
      <c r="AM71" s="254"/>
      <c r="AN71" s="254"/>
      <c r="AO71" s="254">
        <f t="shared" si="65"/>
        <v>4410</v>
      </c>
      <c r="AP71" s="939" t="s">
        <v>657</v>
      </c>
      <c r="AQ71" s="939" t="s">
        <v>658</v>
      </c>
      <c r="AR71" s="721" t="s">
        <v>659</v>
      </c>
    </row>
    <row r="72" spans="1:44" ht="77.25" customHeight="1">
      <c r="A72" s="984"/>
      <c r="B72" s="984"/>
      <c r="C72" s="1136"/>
      <c r="D72" s="1138"/>
      <c r="E72" s="216">
        <f t="shared" si="63"/>
        <v>72</v>
      </c>
      <c r="F72" s="218" t="s">
        <v>134</v>
      </c>
      <c r="G72" s="1140"/>
      <c r="H72" s="940"/>
      <c r="I72" s="1136"/>
      <c r="J72" s="951"/>
      <c r="K72" s="1136"/>
      <c r="L72" s="254"/>
      <c r="M72" s="254"/>
      <c r="N72" s="254"/>
      <c r="O72" s="254"/>
      <c r="P72" s="254"/>
      <c r="Q72" s="254"/>
      <c r="R72" s="254">
        <v>4</v>
      </c>
      <c r="S72" s="254">
        <v>4</v>
      </c>
      <c r="T72" s="254">
        <v>4</v>
      </c>
      <c r="U72" s="254">
        <v>160</v>
      </c>
      <c r="V72" s="254">
        <v>160</v>
      </c>
      <c r="W72" s="254">
        <v>160</v>
      </c>
      <c r="X72" s="254">
        <v>8</v>
      </c>
      <c r="Y72" s="254">
        <v>14</v>
      </c>
      <c r="Z72" s="254">
        <v>14</v>
      </c>
      <c r="AA72" s="254">
        <v>160</v>
      </c>
      <c r="AB72" s="254">
        <v>460</v>
      </c>
      <c r="AC72" s="254">
        <v>620</v>
      </c>
      <c r="AD72" s="254">
        <v>8</v>
      </c>
      <c r="AE72" s="254">
        <v>8</v>
      </c>
      <c r="AF72" s="254">
        <v>8</v>
      </c>
      <c r="AG72" s="254">
        <v>320</v>
      </c>
      <c r="AH72" s="254">
        <v>480</v>
      </c>
      <c r="AI72" s="254">
        <v>220</v>
      </c>
      <c r="AJ72" s="254">
        <f t="shared" si="64"/>
        <v>2740</v>
      </c>
      <c r="AK72" s="254"/>
      <c r="AL72" s="254"/>
      <c r="AM72" s="254"/>
      <c r="AN72" s="254"/>
      <c r="AO72" s="254">
        <f t="shared" si="65"/>
        <v>2740</v>
      </c>
      <c r="AP72" s="940" t="s">
        <v>657</v>
      </c>
      <c r="AQ72" s="940" t="s">
        <v>658</v>
      </c>
      <c r="AR72" s="721" t="s">
        <v>659</v>
      </c>
    </row>
    <row r="73" spans="1:44" ht="78.75">
      <c r="A73" s="152" t="s">
        <v>184</v>
      </c>
      <c r="B73" s="152" t="s">
        <v>185</v>
      </c>
      <c r="C73" s="211" t="s">
        <v>844</v>
      </c>
      <c r="D73" s="212" t="s">
        <v>845</v>
      </c>
      <c r="E73" s="213"/>
      <c r="F73" s="130"/>
      <c r="G73" s="131"/>
      <c r="H73" s="131"/>
      <c r="I73" s="211">
        <v>5</v>
      </c>
      <c r="J73" s="134">
        <v>5</v>
      </c>
      <c r="K73" s="134"/>
      <c r="L73" s="135"/>
      <c r="M73" s="135"/>
      <c r="N73" s="135"/>
      <c r="O73" s="135"/>
      <c r="P73" s="135">
        <f t="shared" ref="P73:AO73" si="66">SUM(P74:P77)</f>
        <v>950</v>
      </c>
      <c r="Q73" s="135">
        <f t="shared" si="66"/>
        <v>70100</v>
      </c>
      <c r="R73" s="135"/>
      <c r="S73" s="135"/>
      <c r="T73" s="135"/>
      <c r="U73" s="135">
        <f t="shared" si="66"/>
        <v>58600</v>
      </c>
      <c r="V73" s="135">
        <f t="shared" si="66"/>
        <v>79500</v>
      </c>
      <c r="W73" s="135">
        <f t="shared" si="66"/>
        <v>95909</v>
      </c>
      <c r="X73" s="135"/>
      <c r="Y73" s="135"/>
      <c r="Z73" s="135"/>
      <c r="AA73" s="135">
        <f t="shared" si="66"/>
        <v>79500</v>
      </c>
      <c r="AB73" s="135">
        <f t="shared" si="66"/>
        <v>50000</v>
      </c>
      <c r="AC73" s="135">
        <f t="shared" si="66"/>
        <v>54411</v>
      </c>
      <c r="AD73" s="135"/>
      <c r="AE73" s="135"/>
      <c r="AF73" s="135"/>
      <c r="AG73" s="135">
        <f t="shared" si="66"/>
        <v>36000</v>
      </c>
      <c r="AH73" s="135">
        <f t="shared" si="66"/>
        <v>90180</v>
      </c>
      <c r="AI73" s="135"/>
      <c r="AJ73" s="135">
        <f t="shared" si="66"/>
        <v>615150</v>
      </c>
      <c r="AK73" s="135"/>
      <c r="AL73" s="135"/>
      <c r="AM73" s="135"/>
      <c r="AN73" s="135"/>
      <c r="AO73" s="135">
        <f t="shared" si="66"/>
        <v>615150</v>
      </c>
      <c r="AP73" s="131"/>
      <c r="AQ73" s="131"/>
      <c r="AR73" s="131"/>
    </row>
    <row r="74" spans="1:44" ht="110.25">
      <c r="A74" s="258" t="s">
        <v>184</v>
      </c>
      <c r="B74" s="258" t="s">
        <v>185</v>
      </c>
      <c r="C74" s="214" t="s">
        <v>846</v>
      </c>
      <c r="D74" s="215" t="s">
        <v>847</v>
      </c>
      <c r="E74" s="216">
        <f t="shared" ref="E74:E77" si="67">SUM(L74,M74,N74,R74,S74,T74,X74,Y74,Z74,AD74,AE74,AF74)</f>
        <v>68</v>
      </c>
      <c r="F74" s="218" t="s">
        <v>213</v>
      </c>
      <c r="G74" s="219" t="s">
        <v>848</v>
      </c>
      <c r="H74" s="221" t="s">
        <v>849</v>
      </c>
      <c r="I74" s="214">
        <v>60</v>
      </c>
      <c r="J74" s="949"/>
      <c r="K74" s="214">
        <v>60</v>
      </c>
      <c r="L74" s="254"/>
      <c r="M74" s="254"/>
      <c r="N74" s="254">
        <v>9</v>
      </c>
      <c r="O74" s="254"/>
      <c r="P74" s="254"/>
      <c r="Q74" s="254">
        <v>56100</v>
      </c>
      <c r="R74" s="254">
        <v>20</v>
      </c>
      <c r="S74" s="254">
        <v>5</v>
      </c>
      <c r="T74" s="254">
        <v>10</v>
      </c>
      <c r="U74" s="254">
        <v>58600</v>
      </c>
      <c r="V74" s="254">
        <v>52500</v>
      </c>
      <c r="W74" s="254">
        <v>54000</v>
      </c>
      <c r="X74" s="254">
        <v>5</v>
      </c>
      <c r="Y74" s="254">
        <v>5</v>
      </c>
      <c r="Z74" s="254">
        <v>5</v>
      </c>
      <c r="AA74" s="254">
        <v>52500</v>
      </c>
      <c r="AB74" s="254">
        <v>50000</v>
      </c>
      <c r="AC74" s="254">
        <v>14500</v>
      </c>
      <c r="AD74" s="254">
        <v>7</v>
      </c>
      <c r="AE74" s="254">
        <v>2</v>
      </c>
      <c r="AF74" s="254"/>
      <c r="AG74" s="254">
        <v>9000</v>
      </c>
      <c r="AH74" s="254">
        <v>19000</v>
      </c>
      <c r="AI74" s="254"/>
      <c r="AJ74" s="254">
        <f t="shared" ref="AJ74:AJ77" si="68">SUM(O74,P74,Q74,U74,V74,W74,AA74,AB74,AC74,AG74,AH74,AI74)</f>
        <v>366200</v>
      </c>
      <c r="AK74" s="254"/>
      <c r="AL74" s="254"/>
      <c r="AM74" s="254"/>
      <c r="AN74" s="254"/>
      <c r="AO74" s="254">
        <f t="shared" ref="AO74:AO77" si="69">+AJ74</f>
        <v>366200</v>
      </c>
      <c r="AP74" s="721" t="s">
        <v>657</v>
      </c>
      <c r="AQ74" s="721" t="s">
        <v>658</v>
      </c>
      <c r="AR74" s="721" t="s">
        <v>659</v>
      </c>
    </row>
    <row r="75" spans="1:44" ht="77.25" customHeight="1">
      <c r="A75" s="935" t="s">
        <v>184</v>
      </c>
      <c r="B75" s="935" t="s">
        <v>185</v>
      </c>
      <c r="C75" s="935" t="s">
        <v>850</v>
      </c>
      <c r="D75" s="1137" t="s">
        <v>851</v>
      </c>
      <c r="E75" s="216">
        <f t="shared" si="67"/>
        <v>418</v>
      </c>
      <c r="F75" s="218" t="s">
        <v>131</v>
      </c>
      <c r="G75" s="1139" t="s">
        <v>852</v>
      </c>
      <c r="H75" s="939" t="s">
        <v>853</v>
      </c>
      <c r="I75" s="1135">
        <v>40</v>
      </c>
      <c r="J75" s="950"/>
      <c r="K75" s="1135">
        <v>40</v>
      </c>
      <c r="L75" s="254"/>
      <c r="M75" s="254">
        <v>11</v>
      </c>
      <c r="N75" s="254">
        <v>28</v>
      </c>
      <c r="O75" s="254"/>
      <c r="P75" s="254">
        <v>342</v>
      </c>
      <c r="Q75" s="254">
        <v>2760</v>
      </c>
      <c r="R75" s="254"/>
      <c r="S75" s="254">
        <v>20</v>
      </c>
      <c r="T75" s="254">
        <v>29</v>
      </c>
      <c r="U75" s="254"/>
      <c r="V75" s="254">
        <v>5160</v>
      </c>
      <c r="W75" s="254">
        <v>36581</v>
      </c>
      <c r="X75" s="254">
        <v>20</v>
      </c>
      <c r="Y75" s="254"/>
      <c r="Z75" s="254">
        <v>90</v>
      </c>
      <c r="AA75" s="254">
        <v>5160</v>
      </c>
      <c r="AB75" s="254"/>
      <c r="AC75" s="254">
        <v>7740</v>
      </c>
      <c r="AD75" s="254">
        <v>20</v>
      </c>
      <c r="AE75" s="254">
        <v>200</v>
      </c>
      <c r="AF75" s="254"/>
      <c r="AG75" s="254">
        <v>5160</v>
      </c>
      <c r="AH75" s="254">
        <v>14100</v>
      </c>
      <c r="AI75" s="254"/>
      <c r="AJ75" s="254">
        <f t="shared" si="68"/>
        <v>77003</v>
      </c>
      <c r="AK75" s="254"/>
      <c r="AL75" s="254"/>
      <c r="AM75" s="254"/>
      <c r="AN75" s="254"/>
      <c r="AO75" s="254">
        <f t="shared" si="69"/>
        <v>77003</v>
      </c>
      <c r="AP75" s="939" t="s">
        <v>657</v>
      </c>
      <c r="AQ75" s="939" t="s">
        <v>658</v>
      </c>
      <c r="AR75" s="721" t="s">
        <v>659</v>
      </c>
    </row>
    <row r="76" spans="1:44" ht="77.25" customHeight="1">
      <c r="A76" s="936"/>
      <c r="B76" s="936"/>
      <c r="C76" s="936"/>
      <c r="D76" s="1145"/>
      <c r="E76" s="216">
        <f t="shared" si="67"/>
        <v>672</v>
      </c>
      <c r="F76" s="218" t="s">
        <v>134</v>
      </c>
      <c r="G76" s="1140"/>
      <c r="H76" s="940"/>
      <c r="I76" s="1141"/>
      <c r="J76" s="950"/>
      <c r="K76" s="1141"/>
      <c r="L76" s="254"/>
      <c r="M76" s="254">
        <v>5</v>
      </c>
      <c r="N76" s="254">
        <v>52</v>
      </c>
      <c r="O76" s="254"/>
      <c r="P76" s="254">
        <v>228</v>
      </c>
      <c r="Q76" s="254">
        <v>10440</v>
      </c>
      <c r="R76" s="254"/>
      <c r="S76" s="254">
        <v>80</v>
      </c>
      <c r="T76" s="254">
        <v>53</v>
      </c>
      <c r="U76" s="254"/>
      <c r="V76" s="254">
        <v>20640</v>
      </c>
      <c r="W76" s="254">
        <v>1548</v>
      </c>
      <c r="X76" s="254">
        <v>80</v>
      </c>
      <c r="Y76" s="254"/>
      <c r="Z76" s="254">
        <v>122</v>
      </c>
      <c r="AA76" s="254">
        <v>20640</v>
      </c>
      <c r="AB76" s="254"/>
      <c r="AC76" s="254">
        <v>22960</v>
      </c>
      <c r="AD76" s="254">
        <v>80</v>
      </c>
      <c r="AE76" s="254">
        <v>200</v>
      </c>
      <c r="AF76" s="254"/>
      <c r="AG76" s="254">
        <v>20640</v>
      </c>
      <c r="AH76" s="254">
        <v>28800</v>
      </c>
      <c r="AI76" s="254"/>
      <c r="AJ76" s="254">
        <f t="shared" si="68"/>
        <v>125896</v>
      </c>
      <c r="AK76" s="254"/>
      <c r="AL76" s="254"/>
      <c r="AM76" s="254"/>
      <c r="AN76" s="254"/>
      <c r="AO76" s="254">
        <f t="shared" si="69"/>
        <v>125896</v>
      </c>
      <c r="AP76" s="940" t="s">
        <v>657</v>
      </c>
      <c r="AQ76" s="940" t="s">
        <v>658</v>
      </c>
      <c r="AR76" s="721" t="s">
        <v>659</v>
      </c>
    </row>
    <row r="77" spans="1:44" ht="63">
      <c r="A77" s="984"/>
      <c r="B77" s="984"/>
      <c r="C77" s="984"/>
      <c r="D77" s="1144"/>
      <c r="E77" s="216">
        <f t="shared" si="67"/>
        <v>34</v>
      </c>
      <c r="F77" s="218" t="s">
        <v>196</v>
      </c>
      <c r="G77" s="219" t="s">
        <v>854</v>
      </c>
      <c r="H77" s="222" t="s">
        <v>855</v>
      </c>
      <c r="I77" s="1142"/>
      <c r="J77" s="951"/>
      <c r="K77" s="1142"/>
      <c r="L77" s="254"/>
      <c r="M77" s="254">
        <v>1</v>
      </c>
      <c r="N77" s="254">
        <v>3</v>
      </c>
      <c r="O77" s="254"/>
      <c r="P77" s="254">
        <v>380</v>
      </c>
      <c r="Q77" s="254">
        <v>800</v>
      </c>
      <c r="R77" s="254"/>
      <c r="S77" s="254">
        <v>4</v>
      </c>
      <c r="T77" s="254">
        <v>2</v>
      </c>
      <c r="U77" s="254"/>
      <c r="V77" s="254">
        <v>1200</v>
      </c>
      <c r="W77" s="254">
        <v>3780</v>
      </c>
      <c r="X77" s="254">
        <v>4</v>
      </c>
      <c r="Y77" s="254"/>
      <c r="Z77" s="254">
        <v>7</v>
      </c>
      <c r="AA77" s="254">
        <v>1200</v>
      </c>
      <c r="AB77" s="254"/>
      <c r="AC77" s="254">
        <v>9211</v>
      </c>
      <c r="AD77" s="254">
        <v>4</v>
      </c>
      <c r="AE77" s="254">
        <v>9</v>
      </c>
      <c r="AF77" s="254"/>
      <c r="AG77" s="254">
        <v>1200</v>
      </c>
      <c r="AH77" s="254">
        <v>28280</v>
      </c>
      <c r="AI77" s="254"/>
      <c r="AJ77" s="254">
        <f t="shared" si="68"/>
        <v>46051</v>
      </c>
      <c r="AK77" s="254"/>
      <c r="AL77" s="254"/>
      <c r="AM77" s="254"/>
      <c r="AN77" s="254"/>
      <c r="AO77" s="254">
        <f t="shared" si="69"/>
        <v>46051</v>
      </c>
      <c r="AP77" s="721" t="s">
        <v>657</v>
      </c>
      <c r="AQ77" s="721" t="s">
        <v>658</v>
      </c>
      <c r="AR77" s="721" t="s">
        <v>659</v>
      </c>
    </row>
    <row r="78" spans="1:44" ht="78.75">
      <c r="A78" s="152" t="s">
        <v>184</v>
      </c>
      <c r="B78" s="152" t="s">
        <v>521</v>
      </c>
      <c r="C78" s="211" t="s">
        <v>856</v>
      </c>
      <c r="D78" s="212" t="s">
        <v>857</v>
      </c>
      <c r="E78" s="213"/>
      <c r="F78" s="130"/>
      <c r="G78" s="131"/>
      <c r="H78" s="131"/>
      <c r="I78" s="211">
        <v>3</v>
      </c>
      <c r="J78" s="134">
        <v>3</v>
      </c>
      <c r="K78" s="134"/>
      <c r="L78" s="135"/>
      <c r="M78" s="135"/>
      <c r="N78" s="135"/>
      <c r="O78" s="135">
        <f t="shared" ref="O78:Q78" si="70">SUM(O79:O80)</f>
        <v>2000</v>
      </c>
      <c r="P78" s="135">
        <f t="shared" si="70"/>
        <v>38000</v>
      </c>
      <c r="Q78" s="135">
        <f t="shared" si="70"/>
        <v>24000</v>
      </c>
      <c r="R78" s="135"/>
      <c r="S78" s="135"/>
      <c r="T78" s="135"/>
      <c r="U78" s="135">
        <f t="shared" ref="U78:W78" si="71">SUM(U79:U80)</f>
        <v>16000</v>
      </c>
      <c r="V78" s="135">
        <f t="shared" si="71"/>
        <v>36000</v>
      </c>
      <c r="W78" s="135">
        <f t="shared" si="71"/>
        <v>31000</v>
      </c>
      <c r="X78" s="135"/>
      <c r="Y78" s="135"/>
      <c r="Z78" s="135"/>
      <c r="AA78" s="135">
        <f t="shared" ref="AA78:AC78" si="72">SUM(AA79:AA80)</f>
        <v>56000</v>
      </c>
      <c r="AB78" s="135">
        <f t="shared" si="72"/>
        <v>33000</v>
      </c>
      <c r="AC78" s="135">
        <f t="shared" si="72"/>
        <v>55000</v>
      </c>
      <c r="AD78" s="135"/>
      <c r="AE78" s="135"/>
      <c r="AF78" s="135"/>
      <c r="AG78" s="135">
        <f t="shared" ref="AG78:AJ78" si="73">SUM(AG79:AG80)</f>
        <v>30200</v>
      </c>
      <c r="AH78" s="135">
        <f t="shared" si="73"/>
        <v>54000</v>
      </c>
      <c r="AI78" s="135">
        <f t="shared" si="73"/>
        <v>4000</v>
      </c>
      <c r="AJ78" s="135">
        <f t="shared" si="73"/>
        <v>379200</v>
      </c>
      <c r="AK78" s="135"/>
      <c r="AL78" s="135"/>
      <c r="AM78" s="135"/>
      <c r="AN78" s="135"/>
      <c r="AO78" s="135">
        <f t="shared" ref="AO78" si="74">SUM(AO79:AO80)</f>
        <v>379200</v>
      </c>
      <c r="AP78" s="131"/>
      <c r="AQ78" s="131"/>
      <c r="AR78" s="131"/>
    </row>
    <row r="79" spans="1:44" ht="78.75">
      <c r="A79" s="258" t="s">
        <v>184</v>
      </c>
      <c r="B79" s="258" t="s">
        <v>521</v>
      </c>
      <c r="C79" s="214" t="s">
        <v>858</v>
      </c>
      <c r="D79" s="215" t="s">
        <v>859</v>
      </c>
      <c r="E79" s="216">
        <f>MAX(L79,M79,N79,R79,S79,T79,X79,Y79,Z79,AD79,AE79,AF79)</f>
        <v>8</v>
      </c>
      <c r="F79" s="218" t="s">
        <v>213</v>
      </c>
      <c r="G79" s="219" t="s">
        <v>860</v>
      </c>
      <c r="H79" s="221" t="s">
        <v>861</v>
      </c>
      <c r="I79" s="136">
        <v>39</v>
      </c>
      <c r="J79" s="949"/>
      <c r="K79" s="136">
        <v>39</v>
      </c>
      <c r="L79" s="254">
        <v>4</v>
      </c>
      <c r="M79" s="254">
        <v>6</v>
      </c>
      <c r="N79" s="254">
        <v>8</v>
      </c>
      <c r="O79" s="254">
        <v>2000</v>
      </c>
      <c r="P79" s="254">
        <v>3000</v>
      </c>
      <c r="Q79" s="254">
        <v>16000</v>
      </c>
      <c r="R79" s="254">
        <v>8</v>
      </c>
      <c r="S79" s="254">
        <v>8</v>
      </c>
      <c r="T79" s="254">
        <v>8</v>
      </c>
      <c r="U79" s="254">
        <v>16000</v>
      </c>
      <c r="V79" s="254">
        <v>20000</v>
      </c>
      <c r="W79" s="254">
        <v>16000</v>
      </c>
      <c r="X79" s="254">
        <v>8</v>
      </c>
      <c r="Y79" s="254">
        <v>8</v>
      </c>
      <c r="Z79" s="254">
        <v>8</v>
      </c>
      <c r="AA79" s="254">
        <v>16000</v>
      </c>
      <c r="AB79" s="254">
        <v>33000</v>
      </c>
      <c r="AC79" s="254">
        <v>14000</v>
      </c>
      <c r="AD79" s="254">
        <v>8</v>
      </c>
      <c r="AE79" s="254">
        <v>8</v>
      </c>
      <c r="AF79" s="254">
        <v>8</v>
      </c>
      <c r="AG79" s="254">
        <v>5200</v>
      </c>
      <c r="AH79" s="254">
        <v>4000</v>
      </c>
      <c r="AI79" s="254">
        <v>4000</v>
      </c>
      <c r="AJ79" s="254">
        <f t="shared" ref="AJ79:AJ80" si="75">SUM(O79,P79,Q79,U79,V79,W79,AA79,AB79,AC79,AG79,AH79,AI79)</f>
        <v>149200</v>
      </c>
      <c r="AK79" s="254"/>
      <c r="AL79" s="254"/>
      <c r="AM79" s="254"/>
      <c r="AN79" s="254"/>
      <c r="AO79" s="254">
        <f t="shared" ref="AO79:AO80" si="76">+AJ79</f>
        <v>149200</v>
      </c>
      <c r="AP79" s="721" t="s">
        <v>657</v>
      </c>
      <c r="AQ79" s="721" t="s">
        <v>658</v>
      </c>
      <c r="AR79" s="721" t="s">
        <v>862</v>
      </c>
    </row>
    <row r="80" spans="1:44" ht="63">
      <c r="A80" s="258" t="s">
        <v>184</v>
      </c>
      <c r="B80" s="258" t="s">
        <v>521</v>
      </c>
      <c r="C80" s="214" t="s">
        <v>863</v>
      </c>
      <c r="D80" s="215" t="s">
        <v>864</v>
      </c>
      <c r="E80" s="216">
        <f t="shared" ref="E80" si="77">SUM(L80,M80,N80,R80,S80,T80,X80,Y80,Z80,AD80,AE80,AF80)</f>
        <v>355</v>
      </c>
      <c r="F80" s="218" t="s">
        <v>865</v>
      </c>
      <c r="G80" s="219" t="s">
        <v>866</v>
      </c>
      <c r="H80" s="221" t="s">
        <v>867</v>
      </c>
      <c r="I80" s="136">
        <v>61</v>
      </c>
      <c r="J80" s="951"/>
      <c r="K80" s="136">
        <v>61</v>
      </c>
      <c r="L80" s="254"/>
      <c r="M80" s="254">
        <v>70</v>
      </c>
      <c r="N80" s="254">
        <v>10</v>
      </c>
      <c r="O80" s="254"/>
      <c r="P80" s="254">
        <v>35000</v>
      </c>
      <c r="Q80" s="254">
        <v>8000</v>
      </c>
      <c r="R80" s="254"/>
      <c r="S80" s="254">
        <v>20</v>
      </c>
      <c r="T80" s="254">
        <v>30</v>
      </c>
      <c r="U80" s="254"/>
      <c r="V80" s="254">
        <v>16000</v>
      </c>
      <c r="W80" s="254">
        <v>15000</v>
      </c>
      <c r="X80" s="254">
        <v>80</v>
      </c>
      <c r="Y80" s="254"/>
      <c r="Z80" s="254">
        <v>70</v>
      </c>
      <c r="AA80" s="254">
        <v>40000</v>
      </c>
      <c r="AB80" s="254"/>
      <c r="AC80" s="254">
        <v>41000</v>
      </c>
      <c r="AD80" s="254">
        <v>50</v>
      </c>
      <c r="AE80" s="254">
        <v>25</v>
      </c>
      <c r="AF80" s="254"/>
      <c r="AG80" s="254">
        <v>25000</v>
      </c>
      <c r="AH80" s="254">
        <v>50000</v>
      </c>
      <c r="AI80" s="254"/>
      <c r="AJ80" s="254">
        <f t="shared" si="75"/>
        <v>230000</v>
      </c>
      <c r="AK80" s="254"/>
      <c r="AL80" s="254"/>
      <c r="AM80" s="254"/>
      <c r="AN80" s="254"/>
      <c r="AO80" s="254">
        <f t="shared" si="76"/>
        <v>230000</v>
      </c>
      <c r="AP80" s="721" t="s">
        <v>657</v>
      </c>
      <c r="AQ80" s="721" t="s">
        <v>658</v>
      </c>
      <c r="AR80" s="721" t="s">
        <v>659</v>
      </c>
    </row>
    <row r="81" spans="1:44" ht="47.25">
      <c r="A81" s="152" t="s">
        <v>868</v>
      </c>
      <c r="B81" s="152" t="s">
        <v>869</v>
      </c>
      <c r="C81" s="211" t="s">
        <v>870</v>
      </c>
      <c r="D81" s="212" t="s">
        <v>871</v>
      </c>
      <c r="E81" s="213"/>
      <c r="F81" s="130"/>
      <c r="G81" s="131"/>
      <c r="H81" s="131"/>
      <c r="I81" s="211">
        <v>12</v>
      </c>
      <c r="J81" s="134">
        <v>12</v>
      </c>
      <c r="K81" s="134"/>
      <c r="L81" s="135"/>
      <c r="M81" s="135"/>
      <c r="N81" s="135"/>
      <c r="O81" s="135"/>
      <c r="P81" s="135">
        <f t="shared" ref="P81:Q89" si="78">SUM(P82:P82)</f>
        <v>55000</v>
      </c>
      <c r="Q81" s="135">
        <f t="shared" si="78"/>
        <v>110000</v>
      </c>
      <c r="R81" s="135"/>
      <c r="S81" s="135"/>
      <c r="T81" s="135"/>
      <c r="U81" s="135">
        <f t="shared" ref="U81:W81" si="79">SUM(U82:U82)</f>
        <v>160000</v>
      </c>
      <c r="V81" s="135">
        <f t="shared" si="79"/>
        <v>110000</v>
      </c>
      <c r="W81" s="135">
        <f t="shared" si="79"/>
        <v>110000</v>
      </c>
      <c r="X81" s="135"/>
      <c r="Y81" s="135"/>
      <c r="Z81" s="135"/>
      <c r="AA81" s="135">
        <f t="shared" ref="AA81:AC81" si="80">SUM(AA82:AA82)</f>
        <v>325171</v>
      </c>
      <c r="AB81" s="135">
        <f t="shared" si="80"/>
        <v>123750</v>
      </c>
      <c r="AC81" s="135">
        <f t="shared" si="80"/>
        <v>175400</v>
      </c>
      <c r="AD81" s="135"/>
      <c r="AE81" s="135"/>
      <c r="AF81" s="135"/>
      <c r="AG81" s="135">
        <f t="shared" ref="AG81:AH81" si="81">SUM(AG82:AG82)</f>
        <v>144375</v>
      </c>
      <c r="AH81" s="135">
        <f t="shared" si="81"/>
        <v>89375</v>
      </c>
      <c r="AI81" s="135"/>
      <c r="AJ81" s="135">
        <f t="shared" ref="AJ81" si="82">SUM(AJ82:AJ82)</f>
        <v>1403071</v>
      </c>
      <c r="AK81" s="135"/>
      <c r="AL81" s="135"/>
      <c r="AM81" s="135"/>
      <c r="AN81" s="135"/>
      <c r="AO81" s="135">
        <f t="shared" ref="AO81" si="83">SUM(AO82:AO82)</f>
        <v>1403071</v>
      </c>
      <c r="AP81" s="131"/>
      <c r="AQ81" s="131"/>
      <c r="AR81" s="131"/>
    </row>
    <row r="82" spans="1:44" ht="47.25">
      <c r="A82" s="258" t="s">
        <v>868</v>
      </c>
      <c r="B82" s="258" t="s">
        <v>869</v>
      </c>
      <c r="C82" s="214" t="s">
        <v>872</v>
      </c>
      <c r="D82" s="215" t="s">
        <v>873</v>
      </c>
      <c r="E82" s="216">
        <f>SUM(L82,M82,N82,R82,S82,T82,X82,Y82,Z82,AD82,AE82,AF82)</f>
        <v>3845</v>
      </c>
      <c r="F82" s="218" t="s">
        <v>874</v>
      </c>
      <c r="G82" s="219" t="s">
        <v>875</v>
      </c>
      <c r="H82" s="221" t="s">
        <v>876</v>
      </c>
      <c r="I82" s="214">
        <v>100</v>
      </c>
      <c r="J82" s="136"/>
      <c r="K82" s="214">
        <v>100</v>
      </c>
      <c r="L82" s="254"/>
      <c r="M82" s="254">
        <v>200</v>
      </c>
      <c r="N82" s="254">
        <v>300</v>
      </c>
      <c r="O82" s="254"/>
      <c r="P82" s="254">
        <v>55000</v>
      </c>
      <c r="Q82" s="254">
        <v>110000</v>
      </c>
      <c r="R82" s="254">
        <v>301</v>
      </c>
      <c r="S82" s="254">
        <v>300</v>
      </c>
      <c r="T82" s="254">
        <v>300</v>
      </c>
      <c r="U82" s="254">
        <v>160000</v>
      </c>
      <c r="V82" s="254">
        <v>110000</v>
      </c>
      <c r="W82" s="254">
        <v>110000</v>
      </c>
      <c r="X82" s="254">
        <v>987</v>
      </c>
      <c r="Y82" s="254">
        <v>350</v>
      </c>
      <c r="Z82" s="254">
        <v>357</v>
      </c>
      <c r="AA82" s="254">
        <v>325171</v>
      </c>
      <c r="AB82" s="254">
        <v>123750</v>
      </c>
      <c r="AC82" s="254">
        <v>175400</v>
      </c>
      <c r="AD82" s="254">
        <v>425</v>
      </c>
      <c r="AE82" s="254">
        <v>325</v>
      </c>
      <c r="AF82" s="254"/>
      <c r="AG82" s="254">
        <v>144375</v>
      </c>
      <c r="AH82" s="254">
        <v>89375</v>
      </c>
      <c r="AI82" s="254"/>
      <c r="AJ82" s="254">
        <f>SUM(O82,P82,Q82,U82,V82,W82,AA82,AB82,AC82,AG82,AH82,AI82)</f>
        <v>1403071</v>
      </c>
      <c r="AK82" s="254"/>
      <c r="AL82" s="254"/>
      <c r="AM82" s="254"/>
      <c r="AN82" s="254"/>
      <c r="AO82" s="254">
        <f>+AJ82</f>
        <v>1403071</v>
      </c>
      <c r="AP82" s="721" t="s">
        <v>657</v>
      </c>
      <c r="AQ82" s="721" t="s">
        <v>658</v>
      </c>
      <c r="AR82" s="721" t="s">
        <v>659</v>
      </c>
    </row>
    <row r="83" spans="1:44" ht="126">
      <c r="A83" s="152" t="s">
        <v>138</v>
      </c>
      <c r="B83" s="152" t="s">
        <v>877</v>
      </c>
      <c r="C83" s="211" t="s">
        <v>878</v>
      </c>
      <c r="D83" s="212" t="s">
        <v>879</v>
      </c>
      <c r="E83" s="213"/>
      <c r="F83" s="130"/>
      <c r="G83" s="131"/>
      <c r="H83" s="131"/>
      <c r="I83" s="211">
        <v>7</v>
      </c>
      <c r="J83" s="134">
        <v>7</v>
      </c>
      <c r="K83" s="134"/>
      <c r="L83" s="135"/>
      <c r="M83" s="135"/>
      <c r="N83" s="135"/>
      <c r="O83" s="135"/>
      <c r="P83" s="135"/>
      <c r="Q83" s="135">
        <f t="shared" si="78"/>
        <v>85000</v>
      </c>
      <c r="R83" s="135"/>
      <c r="S83" s="135"/>
      <c r="T83" s="135"/>
      <c r="U83" s="135">
        <f t="shared" ref="U83:W83" si="84">SUM(U84:U84)</f>
        <v>85000</v>
      </c>
      <c r="V83" s="135">
        <f t="shared" si="84"/>
        <v>85000</v>
      </c>
      <c r="W83" s="135">
        <f t="shared" si="84"/>
        <v>85000</v>
      </c>
      <c r="X83" s="135"/>
      <c r="Y83" s="135"/>
      <c r="Z83" s="135"/>
      <c r="AA83" s="135">
        <f t="shared" ref="AA83:AC83" si="85">SUM(AA84:AA84)</f>
        <v>182322</v>
      </c>
      <c r="AB83" s="135">
        <f t="shared" si="85"/>
        <v>85000</v>
      </c>
      <c r="AC83" s="135">
        <f t="shared" si="85"/>
        <v>85000</v>
      </c>
      <c r="AD83" s="135"/>
      <c r="AE83" s="135"/>
      <c r="AF83" s="135"/>
      <c r="AG83" s="135">
        <f t="shared" ref="AG83" si="86">SUM(AG84:AG84)</f>
        <v>85000</v>
      </c>
      <c r="AH83" s="135"/>
      <c r="AI83" s="135"/>
      <c r="AJ83" s="135">
        <f t="shared" ref="AJ83" si="87">SUM(AJ84:AJ84)</f>
        <v>777322</v>
      </c>
      <c r="AK83" s="135"/>
      <c r="AL83" s="135"/>
      <c r="AM83" s="135"/>
      <c r="AN83" s="135"/>
      <c r="AO83" s="135">
        <f t="shared" ref="AO83" si="88">SUM(AO84:AO84)</f>
        <v>777322</v>
      </c>
      <c r="AP83" s="131"/>
      <c r="AQ83" s="131"/>
      <c r="AR83" s="131"/>
    </row>
    <row r="84" spans="1:44" ht="126">
      <c r="A84" s="258" t="s">
        <v>138</v>
      </c>
      <c r="B84" s="695" t="s">
        <v>877</v>
      </c>
      <c r="C84" s="214" t="s">
        <v>880</v>
      </c>
      <c r="D84" s="215" t="s">
        <v>881</v>
      </c>
      <c r="E84" s="216">
        <f>SUM(L84,M84,N84,R84,S84,T84,X84,Y84,Z84,AD84,AE84,AF84)</f>
        <v>864</v>
      </c>
      <c r="F84" s="218" t="s">
        <v>790</v>
      </c>
      <c r="G84" s="219" t="s">
        <v>882</v>
      </c>
      <c r="H84" s="221" t="s">
        <v>883</v>
      </c>
      <c r="I84" s="214">
        <v>100</v>
      </c>
      <c r="J84" s="136"/>
      <c r="K84" s="214">
        <v>100</v>
      </c>
      <c r="L84" s="254"/>
      <c r="M84" s="254"/>
      <c r="N84" s="254">
        <v>100</v>
      </c>
      <c r="O84" s="254"/>
      <c r="P84" s="254"/>
      <c r="Q84" s="254">
        <v>85000</v>
      </c>
      <c r="R84" s="254">
        <v>100</v>
      </c>
      <c r="S84" s="254">
        <v>100</v>
      </c>
      <c r="T84" s="254">
        <v>100</v>
      </c>
      <c r="U84" s="254">
        <v>85000</v>
      </c>
      <c r="V84" s="254">
        <v>85000</v>
      </c>
      <c r="W84" s="254">
        <v>85000</v>
      </c>
      <c r="X84" s="254">
        <v>164</v>
      </c>
      <c r="Y84" s="254">
        <v>100</v>
      </c>
      <c r="Z84" s="254">
        <v>100</v>
      </c>
      <c r="AA84" s="254">
        <v>182322</v>
      </c>
      <c r="AB84" s="254">
        <v>85000</v>
      </c>
      <c r="AC84" s="254">
        <v>85000</v>
      </c>
      <c r="AD84" s="254">
        <v>100</v>
      </c>
      <c r="AE84" s="254"/>
      <c r="AF84" s="254"/>
      <c r="AG84" s="254">
        <v>85000</v>
      </c>
      <c r="AH84" s="254"/>
      <c r="AI84" s="254"/>
      <c r="AJ84" s="254">
        <f>SUM(O84,P84,Q84,U84,V84,W84,AA84,AB84,AC84,AG84,AH84,AI84)</f>
        <v>777322</v>
      </c>
      <c r="AK84" s="254"/>
      <c r="AL84" s="254"/>
      <c r="AM84" s="254"/>
      <c r="AN84" s="254"/>
      <c r="AO84" s="254">
        <f>+AJ84</f>
        <v>777322</v>
      </c>
      <c r="AP84" s="721" t="s">
        <v>657</v>
      </c>
      <c r="AQ84" s="721" t="s">
        <v>658</v>
      </c>
      <c r="AR84" s="721" t="s">
        <v>773</v>
      </c>
    </row>
    <row r="85" spans="1:44" ht="147" customHeight="1">
      <c r="A85" s="152" t="s">
        <v>138</v>
      </c>
      <c r="B85" s="152" t="s">
        <v>139</v>
      </c>
      <c r="C85" s="211" t="s">
        <v>884</v>
      </c>
      <c r="D85" s="212" t="s">
        <v>885</v>
      </c>
      <c r="E85" s="213"/>
      <c r="F85" s="130"/>
      <c r="G85" s="131"/>
      <c r="H85" s="131"/>
      <c r="I85" s="211">
        <v>2</v>
      </c>
      <c r="J85" s="134">
        <v>2</v>
      </c>
      <c r="K85" s="134"/>
      <c r="L85" s="135"/>
      <c r="M85" s="135"/>
      <c r="N85" s="135"/>
      <c r="O85" s="135"/>
      <c r="P85" s="135"/>
      <c r="Q85" s="135">
        <f t="shared" si="78"/>
        <v>51570</v>
      </c>
      <c r="R85" s="135"/>
      <c r="S85" s="135"/>
      <c r="T85" s="135"/>
      <c r="U85" s="135">
        <f t="shared" ref="U85" si="89">SUM(U86:U86)</f>
        <v>139710</v>
      </c>
      <c r="V85" s="135"/>
      <c r="W85" s="135">
        <f t="shared" ref="W85" si="90">SUM(W86:W86)</f>
        <v>19700</v>
      </c>
      <c r="X85" s="135"/>
      <c r="Y85" s="135"/>
      <c r="Z85" s="135"/>
      <c r="AA85" s="135"/>
      <c r="AB85" s="135"/>
      <c r="AC85" s="135"/>
      <c r="AD85" s="135"/>
      <c r="AE85" s="135"/>
      <c r="AF85" s="135"/>
      <c r="AG85" s="135">
        <f t="shared" ref="AG85" si="91">SUM(AG86:AG86)</f>
        <v>12000</v>
      </c>
      <c r="AH85" s="135"/>
      <c r="AI85" s="135"/>
      <c r="AJ85" s="135">
        <f t="shared" ref="AJ85" si="92">SUM(AJ86:AJ86)</f>
        <v>222980</v>
      </c>
      <c r="AK85" s="135"/>
      <c r="AL85" s="135"/>
      <c r="AM85" s="135"/>
      <c r="AN85" s="135"/>
      <c r="AO85" s="135">
        <f t="shared" ref="AO85" si="93">SUM(AO86:AO86)</f>
        <v>222980</v>
      </c>
      <c r="AP85" s="131"/>
      <c r="AQ85" s="131"/>
      <c r="AR85" s="131"/>
    </row>
    <row r="86" spans="1:44" ht="94.5">
      <c r="A86" s="692" t="s">
        <v>138</v>
      </c>
      <c r="B86" s="692" t="s">
        <v>139</v>
      </c>
      <c r="C86" s="214" t="s">
        <v>886</v>
      </c>
      <c r="D86" s="215" t="s">
        <v>887</v>
      </c>
      <c r="E86" s="216">
        <f>SUM(L86,M86,N86,R86,S86,T86,X86,Y86,Z86,AD86,AE86,AF86)</f>
        <v>9</v>
      </c>
      <c r="F86" s="218" t="s">
        <v>231</v>
      </c>
      <c r="G86" s="219" t="s">
        <v>888</v>
      </c>
      <c r="H86" s="221" t="s">
        <v>889</v>
      </c>
      <c r="I86" s="214">
        <v>100</v>
      </c>
      <c r="J86" s="139"/>
      <c r="K86" s="214">
        <v>100</v>
      </c>
      <c r="L86" s="254"/>
      <c r="M86" s="254"/>
      <c r="N86" s="254">
        <v>2</v>
      </c>
      <c r="O86" s="254"/>
      <c r="P86" s="254"/>
      <c r="Q86" s="254">
        <v>51570</v>
      </c>
      <c r="R86" s="254">
        <v>4</v>
      </c>
      <c r="S86" s="254"/>
      <c r="T86" s="254">
        <v>1</v>
      </c>
      <c r="U86" s="254">
        <v>139710</v>
      </c>
      <c r="V86" s="254"/>
      <c r="W86" s="254">
        <v>19700</v>
      </c>
      <c r="X86" s="254"/>
      <c r="Y86" s="254"/>
      <c r="Z86" s="254"/>
      <c r="AA86" s="254"/>
      <c r="AB86" s="254"/>
      <c r="AC86" s="254"/>
      <c r="AD86" s="254">
        <v>2</v>
      </c>
      <c r="AE86" s="254"/>
      <c r="AF86" s="254"/>
      <c r="AG86" s="254">
        <v>12000</v>
      </c>
      <c r="AH86" s="254"/>
      <c r="AI86" s="254"/>
      <c r="AJ86" s="254">
        <f>SUM(O86,P86,Q86,U86,V86,W86,AA86,AB86,AC86,AG86,AH86,AI86)</f>
        <v>222980</v>
      </c>
      <c r="AK86" s="254"/>
      <c r="AL86" s="254"/>
      <c r="AM86" s="254"/>
      <c r="AN86" s="254"/>
      <c r="AO86" s="254">
        <f>+AJ86</f>
        <v>222980</v>
      </c>
      <c r="AP86" s="721" t="s">
        <v>657</v>
      </c>
      <c r="AQ86" s="721" t="s">
        <v>658</v>
      </c>
      <c r="AR86" s="721" t="s">
        <v>659</v>
      </c>
    </row>
    <row r="87" spans="1:44" ht="110.25">
      <c r="A87" s="152" t="s">
        <v>138</v>
      </c>
      <c r="B87" s="152" t="s">
        <v>890</v>
      </c>
      <c r="C87" s="211" t="s">
        <v>891</v>
      </c>
      <c r="D87" s="212" t="s">
        <v>892</v>
      </c>
      <c r="E87" s="213"/>
      <c r="F87" s="130"/>
      <c r="G87" s="131"/>
      <c r="H87" s="131"/>
      <c r="I87" s="211">
        <v>1</v>
      </c>
      <c r="J87" s="134">
        <v>1</v>
      </c>
      <c r="K87" s="134"/>
      <c r="L87" s="135"/>
      <c r="M87" s="135"/>
      <c r="N87" s="135"/>
      <c r="O87" s="135"/>
      <c r="P87" s="135"/>
      <c r="Q87" s="135">
        <f t="shared" si="78"/>
        <v>4500</v>
      </c>
      <c r="R87" s="135"/>
      <c r="S87" s="135"/>
      <c r="T87" s="135"/>
      <c r="U87" s="135">
        <f t="shared" ref="U87:W87" si="94">SUM(U88:U88)</f>
        <v>4200</v>
      </c>
      <c r="V87" s="135">
        <f t="shared" si="94"/>
        <v>4200</v>
      </c>
      <c r="W87" s="135">
        <f t="shared" si="94"/>
        <v>4500</v>
      </c>
      <c r="X87" s="135"/>
      <c r="Y87" s="135"/>
      <c r="Z87" s="135"/>
      <c r="AA87" s="135">
        <f t="shared" ref="AA87:AC87" si="95">SUM(AA88:AA88)</f>
        <v>4200</v>
      </c>
      <c r="AB87" s="135">
        <f t="shared" si="95"/>
        <v>4200</v>
      </c>
      <c r="AC87" s="135">
        <f t="shared" si="95"/>
        <v>4500</v>
      </c>
      <c r="AD87" s="135"/>
      <c r="AE87" s="135"/>
      <c r="AF87" s="135"/>
      <c r="AG87" s="135">
        <f t="shared" ref="AG87" si="96">SUM(AG88:AG88)</f>
        <v>4500</v>
      </c>
      <c r="AH87" s="135"/>
      <c r="AI87" s="135"/>
      <c r="AJ87" s="135">
        <f t="shared" ref="AJ87" si="97">SUM(AJ88:AJ88)</f>
        <v>34800</v>
      </c>
      <c r="AK87" s="135"/>
      <c r="AL87" s="135"/>
      <c r="AM87" s="135"/>
      <c r="AN87" s="135"/>
      <c r="AO87" s="135">
        <f t="shared" ref="AO87" si="98">SUM(AO88:AO88)</f>
        <v>34800</v>
      </c>
      <c r="AP87" s="131"/>
      <c r="AQ87" s="131"/>
      <c r="AR87" s="131"/>
    </row>
    <row r="88" spans="1:44" ht="78.75">
      <c r="A88" s="692" t="s">
        <v>138</v>
      </c>
      <c r="B88" s="692" t="s">
        <v>890</v>
      </c>
      <c r="C88" s="214" t="s">
        <v>893</v>
      </c>
      <c r="D88" s="215" t="s">
        <v>894</v>
      </c>
      <c r="E88" s="216">
        <f>SUM(L88,M88,N88,R88,S88,T88,X88,Y88,Z88,AD88,AE88,AF88)</f>
        <v>16</v>
      </c>
      <c r="F88" s="218" t="s">
        <v>895</v>
      </c>
      <c r="G88" s="219" t="s">
        <v>896</v>
      </c>
      <c r="H88" s="221" t="s">
        <v>897</v>
      </c>
      <c r="I88" s="214">
        <v>100</v>
      </c>
      <c r="J88" s="139"/>
      <c r="K88" s="214">
        <v>100</v>
      </c>
      <c r="L88" s="254"/>
      <c r="M88" s="254"/>
      <c r="N88" s="254">
        <v>2</v>
      </c>
      <c r="O88" s="254"/>
      <c r="P88" s="254"/>
      <c r="Q88" s="254">
        <v>4500</v>
      </c>
      <c r="R88" s="254">
        <v>2</v>
      </c>
      <c r="S88" s="254">
        <v>2</v>
      </c>
      <c r="T88" s="254">
        <v>2</v>
      </c>
      <c r="U88" s="254">
        <v>4200</v>
      </c>
      <c r="V88" s="254">
        <v>4200</v>
      </c>
      <c r="W88" s="254">
        <v>4500</v>
      </c>
      <c r="X88" s="254">
        <v>2</v>
      </c>
      <c r="Y88" s="254">
        <v>2</v>
      </c>
      <c r="Z88" s="254">
        <v>2</v>
      </c>
      <c r="AA88" s="254">
        <v>4200</v>
      </c>
      <c r="AB88" s="254">
        <v>4200</v>
      </c>
      <c r="AC88" s="254">
        <v>4500</v>
      </c>
      <c r="AD88" s="254">
        <v>2</v>
      </c>
      <c r="AE88" s="254"/>
      <c r="AF88" s="254"/>
      <c r="AG88" s="254">
        <v>4500</v>
      </c>
      <c r="AH88" s="254"/>
      <c r="AI88" s="254"/>
      <c r="AJ88" s="254">
        <f>SUM(O88,P88,Q88,U88,V88,W88,AA88,AB88,AC88,AG88,AH88,AI88)</f>
        <v>34800</v>
      </c>
      <c r="AK88" s="254"/>
      <c r="AL88" s="254"/>
      <c r="AM88" s="254"/>
      <c r="AN88" s="254"/>
      <c r="AO88" s="254">
        <f>+AJ88</f>
        <v>34800</v>
      </c>
      <c r="AP88" s="721" t="s">
        <v>721</v>
      </c>
      <c r="AQ88" s="721" t="s">
        <v>722</v>
      </c>
      <c r="AR88" s="721" t="s">
        <v>659</v>
      </c>
    </row>
    <row r="89" spans="1:44" ht="126">
      <c r="A89" s="152" t="s">
        <v>138</v>
      </c>
      <c r="B89" s="152" t="s">
        <v>898</v>
      </c>
      <c r="C89" s="211" t="s">
        <v>899</v>
      </c>
      <c r="D89" s="212" t="s">
        <v>900</v>
      </c>
      <c r="E89" s="213"/>
      <c r="F89" s="130"/>
      <c r="G89" s="131"/>
      <c r="H89" s="131"/>
      <c r="I89" s="211">
        <v>1</v>
      </c>
      <c r="J89" s="134">
        <v>1</v>
      </c>
      <c r="K89" s="134"/>
      <c r="L89" s="135"/>
      <c r="M89" s="135"/>
      <c r="N89" s="135"/>
      <c r="O89" s="135"/>
      <c r="P89" s="135"/>
      <c r="Q89" s="135">
        <f t="shared" si="78"/>
        <v>21500</v>
      </c>
      <c r="R89" s="135"/>
      <c r="S89" s="135"/>
      <c r="T89" s="135"/>
      <c r="U89" s="135">
        <f t="shared" ref="U89:W89" si="99">SUM(U90:U90)</f>
        <v>21500</v>
      </c>
      <c r="V89" s="135">
        <f t="shared" si="99"/>
        <v>21500</v>
      </c>
      <c r="W89" s="135">
        <f t="shared" si="99"/>
        <v>61500</v>
      </c>
      <c r="X89" s="135"/>
      <c r="Y89" s="135"/>
      <c r="Z89" s="135"/>
      <c r="AA89" s="135">
        <f t="shared" ref="AA89" si="100">SUM(AA90:AA90)</f>
        <v>28000</v>
      </c>
      <c r="AB89" s="135"/>
      <c r="AC89" s="135"/>
      <c r="AD89" s="135"/>
      <c r="AE89" s="135"/>
      <c r="AF89" s="135"/>
      <c r="AG89" s="135"/>
      <c r="AH89" s="135"/>
      <c r="AI89" s="135"/>
      <c r="AJ89" s="135">
        <f t="shared" ref="AJ89" si="101">SUM(AJ90:AJ90)</f>
        <v>154000</v>
      </c>
      <c r="AK89" s="135"/>
      <c r="AL89" s="135"/>
      <c r="AM89" s="135"/>
      <c r="AN89" s="135"/>
      <c r="AO89" s="135">
        <f t="shared" ref="AO89" si="102">SUM(AO90:AO90)</f>
        <v>154000</v>
      </c>
      <c r="AP89" s="131"/>
      <c r="AQ89" s="131"/>
      <c r="AR89" s="131"/>
    </row>
    <row r="90" spans="1:44" ht="94.5">
      <c r="A90" s="692" t="s">
        <v>138</v>
      </c>
      <c r="B90" s="692" t="s">
        <v>898</v>
      </c>
      <c r="C90" s="214" t="s">
        <v>901</v>
      </c>
      <c r="D90" s="215" t="s">
        <v>902</v>
      </c>
      <c r="E90" s="216">
        <f>SUM(L90,M90,N90,R90,S90,T90,X90,Y90,Z90,AD90,AE90,AF90)</f>
        <v>626</v>
      </c>
      <c r="F90" s="218" t="s">
        <v>874</v>
      </c>
      <c r="G90" s="219" t="s">
        <v>903</v>
      </c>
      <c r="H90" s="221" t="s">
        <v>904</v>
      </c>
      <c r="I90" s="214">
        <v>100</v>
      </c>
      <c r="J90" s="139"/>
      <c r="K90" s="214">
        <v>100</v>
      </c>
      <c r="L90" s="254"/>
      <c r="M90" s="254"/>
      <c r="N90" s="254">
        <v>125</v>
      </c>
      <c r="O90" s="254"/>
      <c r="P90" s="254"/>
      <c r="Q90" s="254">
        <v>21500</v>
      </c>
      <c r="R90" s="254">
        <v>125</v>
      </c>
      <c r="S90" s="254">
        <v>125</v>
      </c>
      <c r="T90" s="254">
        <v>126</v>
      </c>
      <c r="U90" s="254">
        <v>21500</v>
      </c>
      <c r="V90" s="254">
        <v>21500</v>
      </c>
      <c r="W90" s="254">
        <v>61500</v>
      </c>
      <c r="X90" s="254">
        <v>125</v>
      </c>
      <c r="Y90" s="254"/>
      <c r="Z90" s="254"/>
      <c r="AA90" s="254">
        <v>28000</v>
      </c>
      <c r="AB90" s="254"/>
      <c r="AC90" s="254"/>
      <c r="AD90" s="254"/>
      <c r="AE90" s="254"/>
      <c r="AF90" s="254"/>
      <c r="AG90" s="254"/>
      <c r="AH90" s="254"/>
      <c r="AI90" s="254"/>
      <c r="AJ90" s="254">
        <f>SUM(O90,P90,Q90,U90,V90,W90,AA90,AB90,AC90,AG90,AH90,AI90)</f>
        <v>154000</v>
      </c>
      <c r="AK90" s="254"/>
      <c r="AL90" s="254"/>
      <c r="AM90" s="254"/>
      <c r="AN90" s="254"/>
      <c r="AO90" s="254">
        <f>+AJ90</f>
        <v>154000</v>
      </c>
      <c r="AP90" s="721" t="s">
        <v>657</v>
      </c>
      <c r="AQ90" s="721" t="s">
        <v>750</v>
      </c>
      <c r="AR90" s="721" t="s">
        <v>659</v>
      </c>
    </row>
    <row r="91" spans="1:44" ht="63">
      <c r="A91" s="223" t="s">
        <v>905</v>
      </c>
      <c r="B91" s="224" t="s">
        <v>906</v>
      </c>
      <c r="C91" s="224" t="s">
        <v>907</v>
      </c>
      <c r="D91" s="225" t="s">
        <v>908</v>
      </c>
      <c r="E91" s="226"/>
      <c r="F91" s="224"/>
      <c r="G91" s="225"/>
      <c r="H91" s="225"/>
      <c r="I91" s="224">
        <v>23</v>
      </c>
      <c r="J91" s="134">
        <v>23</v>
      </c>
      <c r="K91" s="134"/>
      <c r="L91" s="135"/>
      <c r="M91" s="135"/>
      <c r="N91" s="135"/>
      <c r="O91" s="135">
        <f t="shared" ref="O91:Q91" si="103">SUM(O92:O92)</f>
        <v>180117.73</v>
      </c>
      <c r="P91" s="135">
        <f t="shared" si="103"/>
        <v>186592</v>
      </c>
      <c r="Q91" s="135">
        <f t="shared" si="103"/>
        <v>643638.74</v>
      </c>
      <c r="R91" s="135"/>
      <c r="S91" s="135"/>
      <c r="T91" s="135"/>
      <c r="U91" s="135">
        <f t="shared" ref="U91:W91" si="104">SUM(U92:U92)</f>
        <v>211677</v>
      </c>
      <c r="V91" s="135">
        <f t="shared" si="104"/>
        <v>202611.29</v>
      </c>
      <c r="W91" s="135">
        <f t="shared" si="104"/>
        <v>373846.74</v>
      </c>
      <c r="X91" s="135"/>
      <c r="Y91" s="135"/>
      <c r="Z91" s="135"/>
      <c r="AA91" s="135">
        <f t="shared" ref="AA91:AC91" si="105">SUM(AA92:AA92)</f>
        <v>187717</v>
      </c>
      <c r="AB91" s="135">
        <f t="shared" si="105"/>
        <v>181817</v>
      </c>
      <c r="AC91" s="135">
        <f t="shared" si="105"/>
        <v>235678.74</v>
      </c>
      <c r="AD91" s="135"/>
      <c r="AE91" s="135"/>
      <c r="AF91" s="135"/>
      <c r="AG91" s="135">
        <f t="shared" ref="AG91:AK91" si="106">SUM(AG92:AG92)</f>
        <v>197335</v>
      </c>
      <c r="AH91" s="135">
        <f t="shared" si="106"/>
        <v>209331.76</v>
      </c>
      <c r="AI91" s="135">
        <f t="shared" si="106"/>
        <v>169298</v>
      </c>
      <c r="AJ91" s="135">
        <f t="shared" si="106"/>
        <v>2979661</v>
      </c>
      <c r="AK91" s="135">
        <f t="shared" si="106"/>
        <v>241695</v>
      </c>
      <c r="AL91" s="135"/>
      <c r="AM91" s="135"/>
      <c r="AN91" s="135"/>
      <c r="AO91" s="135">
        <f t="shared" ref="AO91" si="107">SUM(AO92:AO92)</f>
        <v>2737966</v>
      </c>
      <c r="AP91" s="131"/>
      <c r="AQ91" s="131"/>
      <c r="AR91" s="131"/>
    </row>
    <row r="92" spans="1:44" ht="78.75">
      <c r="A92" s="227" t="s">
        <v>905</v>
      </c>
      <c r="B92" s="228" t="s">
        <v>906</v>
      </c>
      <c r="C92" s="229" t="s">
        <v>909</v>
      </c>
      <c r="D92" s="220" t="s">
        <v>910</v>
      </c>
      <c r="E92" s="216">
        <f>SUM(L92,M92,N92,R92,S92,T92,X92,Y92,Z92,AD92,AE92,AF92)</f>
        <v>86</v>
      </c>
      <c r="F92" s="230" t="s">
        <v>168</v>
      </c>
      <c r="G92" s="231" t="s">
        <v>911</v>
      </c>
      <c r="H92" s="231" t="s">
        <v>912</v>
      </c>
      <c r="I92" s="230">
        <v>100</v>
      </c>
      <c r="J92" s="139"/>
      <c r="K92" s="214">
        <v>100</v>
      </c>
      <c r="L92" s="254">
        <v>8</v>
      </c>
      <c r="M92" s="254">
        <v>7</v>
      </c>
      <c r="N92" s="254">
        <v>7</v>
      </c>
      <c r="O92" s="254">
        <v>180117.73</v>
      </c>
      <c r="P92" s="254">
        <v>186592</v>
      </c>
      <c r="Q92" s="254">
        <v>643638.74</v>
      </c>
      <c r="R92" s="254">
        <v>7</v>
      </c>
      <c r="S92" s="254">
        <v>7</v>
      </c>
      <c r="T92" s="254">
        <v>7</v>
      </c>
      <c r="U92" s="254">
        <v>211677</v>
      </c>
      <c r="V92" s="254">
        <v>202611.29</v>
      </c>
      <c r="W92" s="254">
        <v>373846.74</v>
      </c>
      <c r="X92" s="254">
        <v>8</v>
      </c>
      <c r="Y92" s="254">
        <v>7</v>
      </c>
      <c r="Z92" s="254">
        <v>7</v>
      </c>
      <c r="AA92" s="254">
        <v>187717</v>
      </c>
      <c r="AB92" s="254">
        <v>181817</v>
      </c>
      <c r="AC92" s="254">
        <v>235678.74</v>
      </c>
      <c r="AD92" s="254">
        <v>7</v>
      </c>
      <c r="AE92" s="254">
        <v>7</v>
      </c>
      <c r="AF92" s="254">
        <v>7</v>
      </c>
      <c r="AG92" s="254">
        <v>197335</v>
      </c>
      <c r="AH92" s="254">
        <v>209331.76</v>
      </c>
      <c r="AI92" s="254">
        <v>169298</v>
      </c>
      <c r="AJ92" s="254">
        <f>SUM(O92,P92,Q92,U92,V92,W92,AA92,AB92,AC92,AG92,AH92,AI92)</f>
        <v>2979661</v>
      </c>
      <c r="AK92" s="254">
        <v>241695</v>
      </c>
      <c r="AL92" s="254"/>
      <c r="AM92" s="254"/>
      <c r="AN92" s="254"/>
      <c r="AO92" s="254">
        <f>AJ92-AK92</f>
        <v>2737966</v>
      </c>
      <c r="AP92" s="721" t="s">
        <v>657</v>
      </c>
      <c r="AQ92" s="721" t="s">
        <v>913</v>
      </c>
      <c r="AR92" s="721" t="s">
        <v>914</v>
      </c>
    </row>
    <row r="93" spans="1:44">
      <c r="A93" s="722"/>
      <c r="B93" s="697"/>
      <c r="C93" s="697"/>
      <c r="D93" s="232" t="s">
        <v>156</v>
      </c>
      <c r="E93" s="697"/>
      <c r="F93" s="697"/>
      <c r="G93" s="233"/>
      <c r="H93" s="233"/>
      <c r="I93" s="234">
        <f>+I91+I89+I87+I85+I83+I81+I78+I73+I67+I65+I63+I57+I55+I53+I50+I47+I44+I37+I31+I28+I22+I19+I16+I13+I10</f>
        <v>100</v>
      </c>
      <c r="J93" s="234">
        <f>+J91+J89+J87+J85+J83+J81+J78+J73+J67+J65+J63+J57+J55+J53+J50+J47+J44+J37+J31+J28+J22+J19+J16+J13+J10</f>
        <v>100</v>
      </c>
      <c r="K93" s="234"/>
      <c r="L93" s="235"/>
      <c r="M93" s="235"/>
      <c r="N93" s="235"/>
      <c r="O93" s="235">
        <f>+O91+O89+O87+O85+O83+O81+O78+O73+O67+O65+O63+O57+O55+O53+O50+O47+O44+O37+O31+O28+O22+O19+O16+O13+O10</f>
        <v>182117.73</v>
      </c>
      <c r="P93" s="235">
        <f>+P91+P89+P87+P85+P83+P81+P78+P73+P67+P65+P63+P57+P55+P53+P50+P47+P44+P37+P31+P28+P22+P19+P16+P13+P10</f>
        <v>1153201</v>
      </c>
      <c r="Q93" s="235">
        <f>+Q91+Q89+Q87+Q85+Q83+Q81+Q78+Q73+Q67+Q65+Q63+Q57+Q55+Q53+Q50+Q47+Q44+Q37+Q31+Q28+Q22+Q19+Q16+Q13+Q10</f>
        <v>1469498.74</v>
      </c>
      <c r="R93" s="235"/>
      <c r="S93" s="235"/>
      <c r="T93" s="235"/>
      <c r="U93" s="235">
        <f>+U91+U89+U87+U85+U83+U81+U78+U73+U67+U65+U63+U57+U55+U53+U50+U47+U44+U37+U31+U28+U22+U19+U16+U13+U10</f>
        <v>1849056</v>
      </c>
      <c r="V93" s="235">
        <f>+V91+V89+V87+V85+V83+V81+V78+V73+V67+V65+V63+V57+V55+V53+V50+V47+V44+V37+V31+V28+V22+V19+V16+V13+V10</f>
        <v>1304771.29</v>
      </c>
      <c r="W93" s="235">
        <f>+W91+W89+W87+W85+W83+W81+W78+W73+W67+W65+W63+W57+W55+W53+W50+W47+W44+W37+W31+W28+W22+W19+W16+W13+W10</f>
        <v>2013692.74</v>
      </c>
      <c r="X93" s="235"/>
      <c r="Y93" s="235"/>
      <c r="Z93" s="235"/>
      <c r="AA93" s="235">
        <f>+AA91+AA89+AA87+AA85+AA83+AA81+AA78+AA73+AA67+AA65+AA63+AA57+AA55+AA53+AA50+AA47+AA44+AA37+AA31+AA28+AA22+AA19+AA16+AA13+AA10</f>
        <v>1447430</v>
      </c>
      <c r="AB93" s="235">
        <f>+AB91+AB89+AB87+AB85+AB83+AB81+AB78+AB73+AB67+AB65+AB63+AB57+AB55+AB53+AB50+AB47+AB44+AB37+AB31+AB28+AB22+AB19+AB16+AB13+AB10</f>
        <v>1314413</v>
      </c>
      <c r="AC93" s="235">
        <f>+AC91+AC89+AC87+AC85+AC83+AC81+AC78+AC73+AC67+AC65+AC63+AC57+AC55+AC53+AC50+AC47+AC44+AC37+AC31+AC28+AC22+AC19+AC16+AC13+AC10</f>
        <v>1427399.74</v>
      </c>
      <c r="AD93" s="235"/>
      <c r="AE93" s="235"/>
      <c r="AF93" s="235"/>
      <c r="AG93" s="235">
        <f>+AG91+AG89+AG87+AG85+AG83+AG81+AG78+AG73+AG67+AG65+AG63+AG57+AG55+AG53+AG50+AG47+AG44+AG37+AG31+AG28+AG22+AG19+AG16+AG13+AG10</f>
        <v>872070</v>
      </c>
      <c r="AH93" s="235">
        <f>+AH91+AH89+AH87+AH85+AH83+AH81+AH78+AH73+AH67+AH65+AH63+AH57+AH55+AH53+AH50+AH47+AH44+AH37+AH31+AH28+AH22+AH19+AH16+AH13+AH10</f>
        <v>531396.76</v>
      </c>
      <c r="AI93" s="235">
        <f>+AI91+AI89+AI87+AI85+AI83+AI81+AI78+AI73+AI67+AI65+AI63+AI57+AI55+AI53+AI50+AI47+AI44+AI37+AI31+AI28+AI22+AI19+AI16+AI13+AI10</f>
        <v>226648</v>
      </c>
      <c r="AJ93" s="235">
        <f>+AJ91+AJ89+AJ87+AJ85+AJ83+AJ81+AJ78+AJ73+AJ67+AJ65+AJ63+AJ57+AJ55+AJ53+AJ50+AJ47+AJ44+AJ37+AJ31+AJ28+AJ22+AJ19+AJ16+AJ13+AJ10</f>
        <v>13791695</v>
      </c>
      <c r="AK93" s="235">
        <f>+AK91+AK89+AK87+AK85+AK83+AK81+AK78+AK73+AK67+AK65+AK63+AK57+AK55+AK53+AK50+AK47+AK44+AK37+AK31+AK28+AK22+AK19+AK16+AK13+AK10</f>
        <v>241695</v>
      </c>
      <c r="AL93" s="235"/>
      <c r="AM93" s="235"/>
      <c r="AN93" s="235"/>
      <c r="AO93" s="235">
        <f>+AO91+AO89+AO87+AO85+AO83+AO81+AO78+AO73+AO67+AO65+AO63+AO57+AO55+AO53+AO50+AO47+AO44+AO37+AO31+AO28+AO22+AO19+AO16+AO13+AO10</f>
        <v>13550000</v>
      </c>
      <c r="AP93" s="236"/>
      <c r="AQ93" s="236"/>
      <c r="AR93" s="236"/>
    </row>
    <row r="94" spans="1:44">
      <c r="AJ94" s="161">
        <f>+'[8]FORMATO PAO 2016'!AJ96</f>
        <v>13791695</v>
      </c>
    </row>
  </sheetData>
  <mergeCells count="200">
    <mergeCell ref="AK6:AO6"/>
    <mergeCell ref="AP6:AP9"/>
    <mergeCell ref="AQ6:AQ9"/>
    <mergeCell ref="AR6:AR9"/>
    <mergeCell ref="AJ7:AJ9"/>
    <mergeCell ref="AK7:AK9"/>
    <mergeCell ref="AL7:AL9"/>
    <mergeCell ref="AM7:AM9"/>
    <mergeCell ref="A1:AR1"/>
    <mergeCell ref="A2:AR2"/>
    <mergeCell ref="A6:C6"/>
    <mergeCell ref="D6:D9"/>
    <mergeCell ref="E6:E9"/>
    <mergeCell ref="F6:F9"/>
    <mergeCell ref="G6:G9"/>
    <mergeCell ref="H6:H9"/>
    <mergeCell ref="I6:I9"/>
    <mergeCell ref="J6:J9"/>
    <mergeCell ref="A24:A25"/>
    <mergeCell ref="B24:B25"/>
    <mergeCell ref="C24:C25"/>
    <mergeCell ref="D24:D25"/>
    <mergeCell ref="G24:G25"/>
    <mergeCell ref="AN7:AN9"/>
    <mergeCell ref="AO7:AO9"/>
    <mergeCell ref="L8:N8"/>
    <mergeCell ref="O8:Q8"/>
    <mergeCell ref="R8:T8"/>
    <mergeCell ref="U8:W8"/>
    <mergeCell ref="X8:Z8"/>
    <mergeCell ref="AA8:AC8"/>
    <mergeCell ref="AD8:AF8"/>
    <mergeCell ref="AG8:AI8"/>
    <mergeCell ref="A7:A9"/>
    <mergeCell ref="B7:B9"/>
    <mergeCell ref="C7:C9"/>
    <mergeCell ref="L7:Q7"/>
    <mergeCell ref="R7:W7"/>
    <mergeCell ref="X7:AC7"/>
    <mergeCell ref="AD7:AI7"/>
    <mergeCell ref="K6:K9"/>
    <mergeCell ref="L6:AJ6"/>
    <mergeCell ref="H24:H25"/>
    <mergeCell ref="I24:I25"/>
    <mergeCell ref="K24:K25"/>
    <mergeCell ref="AP24:AP25"/>
    <mergeCell ref="AQ24:AQ25"/>
    <mergeCell ref="AR24:AR25"/>
    <mergeCell ref="J11:J12"/>
    <mergeCell ref="J14:J15"/>
    <mergeCell ref="J17:J18"/>
    <mergeCell ref="J20:J21"/>
    <mergeCell ref="J23:J27"/>
    <mergeCell ref="I26:I27"/>
    <mergeCell ref="K26:K27"/>
    <mergeCell ref="AP26:AP27"/>
    <mergeCell ref="AQ26:AQ27"/>
    <mergeCell ref="AR26:AR27"/>
    <mergeCell ref="H26:H27"/>
    <mergeCell ref="A29:A30"/>
    <mergeCell ref="B29:B30"/>
    <mergeCell ref="C29:C30"/>
    <mergeCell ref="D29:D30"/>
    <mergeCell ref="G29:G30"/>
    <mergeCell ref="A26:A27"/>
    <mergeCell ref="B26:B27"/>
    <mergeCell ref="C26:C27"/>
    <mergeCell ref="D26:D27"/>
    <mergeCell ref="G26:G27"/>
    <mergeCell ref="AR29:AR30"/>
    <mergeCell ref="J32:J36"/>
    <mergeCell ref="A33:A34"/>
    <mergeCell ref="B33:B34"/>
    <mergeCell ref="C33:C34"/>
    <mergeCell ref="D33:D34"/>
    <mergeCell ref="G33:G34"/>
    <mergeCell ref="H33:H34"/>
    <mergeCell ref="I33:I34"/>
    <mergeCell ref="K33:K34"/>
    <mergeCell ref="H29:H30"/>
    <mergeCell ref="I29:I30"/>
    <mergeCell ref="J29:J30"/>
    <mergeCell ref="K29:K30"/>
    <mergeCell ref="AP29:AP30"/>
    <mergeCell ref="AQ29:AQ30"/>
    <mergeCell ref="AP33:AP34"/>
    <mergeCell ref="AQ33:AQ34"/>
    <mergeCell ref="AR33:AR34"/>
    <mergeCell ref="A35:A36"/>
    <mergeCell ref="B35:B36"/>
    <mergeCell ref="C35:C36"/>
    <mergeCell ref="D35:D36"/>
    <mergeCell ref="G35:G36"/>
    <mergeCell ref="H35:H36"/>
    <mergeCell ref="I35:I36"/>
    <mergeCell ref="K35:K36"/>
    <mergeCell ref="AP35:AP36"/>
    <mergeCell ref="AQ35:AQ36"/>
    <mergeCell ref="AR35:AR36"/>
    <mergeCell ref="A38:A39"/>
    <mergeCell ref="B38:B39"/>
    <mergeCell ref="C38:C39"/>
    <mergeCell ref="D38:D39"/>
    <mergeCell ref="G38:G39"/>
    <mergeCell ref="H38:H39"/>
    <mergeCell ref="I38:I39"/>
    <mergeCell ref="J38:J43"/>
    <mergeCell ref="K38:K39"/>
    <mergeCell ref="AP38:AP39"/>
    <mergeCell ref="AQ38:AQ39"/>
    <mergeCell ref="A42:A43"/>
    <mergeCell ref="B42:B43"/>
    <mergeCell ref="C42:C43"/>
    <mergeCell ref="D42:D43"/>
    <mergeCell ref="G42:G43"/>
    <mergeCell ref="H42:H43"/>
    <mergeCell ref="I42:I43"/>
    <mergeCell ref="K42:K43"/>
    <mergeCell ref="AP42:AP43"/>
    <mergeCell ref="AQ42:AQ43"/>
    <mergeCell ref="A45:A46"/>
    <mergeCell ref="B45:B46"/>
    <mergeCell ref="C45:C46"/>
    <mergeCell ref="D45:D46"/>
    <mergeCell ref="G45:G46"/>
    <mergeCell ref="AR45:AR46"/>
    <mergeCell ref="H45:H46"/>
    <mergeCell ref="I45:I46"/>
    <mergeCell ref="J45:J46"/>
    <mergeCell ref="K45:K46"/>
    <mergeCell ref="AP45:AP46"/>
    <mergeCell ref="AQ45:AQ46"/>
    <mergeCell ref="J48:J49"/>
    <mergeCell ref="A51:A52"/>
    <mergeCell ref="B51:B52"/>
    <mergeCell ref="C51:C52"/>
    <mergeCell ref="D51:D52"/>
    <mergeCell ref="G51:G52"/>
    <mergeCell ref="H51:H52"/>
    <mergeCell ref="I51:I52"/>
    <mergeCell ref="J51:J52"/>
    <mergeCell ref="A61:A62"/>
    <mergeCell ref="B61:B62"/>
    <mergeCell ref="C61:C62"/>
    <mergeCell ref="D61:D62"/>
    <mergeCell ref="G61:G62"/>
    <mergeCell ref="K51:K52"/>
    <mergeCell ref="AP51:AP52"/>
    <mergeCell ref="AQ51:AQ52"/>
    <mergeCell ref="J58:J62"/>
    <mergeCell ref="A59:A60"/>
    <mergeCell ref="B59:B60"/>
    <mergeCell ref="C59:C60"/>
    <mergeCell ref="D59:D60"/>
    <mergeCell ref="G59:G60"/>
    <mergeCell ref="H59:H60"/>
    <mergeCell ref="H61:H62"/>
    <mergeCell ref="I61:I62"/>
    <mergeCell ref="K61:K62"/>
    <mergeCell ref="AP61:AP62"/>
    <mergeCell ref="AQ61:AQ62"/>
    <mergeCell ref="AR61:AR62"/>
    <mergeCell ref="I59:I60"/>
    <mergeCell ref="K59:K60"/>
    <mergeCell ref="AP59:AP60"/>
    <mergeCell ref="AQ59:AQ60"/>
    <mergeCell ref="AR59:AR60"/>
    <mergeCell ref="A75:A77"/>
    <mergeCell ref="B75:B77"/>
    <mergeCell ref="C75:C77"/>
    <mergeCell ref="D75:D77"/>
    <mergeCell ref="G75:G76"/>
    <mergeCell ref="H75:H76"/>
    <mergeCell ref="K69:K70"/>
    <mergeCell ref="AP69:AP70"/>
    <mergeCell ref="AQ69:AQ70"/>
    <mergeCell ref="A71:A72"/>
    <mergeCell ref="B71:B72"/>
    <mergeCell ref="C71:C72"/>
    <mergeCell ref="D71:D72"/>
    <mergeCell ref="G71:G72"/>
    <mergeCell ref="H71:H72"/>
    <mergeCell ref="I71:I72"/>
    <mergeCell ref="J68:J72"/>
    <mergeCell ref="A69:A70"/>
    <mergeCell ref="AQ75:AQ76"/>
    <mergeCell ref="J79:J80"/>
    <mergeCell ref="K71:K72"/>
    <mergeCell ref="AP71:AP72"/>
    <mergeCell ref="AQ71:AQ72"/>
    <mergeCell ref="J74:J77"/>
    <mergeCell ref="B69:B70"/>
    <mergeCell ref="C69:C70"/>
    <mergeCell ref="D69:D70"/>
    <mergeCell ref="G69:G70"/>
    <mergeCell ref="H69:H70"/>
    <mergeCell ref="I69:I70"/>
    <mergeCell ref="I75:I77"/>
    <mergeCell ref="K75:K77"/>
    <mergeCell ref="AP75:AP76"/>
  </mergeCells>
  <printOptions horizontalCentered="1"/>
  <pageMargins left="0.98425196850393704" right="0.78740157480314965" top="0.98425196850393704" bottom="0.78740157480314965" header="0" footer="0"/>
  <pageSetup paperSize="5" scale="30" fitToHeight="2" orientation="landscape" r:id="rId1"/>
  <headerFooter alignWithMargins="0">
    <oddFooter>&amp;R&amp;P</oddFooter>
  </headerFooter>
  <rowBreaks count="2" manualBreakCount="2">
    <brk id="43" max="43" man="1"/>
    <brk id="62" max="4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FF00"/>
  </sheetPr>
  <dimension ref="A1:BJ87"/>
  <sheetViews>
    <sheetView view="pageBreakPreview" topLeftCell="A67" zoomScale="63" zoomScaleNormal="20" zoomScaleSheetLayoutView="63" workbookViewId="0">
      <selection activeCell="A70" sqref="A70:E70"/>
    </sheetView>
  </sheetViews>
  <sheetFormatPr baseColWidth="10" defaultColWidth="21.5703125" defaultRowHeight="15.75"/>
  <cols>
    <col min="1" max="1" width="9" style="204" customWidth="1"/>
    <col min="2" max="2" width="13" style="204" bestFit="1" customWidth="1"/>
    <col min="3" max="3" width="22.42578125" style="124" bestFit="1" customWidth="1"/>
    <col min="4" max="4" width="26.140625" style="124" customWidth="1"/>
    <col min="5" max="5" width="12.140625" style="124" customWidth="1"/>
    <col min="6" max="6" width="15.42578125" style="124" customWidth="1"/>
    <col min="7" max="7" width="21.5703125" style="124"/>
    <col min="8" max="8" width="18.85546875" style="124" customWidth="1"/>
    <col min="9" max="9" width="15.7109375" style="124" customWidth="1"/>
    <col min="10" max="10" width="15.42578125" style="124" customWidth="1"/>
    <col min="11" max="11" width="21.5703125" style="124"/>
    <col min="12" max="12" width="8.140625" style="124" bestFit="1" customWidth="1"/>
    <col min="13" max="14" width="8.5703125" style="124" bestFit="1" customWidth="1"/>
    <col min="15" max="15" width="13.5703125" style="124" bestFit="1" customWidth="1"/>
    <col min="16" max="16" width="12.42578125" style="124" bestFit="1" customWidth="1"/>
    <col min="17" max="17" width="13" style="124" bestFit="1" customWidth="1"/>
    <col min="18" max="20" width="8.5703125" style="124" bestFit="1" customWidth="1"/>
    <col min="21" max="21" width="12.42578125" style="124" bestFit="1" customWidth="1"/>
    <col min="22" max="22" width="13" style="124" bestFit="1" customWidth="1"/>
    <col min="23" max="23" width="13.5703125" style="124" bestFit="1" customWidth="1"/>
    <col min="24" max="26" width="8.5703125" style="124" bestFit="1" customWidth="1"/>
    <col min="27" max="28" width="12.42578125" style="124" bestFit="1" customWidth="1"/>
    <col min="29" max="29" width="13.5703125" style="124" bestFit="1" customWidth="1"/>
    <col min="30" max="32" width="8.5703125" style="124" bestFit="1" customWidth="1"/>
    <col min="33" max="33" width="12.42578125" style="124" bestFit="1" customWidth="1"/>
    <col min="34" max="35" width="13" style="124" bestFit="1" customWidth="1"/>
    <col min="36" max="36" width="16.28515625" style="124" bestFit="1" customWidth="1"/>
    <col min="37" max="37" width="14" style="124" bestFit="1" customWidth="1"/>
    <col min="38" max="38" width="16.7109375" style="124" bestFit="1" customWidth="1"/>
    <col min="39" max="39" width="13.5703125" style="124" bestFit="1" customWidth="1"/>
    <col min="40" max="40" width="18.28515625" style="124" bestFit="1" customWidth="1"/>
    <col min="41" max="41" width="13.5703125" style="124" bestFit="1" customWidth="1"/>
    <col min="42" max="16384" width="21.5703125" style="124"/>
  </cols>
  <sheetData>
    <row r="1" spans="1:62" s="71" customFormat="1">
      <c r="A1" s="869" t="s">
        <v>398</v>
      </c>
      <c r="B1" s="869"/>
      <c r="C1" s="869"/>
      <c r="D1" s="869"/>
      <c r="E1" s="869"/>
      <c r="F1" s="869"/>
      <c r="G1" s="869"/>
      <c r="H1" s="869"/>
      <c r="I1" s="869"/>
      <c r="J1" s="869"/>
      <c r="K1" s="869"/>
      <c r="L1" s="869"/>
      <c r="M1" s="869"/>
      <c r="N1" s="869"/>
      <c r="O1" s="869"/>
      <c r="P1" s="869"/>
      <c r="Q1" s="869"/>
      <c r="R1" s="869"/>
      <c r="S1" s="869"/>
      <c r="T1" s="869"/>
      <c r="U1" s="869"/>
      <c r="V1" s="869"/>
      <c r="W1" s="869"/>
      <c r="X1" s="869"/>
      <c r="Y1" s="869"/>
      <c r="Z1" s="869"/>
      <c r="AA1" s="869"/>
      <c r="AB1" s="869"/>
      <c r="AC1" s="869"/>
      <c r="AD1" s="869"/>
      <c r="AE1" s="869"/>
      <c r="AF1" s="869"/>
      <c r="AG1" s="869"/>
      <c r="AH1" s="869"/>
      <c r="AI1" s="869"/>
      <c r="AJ1" s="869"/>
      <c r="AK1" s="869"/>
      <c r="AL1" s="869"/>
      <c r="AM1" s="869"/>
      <c r="AN1" s="869"/>
      <c r="AO1" s="869"/>
      <c r="AP1" s="869"/>
      <c r="AQ1" s="869"/>
      <c r="AR1" s="869"/>
    </row>
    <row r="2" spans="1:62" s="71" customFormat="1">
      <c r="A2" s="869" t="s">
        <v>399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69"/>
      <c r="O2" s="869"/>
      <c r="P2" s="869"/>
      <c r="Q2" s="869"/>
      <c r="R2" s="869"/>
      <c r="S2" s="869"/>
      <c r="T2" s="869"/>
      <c r="U2" s="869"/>
      <c r="V2" s="869"/>
      <c r="W2" s="869"/>
      <c r="X2" s="869"/>
      <c r="Y2" s="869"/>
      <c r="Z2" s="869"/>
      <c r="AA2" s="869"/>
      <c r="AB2" s="869"/>
      <c r="AC2" s="869"/>
      <c r="AD2" s="869"/>
      <c r="AE2" s="869"/>
      <c r="AF2" s="869"/>
      <c r="AG2" s="869"/>
      <c r="AH2" s="869"/>
      <c r="AI2" s="869"/>
      <c r="AJ2" s="869"/>
      <c r="AK2" s="869"/>
      <c r="AL2" s="869"/>
      <c r="AM2" s="869"/>
      <c r="AN2" s="869"/>
      <c r="AO2" s="869"/>
      <c r="AP2" s="869"/>
      <c r="AQ2" s="869"/>
      <c r="AR2" s="869"/>
    </row>
    <row r="3" spans="1:62" s="71" customFormat="1" ht="18" customHeight="1">
      <c r="A3" s="72"/>
      <c r="B3" s="72"/>
      <c r="C3" s="72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</row>
    <row r="4" spans="1:62" s="71" customFormat="1" ht="20.25" customHeight="1">
      <c r="A4" s="72"/>
      <c r="B4" s="72"/>
      <c r="C4" s="72"/>
      <c r="D4" s="73" t="s">
        <v>400</v>
      </c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</row>
    <row r="5" spans="1:62" s="71" customFormat="1" ht="21" customHeight="1">
      <c r="A5" s="72"/>
      <c r="B5" s="72"/>
      <c r="C5" s="72"/>
      <c r="D5" s="73" t="s">
        <v>401</v>
      </c>
      <c r="E5" s="73"/>
      <c r="F5" s="73"/>
      <c r="G5" s="72"/>
      <c r="H5" s="72"/>
      <c r="I5" s="72"/>
      <c r="J5" s="72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</row>
    <row r="6" spans="1:62" s="71" customFormat="1" ht="16.5" thickBot="1">
      <c r="A6" s="869"/>
      <c r="B6" s="869"/>
      <c r="C6" s="869"/>
      <c r="D6" s="869" t="s">
        <v>402</v>
      </c>
      <c r="E6" s="869"/>
      <c r="F6" s="869"/>
      <c r="G6" s="869"/>
      <c r="H6" s="869"/>
      <c r="I6" s="869"/>
      <c r="J6" s="869"/>
      <c r="K6" s="869"/>
      <c r="L6" s="869"/>
      <c r="M6" s="869"/>
      <c r="N6" s="869"/>
      <c r="O6" s="869"/>
      <c r="P6" s="869"/>
      <c r="Q6" s="869"/>
      <c r="R6" s="869"/>
      <c r="S6" s="869"/>
      <c r="T6" s="869"/>
      <c r="U6" s="869"/>
      <c r="V6" s="869"/>
      <c r="W6" s="869"/>
      <c r="X6" s="869"/>
      <c r="Y6" s="869"/>
      <c r="Z6" s="869"/>
      <c r="AA6" s="869"/>
      <c r="AB6" s="869"/>
      <c r="AC6" s="869"/>
      <c r="AD6" s="869"/>
      <c r="AE6" s="869"/>
      <c r="AF6" s="869"/>
      <c r="AG6" s="869"/>
      <c r="AH6" s="869"/>
      <c r="AI6" s="869"/>
      <c r="AJ6" s="869"/>
      <c r="AK6" s="869"/>
      <c r="AL6" s="869"/>
      <c r="AM6" s="869"/>
      <c r="AN6" s="869"/>
      <c r="AO6" s="869"/>
      <c r="AP6" s="869"/>
      <c r="AQ6" s="869"/>
      <c r="AR6" s="869"/>
    </row>
    <row r="7" spans="1:62" ht="18" customHeight="1" thickTop="1" thickBot="1">
      <c r="A7" s="1185" t="s">
        <v>5</v>
      </c>
      <c r="B7" s="1186"/>
      <c r="C7" s="1187"/>
      <c r="D7" s="1188" t="s">
        <v>403</v>
      </c>
      <c r="E7" s="1191" t="s">
        <v>161</v>
      </c>
      <c r="F7" s="1193" t="s">
        <v>404</v>
      </c>
      <c r="G7" s="1196" t="s">
        <v>405</v>
      </c>
      <c r="H7" s="1196" t="s">
        <v>10</v>
      </c>
      <c r="I7" s="1196" t="s">
        <v>406</v>
      </c>
      <c r="J7" s="1200" t="s">
        <v>407</v>
      </c>
      <c r="K7" s="1200" t="s">
        <v>408</v>
      </c>
      <c r="L7" s="1202" t="s">
        <v>409</v>
      </c>
      <c r="M7" s="1203"/>
      <c r="N7" s="1203"/>
      <c r="O7" s="1203"/>
      <c r="P7" s="1203"/>
      <c r="Q7" s="1203"/>
      <c r="R7" s="1203"/>
      <c r="S7" s="1203"/>
      <c r="T7" s="1203"/>
      <c r="U7" s="1203"/>
      <c r="V7" s="1203"/>
      <c r="W7" s="1203"/>
      <c r="X7" s="1203"/>
      <c r="Y7" s="1203"/>
      <c r="Z7" s="1203"/>
      <c r="AA7" s="1203"/>
      <c r="AB7" s="1203"/>
      <c r="AC7" s="1203"/>
      <c r="AD7" s="1203"/>
      <c r="AE7" s="1203"/>
      <c r="AF7" s="1203"/>
      <c r="AG7" s="1203"/>
      <c r="AH7" s="1203"/>
      <c r="AI7" s="1203"/>
      <c r="AJ7" s="125"/>
      <c r="AK7" s="1196" t="s">
        <v>15</v>
      </c>
      <c r="AL7" s="1196"/>
      <c r="AM7" s="1196"/>
      <c r="AN7" s="1196"/>
      <c r="AO7" s="1196"/>
      <c r="AP7" s="1196" t="s">
        <v>16</v>
      </c>
      <c r="AQ7" s="1196" t="s">
        <v>17</v>
      </c>
      <c r="AR7" s="1198" t="s">
        <v>19</v>
      </c>
    </row>
    <row r="8" spans="1:62" ht="18" customHeight="1" thickTop="1" thickBot="1">
      <c r="A8" s="1176" t="s">
        <v>410</v>
      </c>
      <c r="B8" s="1178" t="s">
        <v>411</v>
      </c>
      <c r="C8" s="1180" t="s">
        <v>22</v>
      </c>
      <c r="D8" s="1189"/>
      <c r="E8" s="1192"/>
      <c r="F8" s="1194"/>
      <c r="G8" s="1197"/>
      <c r="H8" s="1197"/>
      <c r="I8" s="1197"/>
      <c r="J8" s="1201"/>
      <c r="K8" s="1201"/>
      <c r="L8" s="1183" t="s">
        <v>23</v>
      </c>
      <c r="M8" s="1184"/>
      <c r="N8" s="1184"/>
      <c r="O8" s="1184"/>
      <c r="P8" s="1184"/>
      <c r="Q8" s="1184"/>
      <c r="R8" s="1183" t="s">
        <v>24</v>
      </c>
      <c r="S8" s="1184"/>
      <c r="T8" s="1184"/>
      <c r="U8" s="1184"/>
      <c r="V8" s="1184"/>
      <c r="W8" s="1184"/>
      <c r="X8" s="1183" t="s">
        <v>25</v>
      </c>
      <c r="Y8" s="1184"/>
      <c r="Z8" s="1184"/>
      <c r="AA8" s="1184"/>
      <c r="AB8" s="1184"/>
      <c r="AC8" s="1184"/>
      <c r="AD8" s="1183" t="s">
        <v>26</v>
      </c>
      <c r="AE8" s="1184"/>
      <c r="AF8" s="1184"/>
      <c r="AG8" s="1184"/>
      <c r="AH8" s="1184"/>
      <c r="AI8" s="1184"/>
      <c r="AJ8" s="1204" t="s">
        <v>162</v>
      </c>
      <c r="AK8" s="1206" t="s">
        <v>412</v>
      </c>
      <c r="AL8" s="1208" t="s">
        <v>413</v>
      </c>
      <c r="AM8" s="1208" t="s">
        <v>414</v>
      </c>
      <c r="AN8" s="1208" t="s">
        <v>415</v>
      </c>
      <c r="AO8" s="1181" t="s">
        <v>416</v>
      </c>
      <c r="AP8" s="1197"/>
      <c r="AQ8" s="1197"/>
      <c r="AR8" s="1199"/>
    </row>
    <row r="9" spans="1:62" ht="18" customHeight="1" thickTop="1" thickBot="1">
      <c r="A9" s="1177"/>
      <c r="B9" s="1179"/>
      <c r="C9" s="1181"/>
      <c r="D9" s="1190"/>
      <c r="E9" s="1192"/>
      <c r="F9" s="1195"/>
      <c r="G9" s="1197"/>
      <c r="H9" s="1197"/>
      <c r="I9" s="1197"/>
      <c r="J9" s="1201"/>
      <c r="K9" s="1201"/>
      <c r="L9" s="1182" t="s">
        <v>417</v>
      </c>
      <c r="M9" s="1172"/>
      <c r="N9" s="1173"/>
      <c r="O9" s="1171" t="s">
        <v>418</v>
      </c>
      <c r="P9" s="1172"/>
      <c r="Q9" s="1173"/>
      <c r="R9" s="1182" t="s">
        <v>417</v>
      </c>
      <c r="S9" s="1172"/>
      <c r="T9" s="1173"/>
      <c r="U9" s="1171" t="s">
        <v>418</v>
      </c>
      <c r="V9" s="1172"/>
      <c r="W9" s="1173"/>
      <c r="X9" s="1182" t="s">
        <v>417</v>
      </c>
      <c r="Y9" s="1172"/>
      <c r="Z9" s="1173"/>
      <c r="AA9" s="1171" t="s">
        <v>418</v>
      </c>
      <c r="AB9" s="1172"/>
      <c r="AC9" s="1173"/>
      <c r="AD9" s="1182" t="s">
        <v>417</v>
      </c>
      <c r="AE9" s="1172"/>
      <c r="AF9" s="1173"/>
      <c r="AG9" s="1171" t="s">
        <v>418</v>
      </c>
      <c r="AH9" s="1172"/>
      <c r="AI9" s="1173"/>
      <c r="AJ9" s="1205"/>
      <c r="AK9" s="1207"/>
      <c r="AL9" s="1209"/>
      <c r="AM9" s="1209"/>
      <c r="AN9" s="1209"/>
      <c r="AO9" s="1210"/>
      <c r="AP9" s="1197"/>
      <c r="AQ9" s="1197"/>
      <c r="AR9" s="1199"/>
    </row>
    <row r="10" spans="1:62" ht="18" customHeight="1" thickTop="1">
      <c r="A10" s="1177"/>
      <c r="B10" s="1179"/>
      <c r="C10" s="1181"/>
      <c r="D10" s="1190"/>
      <c r="E10" s="1192"/>
      <c r="F10" s="1195"/>
      <c r="G10" s="1197"/>
      <c r="H10" s="1197"/>
      <c r="I10" s="1197"/>
      <c r="J10" s="1201"/>
      <c r="K10" s="1201"/>
      <c r="L10" s="126" t="s">
        <v>35</v>
      </c>
      <c r="M10" s="127" t="s">
        <v>36</v>
      </c>
      <c r="N10" s="127" t="s">
        <v>37</v>
      </c>
      <c r="O10" s="127" t="s">
        <v>35</v>
      </c>
      <c r="P10" s="127" t="s">
        <v>36</v>
      </c>
      <c r="Q10" s="127" t="s">
        <v>37</v>
      </c>
      <c r="R10" s="126" t="s">
        <v>38</v>
      </c>
      <c r="S10" s="127" t="s">
        <v>37</v>
      </c>
      <c r="T10" s="127" t="s">
        <v>39</v>
      </c>
      <c r="U10" s="127" t="s">
        <v>38</v>
      </c>
      <c r="V10" s="127" t="s">
        <v>37</v>
      </c>
      <c r="W10" s="127" t="s">
        <v>39</v>
      </c>
      <c r="X10" s="128" t="s">
        <v>39</v>
      </c>
      <c r="Y10" s="129" t="s">
        <v>38</v>
      </c>
      <c r="Z10" s="129" t="s">
        <v>40</v>
      </c>
      <c r="AA10" s="127" t="s">
        <v>39</v>
      </c>
      <c r="AB10" s="127" t="s">
        <v>38</v>
      </c>
      <c r="AC10" s="127" t="s">
        <v>40</v>
      </c>
      <c r="AD10" s="128" t="s">
        <v>41</v>
      </c>
      <c r="AE10" s="129" t="s">
        <v>42</v>
      </c>
      <c r="AF10" s="129" t="s">
        <v>43</v>
      </c>
      <c r="AG10" s="127" t="s">
        <v>41</v>
      </c>
      <c r="AH10" s="127" t="s">
        <v>42</v>
      </c>
      <c r="AI10" s="127" t="s">
        <v>43</v>
      </c>
      <c r="AJ10" s="1205"/>
      <c r="AK10" s="1207"/>
      <c r="AL10" s="1209"/>
      <c r="AM10" s="1209"/>
      <c r="AN10" s="1209"/>
      <c r="AO10" s="1210"/>
      <c r="AP10" s="1197"/>
      <c r="AQ10" s="1197"/>
      <c r="AR10" s="1199"/>
    </row>
    <row r="11" spans="1:62" ht="80.25" customHeight="1">
      <c r="A11" s="130" t="s">
        <v>54</v>
      </c>
      <c r="B11" s="130" t="s">
        <v>45</v>
      </c>
      <c r="C11" s="130" t="s">
        <v>419</v>
      </c>
      <c r="D11" s="131" t="s">
        <v>420</v>
      </c>
      <c r="E11" s="132"/>
      <c r="F11" s="132"/>
      <c r="G11" s="131"/>
      <c r="H11" s="131"/>
      <c r="I11" s="133">
        <v>8</v>
      </c>
      <c r="J11" s="133">
        <v>8</v>
      </c>
      <c r="K11" s="134"/>
      <c r="L11" s="135"/>
      <c r="M11" s="135"/>
      <c r="N11" s="135"/>
      <c r="O11" s="135">
        <f t="shared" ref="O11:Q11" si="0">SUM(O12:O15)</f>
        <v>10264</v>
      </c>
      <c r="P11" s="135">
        <f t="shared" si="0"/>
        <v>62849</v>
      </c>
      <c r="Q11" s="135">
        <f t="shared" si="0"/>
        <v>10265</v>
      </c>
      <c r="R11" s="135"/>
      <c r="S11" s="135"/>
      <c r="T11" s="135"/>
      <c r="U11" s="135">
        <f t="shared" ref="U11:W11" si="1">SUM(U12:U15)</f>
        <v>10264</v>
      </c>
      <c r="V11" s="135">
        <f t="shared" si="1"/>
        <v>10264</v>
      </c>
      <c r="W11" s="135">
        <f t="shared" si="1"/>
        <v>315403</v>
      </c>
      <c r="X11" s="135"/>
      <c r="Y11" s="135"/>
      <c r="Z11" s="135"/>
      <c r="AA11" s="135">
        <f t="shared" ref="AA11:AC11" si="2">SUM(AA12:AA15)</f>
        <v>10264</v>
      </c>
      <c r="AB11" s="135">
        <f t="shared" si="2"/>
        <v>113509</v>
      </c>
      <c r="AC11" s="135">
        <f t="shared" si="2"/>
        <v>11507</v>
      </c>
      <c r="AD11" s="135"/>
      <c r="AE11" s="135"/>
      <c r="AF11" s="135"/>
      <c r="AG11" s="135">
        <f t="shared" ref="AG11:AH11" si="3">SUM(AG12:AG15)</f>
        <v>10264</v>
      </c>
      <c r="AH11" s="135">
        <f t="shared" si="3"/>
        <v>454604</v>
      </c>
      <c r="AI11" s="135">
        <v>136650</v>
      </c>
      <c r="AJ11" s="135">
        <v>1156107</v>
      </c>
      <c r="AK11" s="135">
        <v>687492</v>
      </c>
      <c r="AL11" s="135"/>
      <c r="AM11" s="135">
        <v>468615</v>
      </c>
      <c r="AN11" s="135"/>
      <c r="AO11" s="135"/>
      <c r="AP11" s="131"/>
      <c r="AQ11" s="131"/>
      <c r="AR11" s="131"/>
    </row>
    <row r="12" spans="1:62" ht="84.75" customHeight="1">
      <c r="A12" s="137" t="s">
        <v>54</v>
      </c>
      <c r="B12" s="137" t="s">
        <v>45</v>
      </c>
      <c r="C12" s="137" t="s">
        <v>421</v>
      </c>
      <c r="D12" s="138" t="s">
        <v>422</v>
      </c>
      <c r="E12" s="136">
        <v>2000</v>
      </c>
      <c r="F12" s="139" t="s">
        <v>423</v>
      </c>
      <c r="G12" s="138" t="s">
        <v>424</v>
      </c>
      <c r="H12" s="140" t="s">
        <v>168</v>
      </c>
      <c r="I12" s="141">
        <v>1</v>
      </c>
      <c r="J12" s="139"/>
      <c r="K12" s="141">
        <v>1</v>
      </c>
      <c r="L12" s="142"/>
      <c r="M12" s="143"/>
      <c r="N12" s="143"/>
      <c r="O12" s="23"/>
      <c r="P12" s="143"/>
      <c r="Q12" s="143"/>
      <c r="R12" s="142"/>
      <c r="S12" s="143"/>
      <c r="T12" s="143"/>
      <c r="U12" s="144"/>
      <c r="V12" s="144"/>
      <c r="W12" s="144"/>
      <c r="X12" s="142"/>
      <c r="Y12" s="142">
        <v>150</v>
      </c>
      <c r="Z12" s="143">
        <v>150</v>
      </c>
      <c r="AA12" s="142"/>
      <c r="AB12" s="23">
        <v>1242</v>
      </c>
      <c r="AC12" s="143">
        <v>1242</v>
      </c>
      <c r="AD12" s="142"/>
      <c r="AE12" s="143">
        <v>850</v>
      </c>
      <c r="AF12" s="143">
        <v>850</v>
      </c>
      <c r="AG12" s="145"/>
      <c r="AH12" s="143">
        <v>7038</v>
      </c>
      <c r="AI12" s="143">
        <v>7038</v>
      </c>
      <c r="AJ12" s="23">
        <f>O12+P12+Q12+U12+V12+W12+AA12+AB12+AC12+AG12+AH12+AI12</f>
        <v>16560</v>
      </c>
      <c r="AK12" s="23">
        <v>16560</v>
      </c>
      <c r="AL12" s="23"/>
      <c r="AM12" s="23"/>
      <c r="AN12" s="146"/>
      <c r="AO12" s="23"/>
      <c r="AP12" s="105" t="s">
        <v>425</v>
      </c>
      <c r="AQ12" s="105" t="s">
        <v>426</v>
      </c>
      <c r="AR12" s="138"/>
    </row>
    <row r="13" spans="1:62" ht="82.5" customHeight="1">
      <c r="A13" s="137" t="s">
        <v>54</v>
      </c>
      <c r="B13" s="137" t="s">
        <v>45</v>
      </c>
      <c r="C13" s="137" t="s">
        <v>427</v>
      </c>
      <c r="D13" s="138" t="s">
        <v>428</v>
      </c>
      <c r="E13" s="136">
        <v>5240</v>
      </c>
      <c r="F13" s="139" t="s">
        <v>429</v>
      </c>
      <c r="G13" s="138" t="s">
        <v>430</v>
      </c>
      <c r="H13" s="140" t="s">
        <v>168</v>
      </c>
      <c r="I13" s="141">
        <v>86</v>
      </c>
      <c r="J13" s="139"/>
      <c r="K13" s="141">
        <v>58</v>
      </c>
      <c r="L13" s="147"/>
      <c r="M13" s="147">
        <v>207</v>
      </c>
      <c r="N13" s="147"/>
      <c r="O13" s="148"/>
      <c r="P13" s="148">
        <v>52585</v>
      </c>
      <c r="Q13" s="148"/>
      <c r="R13" s="147"/>
      <c r="S13" s="147"/>
      <c r="T13" s="148">
        <v>812</v>
      </c>
      <c r="U13" s="148"/>
      <c r="V13" s="147"/>
      <c r="W13" s="148">
        <v>305138</v>
      </c>
      <c r="X13" s="147"/>
      <c r="Y13" s="147">
        <v>805</v>
      </c>
      <c r="Z13" s="147"/>
      <c r="AA13" s="148"/>
      <c r="AB13" s="148">
        <v>102003</v>
      </c>
      <c r="AC13" s="148"/>
      <c r="AD13" s="142"/>
      <c r="AE13" s="145">
        <v>2567</v>
      </c>
      <c r="AF13" s="145">
        <v>849</v>
      </c>
      <c r="AG13" s="145"/>
      <c r="AH13" s="148">
        <v>437302</v>
      </c>
      <c r="AI13" s="145">
        <v>100762</v>
      </c>
      <c r="AJ13" s="23">
        <f t="shared" ref="AJ13:AJ69" si="4">O13+P13+Q13+U13+V13+W13+AA13+AB13+AC13+AG13+AH13+AI13</f>
        <v>997790</v>
      </c>
      <c r="AK13" s="23">
        <v>529175</v>
      </c>
      <c r="AL13" s="23"/>
      <c r="AM13" s="23">
        <v>468615</v>
      </c>
      <c r="AN13" s="146"/>
      <c r="AO13" s="23"/>
      <c r="AP13" s="105" t="s">
        <v>425</v>
      </c>
      <c r="AQ13" s="138" t="s">
        <v>431</v>
      </c>
      <c r="AR13" s="138"/>
    </row>
    <row r="14" spans="1:62" ht="100.5" customHeight="1">
      <c r="A14" s="1164" t="s">
        <v>54</v>
      </c>
      <c r="B14" s="1164" t="s">
        <v>45</v>
      </c>
      <c r="C14" s="1174" t="s">
        <v>432</v>
      </c>
      <c r="D14" s="1166" t="s">
        <v>433</v>
      </c>
      <c r="E14" s="149">
        <v>1769</v>
      </c>
      <c r="F14" s="47" t="s">
        <v>131</v>
      </c>
      <c r="G14" s="1175" t="s">
        <v>434</v>
      </c>
      <c r="H14" s="1167" t="s">
        <v>168</v>
      </c>
      <c r="I14" s="1160">
        <v>11</v>
      </c>
      <c r="J14" s="1169"/>
      <c r="K14" s="1160">
        <v>11</v>
      </c>
      <c r="L14" s="23">
        <v>300</v>
      </c>
      <c r="M14" s="23">
        <v>590</v>
      </c>
      <c r="N14" s="23">
        <v>1180</v>
      </c>
      <c r="O14" s="23">
        <v>8211</v>
      </c>
      <c r="P14" s="23">
        <v>8211</v>
      </c>
      <c r="Q14" s="23">
        <v>8211</v>
      </c>
      <c r="R14" s="23">
        <v>1769</v>
      </c>
      <c r="S14" s="23">
        <v>1769</v>
      </c>
      <c r="T14" s="23">
        <v>1769</v>
      </c>
      <c r="U14" s="23">
        <v>8211</v>
      </c>
      <c r="V14" s="23">
        <v>8211</v>
      </c>
      <c r="W14" s="23">
        <v>8211</v>
      </c>
      <c r="X14" s="23">
        <v>1769</v>
      </c>
      <c r="Y14" s="23">
        <v>1769</v>
      </c>
      <c r="Z14" s="23">
        <v>1769</v>
      </c>
      <c r="AA14" s="23">
        <v>8211</v>
      </c>
      <c r="AB14" s="23">
        <v>8211</v>
      </c>
      <c r="AC14" s="23">
        <v>8211</v>
      </c>
      <c r="AD14" s="23">
        <v>1769</v>
      </c>
      <c r="AE14" s="23">
        <v>1769</v>
      </c>
      <c r="AF14" s="23">
        <v>1769</v>
      </c>
      <c r="AG14" s="23">
        <v>8211</v>
      </c>
      <c r="AH14" s="23">
        <v>8211</v>
      </c>
      <c r="AI14" s="23">
        <f>8211+5</f>
        <v>8216</v>
      </c>
      <c r="AJ14" s="23">
        <f t="shared" si="4"/>
        <v>98537</v>
      </c>
      <c r="AK14" s="23">
        <v>98537</v>
      </c>
      <c r="AL14" s="23"/>
      <c r="AM14" s="23"/>
      <c r="AN14" s="146"/>
      <c r="AO14" s="23"/>
      <c r="AP14" s="1163" t="s">
        <v>435</v>
      </c>
      <c r="AQ14" s="1163" t="s">
        <v>436</v>
      </c>
      <c r="AR14" s="1170" t="s">
        <v>437</v>
      </c>
    </row>
    <row r="15" spans="1:62" ht="82.5" customHeight="1">
      <c r="A15" s="1164"/>
      <c r="B15" s="1164"/>
      <c r="C15" s="1174"/>
      <c r="D15" s="1166"/>
      <c r="E15" s="149">
        <v>442</v>
      </c>
      <c r="F15" s="47" t="s">
        <v>134</v>
      </c>
      <c r="G15" s="1175"/>
      <c r="H15" s="1167"/>
      <c r="I15" s="1160"/>
      <c r="J15" s="1169"/>
      <c r="K15" s="1160"/>
      <c r="L15" s="23">
        <v>74</v>
      </c>
      <c r="M15" s="23">
        <v>147</v>
      </c>
      <c r="N15" s="23">
        <v>295</v>
      </c>
      <c r="O15" s="23">
        <v>2053</v>
      </c>
      <c r="P15" s="23">
        <v>2053</v>
      </c>
      <c r="Q15" s="23">
        <v>2054</v>
      </c>
      <c r="R15" s="23">
        <v>442</v>
      </c>
      <c r="S15" s="23">
        <v>442</v>
      </c>
      <c r="T15" s="23">
        <v>442</v>
      </c>
      <c r="U15" s="23">
        <v>2053</v>
      </c>
      <c r="V15" s="23">
        <v>2053</v>
      </c>
      <c r="W15" s="23">
        <v>2054</v>
      </c>
      <c r="X15" s="23">
        <v>442</v>
      </c>
      <c r="Y15" s="23">
        <v>442</v>
      </c>
      <c r="Z15" s="23">
        <v>442</v>
      </c>
      <c r="AA15" s="23">
        <v>2053</v>
      </c>
      <c r="AB15" s="23">
        <v>2053</v>
      </c>
      <c r="AC15" s="23">
        <v>2054</v>
      </c>
      <c r="AD15" s="23">
        <v>442</v>
      </c>
      <c r="AE15" s="23">
        <v>442</v>
      </c>
      <c r="AF15" s="23">
        <v>442</v>
      </c>
      <c r="AG15" s="23">
        <v>2053</v>
      </c>
      <c r="AH15" s="23">
        <v>2053</v>
      </c>
      <c r="AI15" s="23">
        <f>2055-5</f>
        <v>2050</v>
      </c>
      <c r="AJ15" s="23">
        <f t="shared" si="4"/>
        <v>24636</v>
      </c>
      <c r="AK15" s="23">
        <v>24636</v>
      </c>
      <c r="AL15" s="23"/>
      <c r="AM15" s="23"/>
      <c r="AN15" s="146"/>
      <c r="AO15" s="23"/>
      <c r="AP15" s="1163"/>
      <c r="AQ15" s="1163"/>
      <c r="AR15" s="1170"/>
    </row>
    <row r="16" spans="1:62" ht="82.5" customHeight="1">
      <c r="A16" s="150" t="s">
        <v>54</v>
      </c>
      <c r="B16" s="150" t="s">
        <v>45</v>
      </c>
      <c r="C16" s="107" t="s">
        <v>438</v>
      </c>
      <c r="D16" s="138" t="s">
        <v>439</v>
      </c>
      <c r="E16" s="149">
        <v>4</v>
      </c>
      <c r="F16" s="47" t="s">
        <v>440</v>
      </c>
      <c r="G16" s="105" t="s">
        <v>441</v>
      </c>
      <c r="H16" s="105" t="s">
        <v>442</v>
      </c>
      <c r="I16" s="47">
        <v>2</v>
      </c>
      <c r="J16" s="151"/>
      <c r="K16" s="47">
        <v>30</v>
      </c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>
        <v>4</v>
      </c>
      <c r="AG16" s="23"/>
      <c r="AH16" s="23"/>
      <c r="AI16" s="23">
        <v>18584</v>
      </c>
      <c r="AJ16" s="23">
        <v>18584</v>
      </c>
      <c r="AK16" s="23">
        <v>18584</v>
      </c>
      <c r="AL16" s="23"/>
      <c r="AM16" s="23"/>
      <c r="AN16" s="146"/>
      <c r="AO16" s="23"/>
      <c r="AP16" s="105" t="s">
        <v>425</v>
      </c>
      <c r="AQ16" s="105" t="s">
        <v>443</v>
      </c>
      <c r="AR16" s="138"/>
    </row>
    <row r="17" spans="1:45" ht="75" customHeight="1">
      <c r="A17" s="130" t="s">
        <v>54</v>
      </c>
      <c r="B17" s="130" t="s">
        <v>45</v>
      </c>
      <c r="C17" s="130" t="s">
        <v>444</v>
      </c>
      <c r="D17" s="131" t="s">
        <v>445</v>
      </c>
      <c r="E17" s="132"/>
      <c r="F17" s="152"/>
      <c r="G17" s="131"/>
      <c r="H17" s="131"/>
      <c r="I17" s="133">
        <v>1</v>
      </c>
      <c r="J17" s="133">
        <v>1</v>
      </c>
      <c r="K17" s="134"/>
      <c r="L17" s="153"/>
      <c r="M17" s="153"/>
      <c r="N17" s="153"/>
      <c r="O17" s="153">
        <f t="shared" ref="O17:Q17" si="5">SUM(O18:O20)</f>
        <v>3310</v>
      </c>
      <c r="P17" s="153">
        <f t="shared" si="5"/>
        <v>3310</v>
      </c>
      <c r="Q17" s="153">
        <f t="shared" si="5"/>
        <v>3310</v>
      </c>
      <c r="R17" s="153"/>
      <c r="S17" s="153"/>
      <c r="T17" s="153"/>
      <c r="U17" s="153">
        <f t="shared" ref="U17:W17" si="6">SUM(U18:U20)</f>
        <v>3310</v>
      </c>
      <c r="V17" s="153">
        <f t="shared" si="6"/>
        <v>3310</v>
      </c>
      <c r="W17" s="153">
        <f t="shared" si="6"/>
        <v>3310</v>
      </c>
      <c r="X17" s="135"/>
      <c r="Y17" s="135"/>
      <c r="Z17" s="135"/>
      <c r="AA17" s="153">
        <f t="shared" ref="AA17:AC17" si="7">SUM(AA18:AA20)</f>
        <v>3310</v>
      </c>
      <c r="AB17" s="153">
        <f t="shared" si="7"/>
        <v>3310</v>
      </c>
      <c r="AC17" s="153">
        <f t="shared" si="7"/>
        <v>11674</v>
      </c>
      <c r="AD17" s="135"/>
      <c r="AE17" s="135"/>
      <c r="AF17" s="135"/>
      <c r="AG17" s="153">
        <f t="shared" ref="AG17:AJ17" si="8">SUM(AG18:AG20)</f>
        <v>11674</v>
      </c>
      <c r="AH17" s="153">
        <f t="shared" si="8"/>
        <v>3310</v>
      </c>
      <c r="AI17" s="153">
        <f t="shared" si="8"/>
        <v>3311</v>
      </c>
      <c r="AJ17" s="153">
        <f t="shared" si="8"/>
        <v>56449</v>
      </c>
      <c r="AK17" s="153">
        <f>SUM(AK18:AK20)</f>
        <v>56449</v>
      </c>
      <c r="AL17" s="154"/>
      <c r="AM17" s="154"/>
      <c r="AN17" s="154"/>
      <c r="AO17" s="153"/>
      <c r="AP17" s="131"/>
      <c r="AQ17" s="131"/>
      <c r="AR17" s="131"/>
    </row>
    <row r="18" spans="1:45" ht="75" customHeight="1">
      <c r="A18" s="1164" t="s">
        <v>54</v>
      </c>
      <c r="B18" s="1164" t="s">
        <v>45</v>
      </c>
      <c r="C18" s="1165" t="s">
        <v>446</v>
      </c>
      <c r="D18" s="967" t="s">
        <v>447</v>
      </c>
      <c r="E18" s="47">
        <v>423</v>
      </c>
      <c r="F18" s="47" t="s">
        <v>131</v>
      </c>
      <c r="G18" s="1167" t="s">
        <v>448</v>
      </c>
      <c r="H18" s="1163" t="s">
        <v>449</v>
      </c>
      <c r="I18" s="1160">
        <v>70</v>
      </c>
      <c r="J18" s="1169"/>
      <c r="K18" s="1160">
        <v>70</v>
      </c>
      <c r="L18" s="144">
        <v>70</v>
      </c>
      <c r="M18" s="144">
        <v>141</v>
      </c>
      <c r="N18" s="144">
        <v>282</v>
      </c>
      <c r="O18" s="23">
        <v>2813</v>
      </c>
      <c r="P18" s="23">
        <v>2813</v>
      </c>
      <c r="Q18" s="23">
        <v>2813</v>
      </c>
      <c r="R18" s="144">
        <v>423</v>
      </c>
      <c r="S18" s="144">
        <v>423</v>
      </c>
      <c r="T18" s="144">
        <v>423</v>
      </c>
      <c r="U18" s="23">
        <v>2813</v>
      </c>
      <c r="V18" s="23">
        <v>2813</v>
      </c>
      <c r="W18" s="23">
        <v>2813</v>
      </c>
      <c r="X18" s="144">
        <v>423</v>
      </c>
      <c r="Y18" s="144">
        <v>423</v>
      </c>
      <c r="Z18" s="144">
        <v>423</v>
      </c>
      <c r="AA18" s="23">
        <v>2813</v>
      </c>
      <c r="AB18" s="23">
        <v>2813</v>
      </c>
      <c r="AC18" s="23">
        <v>2813</v>
      </c>
      <c r="AD18" s="144">
        <v>423</v>
      </c>
      <c r="AE18" s="144">
        <v>423</v>
      </c>
      <c r="AF18" s="144">
        <v>423</v>
      </c>
      <c r="AG18" s="23">
        <v>2813</v>
      </c>
      <c r="AH18" s="23">
        <v>2813</v>
      </c>
      <c r="AI18" s="23">
        <v>2813</v>
      </c>
      <c r="AJ18" s="23">
        <f t="shared" si="4"/>
        <v>33756</v>
      </c>
      <c r="AK18" s="23">
        <v>33756</v>
      </c>
      <c r="AL18" s="144"/>
      <c r="AM18" s="144"/>
      <c r="AN18" s="144"/>
      <c r="AO18" s="144"/>
      <c r="AP18" s="1163" t="s">
        <v>450</v>
      </c>
      <c r="AQ18" s="1163" t="s">
        <v>451</v>
      </c>
      <c r="AR18" s="1163" t="s">
        <v>452</v>
      </c>
    </row>
    <row r="19" spans="1:45" ht="75" customHeight="1">
      <c r="A19" s="1164"/>
      <c r="B19" s="1164"/>
      <c r="C19" s="1165"/>
      <c r="D19" s="969"/>
      <c r="E19" s="47">
        <v>75</v>
      </c>
      <c r="F19" s="47" t="s">
        <v>134</v>
      </c>
      <c r="G19" s="1167"/>
      <c r="H19" s="1163"/>
      <c r="I19" s="1160"/>
      <c r="J19" s="1169"/>
      <c r="K19" s="1160"/>
      <c r="L19" s="144">
        <v>10</v>
      </c>
      <c r="M19" s="144">
        <v>25</v>
      </c>
      <c r="N19" s="144">
        <v>50</v>
      </c>
      <c r="O19" s="23">
        <v>497</v>
      </c>
      <c r="P19" s="23">
        <v>497</v>
      </c>
      <c r="Q19" s="23">
        <v>497</v>
      </c>
      <c r="R19" s="144">
        <v>75</v>
      </c>
      <c r="S19" s="144">
        <v>75</v>
      </c>
      <c r="T19" s="144">
        <v>75</v>
      </c>
      <c r="U19" s="23">
        <v>497</v>
      </c>
      <c r="V19" s="23">
        <v>497</v>
      </c>
      <c r="W19" s="23">
        <v>497</v>
      </c>
      <c r="X19" s="144">
        <v>75</v>
      </c>
      <c r="Y19" s="144">
        <v>75</v>
      </c>
      <c r="Z19" s="144">
        <v>75</v>
      </c>
      <c r="AA19" s="23">
        <v>497</v>
      </c>
      <c r="AB19" s="23">
        <v>497</v>
      </c>
      <c r="AC19" s="23">
        <v>497</v>
      </c>
      <c r="AD19" s="144">
        <v>75</v>
      </c>
      <c r="AE19" s="144">
        <v>75</v>
      </c>
      <c r="AF19" s="144">
        <v>75</v>
      </c>
      <c r="AG19" s="23">
        <v>497</v>
      </c>
      <c r="AH19" s="23">
        <v>497</v>
      </c>
      <c r="AI19" s="23">
        <v>498</v>
      </c>
      <c r="AJ19" s="23">
        <f t="shared" si="4"/>
        <v>5965</v>
      </c>
      <c r="AK19" s="23">
        <v>5965</v>
      </c>
      <c r="AL19" s="144"/>
      <c r="AM19" s="144"/>
      <c r="AN19" s="144"/>
      <c r="AO19" s="144"/>
      <c r="AP19" s="1163"/>
      <c r="AQ19" s="1163"/>
      <c r="AR19" s="1163"/>
    </row>
    <row r="20" spans="1:45" s="157" customFormat="1" ht="83.25" customHeight="1">
      <c r="A20" s="155" t="s">
        <v>54</v>
      </c>
      <c r="B20" s="155" t="s">
        <v>45</v>
      </c>
      <c r="C20" s="137" t="s">
        <v>453</v>
      </c>
      <c r="D20" s="138" t="s">
        <v>454</v>
      </c>
      <c r="E20" s="47">
        <v>2</v>
      </c>
      <c r="F20" s="139" t="s">
        <v>455</v>
      </c>
      <c r="G20" s="105" t="s">
        <v>441</v>
      </c>
      <c r="H20" s="105" t="s">
        <v>442</v>
      </c>
      <c r="I20" s="156">
        <v>30</v>
      </c>
      <c r="J20" s="156"/>
      <c r="K20" s="156">
        <v>30</v>
      </c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>
        <v>1</v>
      </c>
      <c r="AA20" s="144"/>
      <c r="AB20" s="144"/>
      <c r="AC20" s="144">
        <v>8364</v>
      </c>
      <c r="AD20" s="144">
        <v>1</v>
      </c>
      <c r="AE20" s="144"/>
      <c r="AF20" s="144"/>
      <c r="AG20" s="144">
        <v>8364</v>
      </c>
      <c r="AH20" s="144"/>
      <c r="AI20" s="144"/>
      <c r="AJ20" s="23">
        <f t="shared" si="4"/>
        <v>16728</v>
      </c>
      <c r="AK20" s="23">
        <v>16728</v>
      </c>
      <c r="AL20" s="144"/>
      <c r="AM20" s="144"/>
      <c r="AN20" s="144"/>
      <c r="AO20" s="144"/>
      <c r="AP20" s="105" t="s">
        <v>425</v>
      </c>
      <c r="AQ20" s="105" t="s">
        <v>456</v>
      </c>
      <c r="AR20" s="105"/>
    </row>
    <row r="21" spans="1:45" s="157" customFormat="1" ht="72.75" customHeight="1">
      <c r="A21" s="130" t="s">
        <v>54</v>
      </c>
      <c r="B21" s="130" t="s">
        <v>45</v>
      </c>
      <c r="C21" s="130" t="s">
        <v>457</v>
      </c>
      <c r="D21" s="131" t="s">
        <v>458</v>
      </c>
      <c r="E21" s="132"/>
      <c r="F21" s="152"/>
      <c r="G21" s="131"/>
      <c r="H21" s="131"/>
      <c r="I21" s="133">
        <v>1</v>
      </c>
      <c r="J21" s="133">
        <v>1</v>
      </c>
      <c r="K21" s="158"/>
      <c r="L21" s="135"/>
      <c r="M21" s="135"/>
      <c r="N21" s="135"/>
      <c r="O21" s="153">
        <f t="shared" ref="O21" si="9">SUM(O22:O25)</f>
        <v>8138</v>
      </c>
      <c r="P21" s="153">
        <f t="shared" ref="P21:Q21" si="10">SUM(P22:P25)</f>
        <v>8138</v>
      </c>
      <c r="Q21" s="153">
        <f t="shared" si="10"/>
        <v>18471</v>
      </c>
      <c r="R21" s="135"/>
      <c r="S21" s="135"/>
      <c r="T21" s="135"/>
      <c r="U21" s="153">
        <f t="shared" ref="U21:W21" si="11">SUM(U22:U25)</f>
        <v>18472</v>
      </c>
      <c r="V21" s="153">
        <f t="shared" si="11"/>
        <v>16406</v>
      </c>
      <c r="W21" s="153">
        <f t="shared" si="11"/>
        <v>18472</v>
      </c>
      <c r="X21" s="135"/>
      <c r="Y21" s="135"/>
      <c r="Z21" s="135"/>
      <c r="AA21" s="153">
        <f t="shared" ref="AA21:AC21" si="12">SUM(AA22:AA25)</f>
        <v>20540</v>
      </c>
      <c r="AB21" s="153">
        <f t="shared" si="12"/>
        <v>10205</v>
      </c>
      <c r="AC21" s="153">
        <f t="shared" si="12"/>
        <v>16502</v>
      </c>
      <c r="AD21" s="135"/>
      <c r="AE21" s="135"/>
      <c r="AF21" s="135"/>
      <c r="AG21" s="153">
        <f t="shared" ref="AG21:AI21" si="13">SUM(AG22:AG25)</f>
        <v>24866</v>
      </c>
      <c r="AH21" s="153">
        <f t="shared" si="13"/>
        <v>16502</v>
      </c>
      <c r="AI21" s="153">
        <f t="shared" si="13"/>
        <v>5171</v>
      </c>
      <c r="AJ21" s="153">
        <f>SUM(AJ22:AJ25)</f>
        <v>181883</v>
      </c>
      <c r="AK21" s="153">
        <f>SUM(AK22:AK25)</f>
        <v>181883</v>
      </c>
      <c r="AL21" s="135"/>
      <c r="AM21" s="154"/>
      <c r="AN21" s="154"/>
      <c r="AO21" s="153"/>
      <c r="AP21" s="131"/>
      <c r="AQ21" s="131"/>
      <c r="AR21" s="131"/>
    </row>
    <row r="22" spans="1:45" s="157" customFormat="1" ht="99.75" customHeight="1">
      <c r="A22" s="155" t="s">
        <v>54</v>
      </c>
      <c r="B22" s="155" t="s">
        <v>45</v>
      </c>
      <c r="C22" s="107" t="s">
        <v>459</v>
      </c>
      <c r="D22" s="105" t="s">
        <v>460</v>
      </c>
      <c r="E22" s="47">
        <v>18500</v>
      </c>
      <c r="F22" s="107" t="s">
        <v>92</v>
      </c>
      <c r="G22" s="105" t="s">
        <v>461</v>
      </c>
      <c r="H22" s="105" t="s">
        <v>462</v>
      </c>
      <c r="I22" s="156">
        <v>42</v>
      </c>
      <c r="J22" s="156"/>
      <c r="K22" s="156">
        <v>42</v>
      </c>
      <c r="L22" s="159">
        <v>500</v>
      </c>
      <c r="M22" s="159">
        <v>500</v>
      </c>
      <c r="N22" s="159">
        <v>3000</v>
      </c>
      <c r="O22" s="23">
        <v>2067</v>
      </c>
      <c r="P22" s="23">
        <v>2067</v>
      </c>
      <c r="Q22" s="23">
        <v>12400</v>
      </c>
      <c r="R22" s="159">
        <v>3000</v>
      </c>
      <c r="S22" s="159">
        <v>2500</v>
      </c>
      <c r="T22" s="159">
        <v>3000</v>
      </c>
      <c r="U22" s="159">
        <v>12401</v>
      </c>
      <c r="V22" s="159">
        <v>10335</v>
      </c>
      <c r="W22" s="159">
        <v>12401</v>
      </c>
      <c r="X22" s="159">
        <v>3500</v>
      </c>
      <c r="Y22" s="159">
        <v>1000</v>
      </c>
      <c r="Z22" s="159">
        <v>500</v>
      </c>
      <c r="AA22" s="159">
        <v>14469</v>
      </c>
      <c r="AB22" s="159">
        <v>4134</v>
      </c>
      <c r="AC22" s="159">
        <v>2067</v>
      </c>
      <c r="AD22" s="159">
        <v>500</v>
      </c>
      <c r="AE22" s="159">
        <v>500</v>
      </c>
      <c r="AF22" s="159"/>
      <c r="AG22" s="159">
        <v>2067</v>
      </c>
      <c r="AH22" s="159">
        <v>2067</v>
      </c>
      <c r="AI22" s="159"/>
      <c r="AJ22" s="23">
        <f t="shared" si="4"/>
        <v>76475</v>
      </c>
      <c r="AK22" s="142">
        <v>76475</v>
      </c>
      <c r="AL22" s="23"/>
      <c r="AM22" s="144"/>
      <c r="AN22" s="144"/>
      <c r="AO22" s="144"/>
      <c r="AP22" s="105" t="s">
        <v>425</v>
      </c>
      <c r="AQ22" s="105" t="s">
        <v>463</v>
      </c>
      <c r="AR22" s="105" t="s">
        <v>464</v>
      </c>
    </row>
    <row r="23" spans="1:45" s="157" customFormat="1" ht="99.75" customHeight="1">
      <c r="A23" s="1164" t="s">
        <v>54</v>
      </c>
      <c r="B23" s="1164" t="s">
        <v>45</v>
      </c>
      <c r="C23" s="1165" t="s">
        <v>465</v>
      </c>
      <c r="D23" s="967" t="s">
        <v>466</v>
      </c>
      <c r="E23" s="47">
        <v>446</v>
      </c>
      <c r="F23" s="47" t="s">
        <v>131</v>
      </c>
      <c r="G23" s="1167" t="s">
        <v>467</v>
      </c>
      <c r="H23" s="1163" t="s">
        <v>449</v>
      </c>
      <c r="I23" s="1160">
        <v>40</v>
      </c>
      <c r="J23" s="1169"/>
      <c r="K23" s="1160">
        <v>40</v>
      </c>
      <c r="L23" s="23">
        <v>74</v>
      </c>
      <c r="M23" s="23">
        <v>148</v>
      </c>
      <c r="N23" s="23">
        <v>296</v>
      </c>
      <c r="O23" s="23">
        <v>5160</v>
      </c>
      <c r="P23" s="23">
        <v>5160</v>
      </c>
      <c r="Q23" s="23">
        <v>5160</v>
      </c>
      <c r="R23" s="23">
        <v>446</v>
      </c>
      <c r="S23" s="23">
        <v>446</v>
      </c>
      <c r="T23" s="23">
        <v>446</v>
      </c>
      <c r="U23" s="23">
        <v>5160</v>
      </c>
      <c r="V23" s="23">
        <v>5160</v>
      </c>
      <c r="W23" s="23">
        <v>5160</v>
      </c>
      <c r="X23" s="23">
        <v>446</v>
      </c>
      <c r="Y23" s="23">
        <v>446</v>
      </c>
      <c r="Z23" s="23">
        <v>446</v>
      </c>
      <c r="AA23" s="23">
        <v>5160</v>
      </c>
      <c r="AB23" s="23">
        <v>5160</v>
      </c>
      <c r="AC23" s="23">
        <v>5160</v>
      </c>
      <c r="AD23" s="23">
        <v>446</v>
      </c>
      <c r="AE23" s="23">
        <v>446</v>
      </c>
      <c r="AF23" s="23">
        <v>446</v>
      </c>
      <c r="AG23" s="23">
        <v>5160</v>
      </c>
      <c r="AH23" s="23">
        <v>5160</v>
      </c>
      <c r="AI23" s="23">
        <v>5160</v>
      </c>
      <c r="AJ23" s="23">
        <f t="shared" si="4"/>
        <v>61920</v>
      </c>
      <c r="AK23" s="23">
        <v>61920</v>
      </c>
      <c r="AL23" s="23"/>
      <c r="AM23" s="144"/>
      <c r="AN23" s="144"/>
      <c r="AO23" s="144"/>
      <c r="AP23" s="1163" t="s">
        <v>468</v>
      </c>
      <c r="AQ23" s="1163" t="s">
        <v>451</v>
      </c>
      <c r="AR23" s="1163" t="s">
        <v>469</v>
      </c>
    </row>
    <row r="24" spans="1:45" s="157" customFormat="1" ht="99.75" customHeight="1">
      <c r="A24" s="1164"/>
      <c r="B24" s="1164"/>
      <c r="C24" s="1165"/>
      <c r="D24" s="969"/>
      <c r="E24" s="47">
        <v>79</v>
      </c>
      <c r="F24" s="47" t="s">
        <v>134</v>
      </c>
      <c r="G24" s="1167"/>
      <c r="H24" s="1163"/>
      <c r="I24" s="1160"/>
      <c r="J24" s="1169"/>
      <c r="K24" s="1160"/>
      <c r="L24" s="23">
        <v>13</v>
      </c>
      <c r="M24" s="23">
        <v>26</v>
      </c>
      <c r="N24" s="23">
        <v>52</v>
      </c>
      <c r="O24" s="23">
        <v>911</v>
      </c>
      <c r="P24" s="23">
        <v>911</v>
      </c>
      <c r="Q24" s="23">
        <v>911</v>
      </c>
      <c r="R24" s="23">
        <v>79</v>
      </c>
      <c r="S24" s="23">
        <v>79</v>
      </c>
      <c r="T24" s="23">
        <v>79</v>
      </c>
      <c r="U24" s="23">
        <v>911</v>
      </c>
      <c r="V24" s="23">
        <v>911</v>
      </c>
      <c r="W24" s="23">
        <v>911</v>
      </c>
      <c r="X24" s="23">
        <v>79</v>
      </c>
      <c r="Y24" s="23">
        <v>79</v>
      </c>
      <c r="Z24" s="23">
        <v>79</v>
      </c>
      <c r="AA24" s="23">
        <v>911</v>
      </c>
      <c r="AB24" s="23">
        <v>911</v>
      </c>
      <c r="AC24" s="23">
        <v>911</v>
      </c>
      <c r="AD24" s="23">
        <v>79</v>
      </c>
      <c r="AE24" s="23">
        <v>79</v>
      </c>
      <c r="AF24" s="23">
        <v>79</v>
      </c>
      <c r="AG24" s="23">
        <v>911</v>
      </c>
      <c r="AH24" s="23">
        <v>911</v>
      </c>
      <c r="AI24" s="23">
        <v>11</v>
      </c>
      <c r="AJ24" s="23">
        <f t="shared" si="4"/>
        <v>10032</v>
      </c>
      <c r="AK24" s="23">
        <v>10032</v>
      </c>
      <c r="AL24" s="23"/>
      <c r="AM24" s="144"/>
      <c r="AN24" s="144"/>
      <c r="AO24" s="144"/>
      <c r="AP24" s="1163"/>
      <c r="AQ24" s="1163"/>
      <c r="AR24" s="1163"/>
    </row>
    <row r="25" spans="1:45" s="157" customFormat="1" ht="80.25" customHeight="1">
      <c r="A25" s="155" t="s">
        <v>54</v>
      </c>
      <c r="B25" s="155" t="s">
        <v>45</v>
      </c>
      <c r="C25" s="107" t="s">
        <v>470</v>
      </c>
      <c r="D25" s="105" t="s">
        <v>471</v>
      </c>
      <c r="E25" s="47">
        <v>4</v>
      </c>
      <c r="F25" s="107" t="s">
        <v>455</v>
      </c>
      <c r="G25" s="105" t="s">
        <v>441</v>
      </c>
      <c r="H25" s="105" t="s">
        <v>442</v>
      </c>
      <c r="I25" s="156">
        <v>18</v>
      </c>
      <c r="J25" s="156"/>
      <c r="K25" s="156">
        <v>18</v>
      </c>
      <c r="L25" s="160"/>
      <c r="M25" s="160"/>
      <c r="N25" s="160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144">
        <v>1</v>
      </c>
      <c r="AA25" s="144"/>
      <c r="AB25" s="144"/>
      <c r="AC25" s="144">
        <v>8364</v>
      </c>
      <c r="AD25" s="23">
        <v>2</v>
      </c>
      <c r="AE25" s="23">
        <v>1</v>
      </c>
      <c r="AF25" s="23"/>
      <c r="AG25" s="23">
        <v>16728</v>
      </c>
      <c r="AH25" s="23">
        <v>8364</v>
      </c>
      <c r="AI25" s="23"/>
      <c r="AJ25" s="23">
        <f t="shared" si="4"/>
        <v>33456</v>
      </c>
      <c r="AK25" s="23">
        <v>33456</v>
      </c>
      <c r="AL25" s="23"/>
      <c r="AM25" s="144"/>
      <c r="AN25" s="144"/>
      <c r="AO25" s="144"/>
      <c r="AP25" s="105" t="s">
        <v>425</v>
      </c>
      <c r="AQ25" s="105" t="s">
        <v>463</v>
      </c>
      <c r="AR25" s="105"/>
    </row>
    <row r="26" spans="1:45" ht="51" customHeight="1">
      <c r="A26" s="130" t="s">
        <v>54</v>
      </c>
      <c r="B26" s="130" t="s">
        <v>45</v>
      </c>
      <c r="C26" s="130" t="s">
        <v>472</v>
      </c>
      <c r="D26" s="131" t="s">
        <v>473</v>
      </c>
      <c r="E26" s="132"/>
      <c r="F26" s="152"/>
      <c r="G26" s="131"/>
      <c r="H26" s="131"/>
      <c r="I26" s="133">
        <v>1</v>
      </c>
      <c r="J26" s="133">
        <v>1</v>
      </c>
      <c r="K26" s="134"/>
      <c r="L26" s="154"/>
      <c r="M26" s="154"/>
      <c r="N26" s="154"/>
      <c r="O26" s="153">
        <f t="shared" ref="O26:Q26" si="14">SUM(O27:O29)</f>
        <v>12475</v>
      </c>
      <c r="P26" s="153">
        <f t="shared" si="14"/>
        <v>12475</v>
      </c>
      <c r="Q26" s="153">
        <f t="shared" si="14"/>
        <v>12475</v>
      </c>
      <c r="R26" s="154"/>
      <c r="S26" s="154"/>
      <c r="T26" s="154"/>
      <c r="U26" s="153">
        <f t="shared" ref="U26:W26" si="15">SUM(U27:U29)</f>
        <v>12475</v>
      </c>
      <c r="V26" s="153">
        <f t="shared" si="15"/>
        <v>12475</v>
      </c>
      <c r="W26" s="153">
        <f t="shared" si="15"/>
        <v>12475</v>
      </c>
      <c r="X26" s="154"/>
      <c r="Y26" s="154"/>
      <c r="Z26" s="154"/>
      <c r="AA26" s="153">
        <f t="shared" ref="AA26:AC26" si="16">SUM(AA27:AA29)</f>
        <v>12475</v>
      </c>
      <c r="AB26" s="153">
        <f t="shared" si="16"/>
        <v>12475</v>
      </c>
      <c r="AC26" s="153">
        <f t="shared" si="16"/>
        <v>17121</v>
      </c>
      <c r="AD26" s="154"/>
      <c r="AE26" s="154"/>
      <c r="AF26" s="154"/>
      <c r="AG26" s="153">
        <f t="shared" ref="AG26:AI26" si="17">SUM(AG27:AG29)</f>
        <v>21769</v>
      </c>
      <c r="AH26" s="153">
        <f t="shared" si="17"/>
        <v>17121</v>
      </c>
      <c r="AI26" s="153">
        <f t="shared" si="17"/>
        <v>23391</v>
      </c>
      <c r="AJ26" s="153">
        <f>SUM(AJ27:AJ29)</f>
        <v>179202</v>
      </c>
      <c r="AK26" s="153">
        <f>SUM(AK27:AK29)</f>
        <v>179202</v>
      </c>
      <c r="AL26" s="154"/>
      <c r="AM26" s="154"/>
      <c r="AN26" s="154"/>
      <c r="AO26" s="154"/>
      <c r="AP26" s="131"/>
      <c r="AQ26" s="131"/>
      <c r="AR26" s="131"/>
    </row>
    <row r="27" spans="1:45" ht="83.25" customHeight="1">
      <c r="A27" s="1164" t="s">
        <v>54</v>
      </c>
      <c r="B27" s="1164" t="s">
        <v>45</v>
      </c>
      <c r="C27" s="1165" t="s">
        <v>474</v>
      </c>
      <c r="D27" s="1163" t="s">
        <v>475</v>
      </c>
      <c r="E27" s="47">
        <v>5</v>
      </c>
      <c r="F27" s="107" t="s">
        <v>455</v>
      </c>
      <c r="G27" s="105" t="s">
        <v>441</v>
      </c>
      <c r="H27" s="105" t="s">
        <v>442</v>
      </c>
      <c r="I27" s="156">
        <v>21</v>
      </c>
      <c r="J27" s="156"/>
      <c r="K27" s="156">
        <v>21</v>
      </c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>
        <v>1</v>
      </c>
      <c r="AA27" s="144"/>
      <c r="AB27" s="144"/>
      <c r="AC27" s="144">
        <v>4646</v>
      </c>
      <c r="AD27" s="144">
        <v>2</v>
      </c>
      <c r="AE27" s="144">
        <v>1</v>
      </c>
      <c r="AF27" s="144">
        <v>1</v>
      </c>
      <c r="AG27" s="23">
        <v>9294</v>
      </c>
      <c r="AH27" s="23">
        <v>4646</v>
      </c>
      <c r="AI27" s="144">
        <v>4646</v>
      </c>
      <c r="AJ27" s="23">
        <f t="shared" si="4"/>
        <v>23232</v>
      </c>
      <c r="AK27" s="23">
        <v>23232</v>
      </c>
      <c r="AL27" s="144"/>
      <c r="AM27" s="144"/>
      <c r="AN27" s="144"/>
      <c r="AO27" s="144"/>
      <c r="AP27" s="105" t="s">
        <v>425</v>
      </c>
      <c r="AQ27" s="105" t="s">
        <v>476</v>
      </c>
      <c r="AR27" s="105"/>
    </row>
    <row r="28" spans="1:45" ht="21.75" customHeight="1">
      <c r="A28" s="1164"/>
      <c r="B28" s="1164"/>
      <c r="C28" s="1165"/>
      <c r="D28" s="1163"/>
      <c r="E28" s="47">
        <v>360</v>
      </c>
      <c r="F28" s="107" t="s">
        <v>131</v>
      </c>
      <c r="G28" s="1167" t="s">
        <v>477</v>
      </c>
      <c r="H28" s="1163" t="s">
        <v>449</v>
      </c>
      <c r="I28" s="1168">
        <v>79</v>
      </c>
      <c r="J28" s="1168"/>
      <c r="K28" s="1168">
        <v>79</v>
      </c>
      <c r="L28" s="144">
        <v>60</v>
      </c>
      <c r="M28" s="144">
        <v>120</v>
      </c>
      <c r="N28" s="144">
        <v>240</v>
      </c>
      <c r="O28" s="144">
        <v>10978</v>
      </c>
      <c r="P28" s="144">
        <v>10978</v>
      </c>
      <c r="Q28" s="144">
        <v>10978</v>
      </c>
      <c r="R28" s="144">
        <v>360</v>
      </c>
      <c r="S28" s="144">
        <v>360</v>
      </c>
      <c r="T28" s="144">
        <v>360</v>
      </c>
      <c r="U28" s="144">
        <v>10978</v>
      </c>
      <c r="V28" s="144">
        <v>10978</v>
      </c>
      <c r="W28" s="144">
        <v>10978</v>
      </c>
      <c r="X28" s="144">
        <v>360</v>
      </c>
      <c r="Y28" s="144">
        <v>360</v>
      </c>
      <c r="Z28" s="144">
        <v>360</v>
      </c>
      <c r="AA28" s="144">
        <v>10978</v>
      </c>
      <c r="AB28" s="144">
        <v>10978</v>
      </c>
      <c r="AC28" s="144">
        <v>10978</v>
      </c>
      <c r="AD28" s="144">
        <v>360</v>
      </c>
      <c r="AE28" s="144">
        <v>360</v>
      </c>
      <c r="AF28" s="144">
        <v>360</v>
      </c>
      <c r="AG28" s="144">
        <v>10978</v>
      </c>
      <c r="AH28" s="144">
        <v>10978</v>
      </c>
      <c r="AI28" s="144">
        <v>16548</v>
      </c>
      <c r="AJ28" s="23">
        <f t="shared" si="4"/>
        <v>137306</v>
      </c>
      <c r="AK28" s="23">
        <v>137306</v>
      </c>
      <c r="AL28" s="144"/>
      <c r="AM28" s="144"/>
      <c r="AN28" s="144"/>
      <c r="AO28" s="144"/>
      <c r="AP28" s="1163" t="s">
        <v>478</v>
      </c>
      <c r="AQ28" s="1163" t="s">
        <v>451</v>
      </c>
      <c r="AR28" s="1163" t="s">
        <v>479</v>
      </c>
    </row>
    <row r="29" spans="1:45" ht="64.5" customHeight="1">
      <c r="A29" s="1164"/>
      <c r="B29" s="1164"/>
      <c r="C29" s="1165"/>
      <c r="D29" s="1163"/>
      <c r="E29" s="47">
        <v>50</v>
      </c>
      <c r="F29" s="107" t="s">
        <v>134</v>
      </c>
      <c r="G29" s="1167"/>
      <c r="H29" s="1163"/>
      <c r="I29" s="1168"/>
      <c r="J29" s="1168"/>
      <c r="K29" s="1168"/>
      <c r="L29" s="144">
        <v>10</v>
      </c>
      <c r="M29" s="144">
        <v>15</v>
      </c>
      <c r="N29" s="144">
        <v>30</v>
      </c>
      <c r="O29" s="144">
        <v>1497</v>
      </c>
      <c r="P29" s="144">
        <v>1497</v>
      </c>
      <c r="Q29" s="144">
        <v>1497</v>
      </c>
      <c r="R29" s="144">
        <v>50</v>
      </c>
      <c r="S29" s="144">
        <v>50</v>
      </c>
      <c r="T29" s="144">
        <v>50</v>
      </c>
      <c r="U29" s="144">
        <v>1497</v>
      </c>
      <c r="V29" s="144">
        <v>1497</v>
      </c>
      <c r="W29" s="144">
        <v>1497</v>
      </c>
      <c r="X29" s="144">
        <v>50</v>
      </c>
      <c r="Y29" s="144">
        <v>50</v>
      </c>
      <c r="Z29" s="144">
        <v>50</v>
      </c>
      <c r="AA29" s="144">
        <v>1497</v>
      </c>
      <c r="AB29" s="144">
        <v>1497</v>
      </c>
      <c r="AC29" s="144">
        <v>1497</v>
      </c>
      <c r="AD29" s="144">
        <v>50</v>
      </c>
      <c r="AE29" s="144">
        <v>50</v>
      </c>
      <c r="AF29" s="144">
        <v>50</v>
      </c>
      <c r="AG29" s="144">
        <v>1497</v>
      </c>
      <c r="AH29" s="144">
        <v>1497</v>
      </c>
      <c r="AI29" s="144">
        <v>2197</v>
      </c>
      <c r="AJ29" s="23">
        <f t="shared" si="4"/>
        <v>18664</v>
      </c>
      <c r="AK29" s="23">
        <v>18664</v>
      </c>
      <c r="AL29" s="144"/>
      <c r="AM29" s="144"/>
      <c r="AN29" s="144"/>
      <c r="AO29" s="144"/>
      <c r="AP29" s="1163"/>
      <c r="AQ29" s="1163"/>
      <c r="AR29" s="1163"/>
    </row>
    <row r="30" spans="1:45" ht="50.25" customHeight="1">
      <c r="A30" s="130" t="s">
        <v>54</v>
      </c>
      <c r="B30" s="130" t="s">
        <v>480</v>
      </c>
      <c r="C30" s="130" t="s">
        <v>481</v>
      </c>
      <c r="D30" s="131" t="s">
        <v>482</v>
      </c>
      <c r="E30" s="132"/>
      <c r="F30" s="152"/>
      <c r="G30" s="131"/>
      <c r="H30" s="131"/>
      <c r="I30" s="133">
        <v>25</v>
      </c>
      <c r="J30" s="133">
        <v>25</v>
      </c>
      <c r="K30" s="134"/>
      <c r="L30" s="135"/>
      <c r="M30" s="135"/>
      <c r="N30" s="135"/>
      <c r="O30" s="153">
        <f t="shared" ref="O30:P30" si="18">SUM(O31:O32)</f>
        <v>307774</v>
      </c>
      <c r="P30" s="153">
        <f t="shared" si="18"/>
        <v>339455</v>
      </c>
      <c r="Q30" s="153">
        <v>339456</v>
      </c>
      <c r="R30" s="135"/>
      <c r="S30" s="135"/>
      <c r="T30" s="135"/>
      <c r="U30" s="153">
        <f t="shared" ref="U30:V30" si="19">SUM(U31:U32)</f>
        <v>339636</v>
      </c>
      <c r="V30" s="153">
        <f t="shared" si="19"/>
        <v>339455</v>
      </c>
      <c r="W30" s="153">
        <v>339456</v>
      </c>
      <c r="X30" s="135"/>
      <c r="Y30" s="135"/>
      <c r="Z30" s="135"/>
      <c r="AA30" s="153">
        <f t="shared" ref="AA30:AB30" si="20">SUM(AA31:AA32)</f>
        <v>339795</v>
      </c>
      <c r="AB30" s="153">
        <f t="shared" si="20"/>
        <v>339640</v>
      </c>
      <c r="AC30" s="153">
        <v>339644</v>
      </c>
      <c r="AD30" s="135"/>
      <c r="AE30" s="135"/>
      <c r="AF30" s="135"/>
      <c r="AG30" s="153">
        <f t="shared" ref="AG30:AH30" si="21">SUM(AG31:AG32)</f>
        <v>339801</v>
      </c>
      <c r="AH30" s="153">
        <f t="shared" si="21"/>
        <v>339790</v>
      </c>
      <c r="AI30" s="153">
        <v>336967</v>
      </c>
      <c r="AJ30" s="153">
        <v>4040869</v>
      </c>
      <c r="AK30" s="153">
        <v>4040869</v>
      </c>
      <c r="AL30" s="135"/>
      <c r="AM30" s="135"/>
      <c r="AN30" s="135"/>
      <c r="AO30" s="153"/>
      <c r="AP30" s="131"/>
      <c r="AQ30" s="131"/>
      <c r="AR30" s="131"/>
      <c r="AS30" s="161">
        <v>4420560</v>
      </c>
    </row>
    <row r="31" spans="1:45" ht="32.25" customHeight="1">
      <c r="A31" s="1164" t="s">
        <v>54</v>
      </c>
      <c r="B31" s="1164" t="s">
        <v>480</v>
      </c>
      <c r="C31" s="1165" t="s">
        <v>483</v>
      </c>
      <c r="D31" s="1165" t="s">
        <v>484</v>
      </c>
      <c r="E31" s="47">
        <v>22867</v>
      </c>
      <c r="F31" s="107" t="s">
        <v>131</v>
      </c>
      <c r="G31" s="1163" t="s">
        <v>485</v>
      </c>
      <c r="H31" s="1163" t="s">
        <v>486</v>
      </c>
      <c r="I31" s="1168">
        <v>95</v>
      </c>
      <c r="J31" s="1168"/>
      <c r="K31" s="1168">
        <v>95</v>
      </c>
      <c r="L31" s="23">
        <v>3800</v>
      </c>
      <c r="M31" s="23">
        <v>7622</v>
      </c>
      <c r="N31" s="23">
        <v>15245</v>
      </c>
      <c r="O31" s="23">
        <v>234069</v>
      </c>
      <c r="P31" s="23">
        <v>265931</v>
      </c>
      <c r="Q31" s="23">
        <v>265000</v>
      </c>
      <c r="R31" s="23">
        <v>22817</v>
      </c>
      <c r="S31" s="23">
        <v>22817</v>
      </c>
      <c r="T31" s="23">
        <v>22817</v>
      </c>
      <c r="U31" s="23">
        <v>265931</v>
      </c>
      <c r="V31" s="23">
        <v>265931</v>
      </c>
      <c r="W31" s="23">
        <v>265000</v>
      </c>
      <c r="X31" s="23">
        <v>22817</v>
      </c>
      <c r="Y31" s="23">
        <v>22817</v>
      </c>
      <c r="Z31" s="23">
        <v>22817</v>
      </c>
      <c r="AA31" s="23">
        <v>265931</v>
      </c>
      <c r="AB31" s="23">
        <v>265931</v>
      </c>
      <c r="AC31" s="23">
        <v>265000</v>
      </c>
      <c r="AD31" s="23">
        <v>22817</v>
      </c>
      <c r="AE31" s="23">
        <v>22817</v>
      </c>
      <c r="AF31" s="23">
        <v>22817</v>
      </c>
      <c r="AG31" s="23">
        <v>265931</v>
      </c>
      <c r="AH31" s="23">
        <v>265931</v>
      </c>
      <c r="AI31" s="23">
        <v>265003</v>
      </c>
      <c r="AJ31" s="23">
        <f t="shared" si="4"/>
        <v>3155589</v>
      </c>
      <c r="AK31" s="23">
        <v>3155589</v>
      </c>
      <c r="AL31" s="23"/>
      <c r="AM31" s="23"/>
      <c r="AN31" s="23"/>
      <c r="AO31" s="23"/>
      <c r="AP31" s="1163" t="s">
        <v>468</v>
      </c>
      <c r="AQ31" s="1163" t="s">
        <v>451</v>
      </c>
      <c r="AR31" s="1163" t="s">
        <v>469</v>
      </c>
    </row>
    <row r="32" spans="1:45" ht="83.25" customHeight="1">
      <c r="A32" s="1164"/>
      <c r="B32" s="1164"/>
      <c r="C32" s="1165"/>
      <c r="D32" s="1165"/>
      <c r="E32" s="47">
        <v>5717</v>
      </c>
      <c r="F32" s="107" t="s">
        <v>134</v>
      </c>
      <c r="G32" s="1163"/>
      <c r="H32" s="1163"/>
      <c r="I32" s="1168"/>
      <c r="J32" s="1168"/>
      <c r="K32" s="1168"/>
      <c r="L32" s="23">
        <v>953</v>
      </c>
      <c r="M32" s="23">
        <v>1906</v>
      </c>
      <c r="N32" s="23">
        <v>3811</v>
      </c>
      <c r="O32" s="23">
        <v>73705</v>
      </c>
      <c r="P32" s="23">
        <v>73524</v>
      </c>
      <c r="Q32" s="23">
        <v>73525</v>
      </c>
      <c r="R32" s="23">
        <v>5717</v>
      </c>
      <c r="S32" s="23">
        <v>5717</v>
      </c>
      <c r="T32" s="23">
        <v>5717</v>
      </c>
      <c r="U32" s="23">
        <v>73705</v>
      </c>
      <c r="V32" s="23">
        <v>73524</v>
      </c>
      <c r="W32" s="23">
        <v>73525</v>
      </c>
      <c r="X32" s="23">
        <v>5717</v>
      </c>
      <c r="Y32" s="23">
        <v>5717</v>
      </c>
      <c r="Z32" s="23">
        <v>5717</v>
      </c>
      <c r="AA32" s="23">
        <v>73864</v>
      </c>
      <c r="AB32" s="23">
        <v>73709</v>
      </c>
      <c r="AC32" s="23">
        <v>73713</v>
      </c>
      <c r="AD32" s="23">
        <v>5717</v>
      </c>
      <c r="AE32" s="23">
        <v>5717</v>
      </c>
      <c r="AF32" s="23">
        <v>5717</v>
      </c>
      <c r="AG32" s="23">
        <v>73870</v>
      </c>
      <c r="AH32" s="23">
        <v>73859</v>
      </c>
      <c r="AI32" s="23">
        <v>71033</v>
      </c>
      <c r="AJ32" s="23">
        <f t="shared" si="4"/>
        <v>881556</v>
      </c>
      <c r="AK32" s="23">
        <v>881556</v>
      </c>
      <c r="AL32" s="23"/>
      <c r="AM32" s="23"/>
      <c r="AN32" s="23"/>
      <c r="AO32" s="23"/>
      <c r="AP32" s="1163"/>
      <c r="AQ32" s="1163"/>
      <c r="AR32" s="1163"/>
    </row>
    <row r="33" spans="1:44" ht="83.25" customHeight="1">
      <c r="A33" s="1164"/>
      <c r="B33" s="1164"/>
      <c r="C33" s="1165"/>
      <c r="D33" s="1165"/>
      <c r="E33" s="47">
        <v>4</v>
      </c>
      <c r="F33" s="107" t="s">
        <v>168</v>
      </c>
      <c r="G33" s="105" t="s">
        <v>487</v>
      </c>
      <c r="H33" s="105" t="s">
        <v>488</v>
      </c>
      <c r="I33" s="156">
        <v>5</v>
      </c>
      <c r="J33" s="156"/>
      <c r="K33" s="156">
        <v>5</v>
      </c>
      <c r="L33" s="23"/>
      <c r="M33" s="23"/>
      <c r="N33" s="23">
        <v>1</v>
      </c>
      <c r="O33" s="23"/>
      <c r="P33" s="23"/>
      <c r="Q33" s="23">
        <v>931</v>
      </c>
      <c r="R33" s="23"/>
      <c r="S33" s="23"/>
      <c r="T33" s="23">
        <v>1</v>
      </c>
      <c r="U33" s="23"/>
      <c r="V33" s="23"/>
      <c r="W33" s="23">
        <v>931</v>
      </c>
      <c r="X33" s="23"/>
      <c r="Y33" s="23"/>
      <c r="Z33" s="23">
        <v>1</v>
      </c>
      <c r="AA33" s="23"/>
      <c r="AB33" s="23"/>
      <c r="AC33" s="23">
        <v>931</v>
      </c>
      <c r="AD33" s="23"/>
      <c r="AE33" s="23"/>
      <c r="AF33" s="23">
        <v>1</v>
      </c>
      <c r="AG33" s="23"/>
      <c r="AH33" s="23"/>
      <c r="AI33" s="23">
        <v>931</v>
      </c>
      <c r="AJ33" s="23">
        <v>3724</v>
      </c>
      <c r="AK33" s="23">
        <v>3724</v>
      </c>
      <c r="AL33" s="23"/>
      <c r="AM33" s="23"/>
      <c r="AN33" s="23"/>
      <c r="AO33" s="23"/>
      <c r="AP33" s="105" t="s">
        <v>468</v>
      </c>
      <c r="AQ33" s="1163"/>
      <c r="AR33" s="105"/>
    </row>
    <row r="34" spans="1:44" ht="83.25" customHeight="1">
      <c r="A34" s="130" t="s">
        <v>54</v>
      </c>
      <c r="B34" s="130" t="s">
        <v>489</v>
      </c>
      <c r="C34" s="152" t="s">
        <v>490</v>
      </c>
      <c r="D34" s="131" t="s">
        <v>491</v>
      </c>
      <c r="E34" s="134"/>
      <c r="F34" s="152"/>
      <c r="G34" s="131"/>
      <c r="H34" s="131"/>
      <c r="I34" s="133">
        <v>1</v>
      </c>
      <c r="J34" s="133">
        <v>1</v>
      </c>
      <c r="K34" s="133"/>
      <c r="L34" s="135"/>
      <c r="M34" s="135"/>
      <c r="N34" s="135"/>
      <c r="O34" s="135">
        <v>31862</v>
      </c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>
        <v>31862</v>
      </c>
      <c r="AK34" s="135">
        <v>31862</v>
      </c>
      <c r="AL34" s="135"/>
      <c r="AM34" s="135"/>
      <c r="AN34" s="135"/>
      <c r="AO34" s="135"/>
      <c r="AP34" s="131"/>
      <c r="AQ34" s="131"/>
      <c r="AR34" s="131"/>
    </row>
    <row r="35" spans="1:44" ht="133.5" customHeight="1">
      <c r="A35" s="150" t="s">
        <v>54</v>
      </c>
      <c r="B35" s="150" t="s">
        <v>489</v>
      </c>
      <c r="C35" s="107" t="s">
        <v>492</v>
      </c>
      <c r="D35" s="105" t="s">
        <v>493</v>
      </c>
      <c r="E35" s="47">
        <v>2</v>
      </c>
      <c r="F35" s="107" t="s">
        <v>494</v>
      </c>
      <c r="G35" s="105" t="s">
        <v>495</v>
      </c>
      <c r="H35" s="105" t="s">
        <v>168</v>
      </c>
      <c r="I35" s="156">
        <v>100</v>
      </c>
      <c r="J35" s="156"/>
      <c r="K35" s="156">
        <v>100</v>
      </c>
      <c r="L35" s="23">
        <v>2</v>
      </c>
      <c r="M35" s="23"/>
      <c r="N35" s="23"/>
      <c r="O35" s="23">
        <v>31862</v>
      </c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>
        <v>31862</v>
      </c>
      <c r="AK35" s="23">
        <v>31862</v>
      </c>
      <c r="AL35" s="23"/>
      <c r="AM35" s="23"/>
      <c r="AN35" s="23"/>
      <c r="AO35" s="23"/>
      <c r="AP35" s="105" t="s">
        <v>496</v>
      </c>
      <c r="AQ35" s="105" t="s">
        <v>451</v>
      </c>
      <c r="AR35" s="105"/>
    </row>
    <row r="36" spans="1:44" ht="46.5" customHeight="1">
      <c r="A36" s="130" t="s">
        <v>54</v>
      </c>
      <c r="B36" s="130" t="s">
        <v>497</v>
      </c>
      <c r="C36" s="130" t="s">
        <v>498</v>
      </c>
      <c r="D36" s="131" t="s">
        <v>499</v>
      </c>
      <c r="E36" s="134"/>
      <c r="F36" s="152"/>
      <c r="G36" s="131"/>
      <c r="H36" s="131"/>
      <c r="I36" s="134">
        <v>1</v>
      </c>
      <c r="J36" s="134">
        <v>1</v>
      </c>
      <c r="K36" s="134"/>
      <c r="L36" s="135"/>
      <c r="M36" s="135"/>
      <c r="N36" s="135"/>
      <c r="O36" s="153">
        <f t="shared" ref="O36:Q36" si="22">SUM(O37:O38)</f>
        <v>4694</v>
      </c>
      <c r="P36" s="153">
        <f t="shared" si="22"/>
        <v>4694</v>
      </c>
      <c r="Q36" s="153">
        <f t="shared" si="22"/>
        <v>4694</v>
      </c>
      <c r="R36" s="135"/>
      <c r="S36" s="135"/>
      <c r="T36" s="135"/>
      <c r="U36" s="153">
        <f t="shared" ref="U36:W36" si="23">SUM(U37:U38)</f>
        <v>0</v>
      </c>
      <c r="V36" s="153">
        <f t="shared" si="23"/>
        <v>0</v>
      </c>
      <c r="W36" s="153">
        <f t="shared" si="23"/>
        <v>0</v>
      </c>
      <c r="X36" s="135"/>
      <c r="Y36" s="135"/>
      <c r="Z36" s="135"/>
      <c r="AA36" s="153">
        <f t="shared" ref="AA36:AC36" si="24">SUM(AA37:AA38)</f>
        <v>0</v>
      </c>
      <c r="AB36" s="153">
        <f t="shared" si="24"/>
        <v>0</v>
      </c>
      <c r="AC36" s="153">
        <f t="shared" si="24"/>
        <v>0</v>
      </c>
      <c r="AD36" s="135"/>
      <c r="AE36" s="135"/>
      <c r="AF36" s="135"/>
      <c r="AG36" s="153">
        <f t="shared" ref="AG36:AI36" si="25">SUM(AG37:AG38)</f>
        <v>4694</v>
      </c>
      <c r="AH36" s="153">
        <f t="shared" si="25"/>
        <v>4694</v>
      </c>
      <c r="AI36" s="153">
        <f t="shared" si="25"/>
        <v>4697</v>
      </c>
      <c r="AJ36" s="153">
        <f>SUM(AJ37:AJ38)</f>
        <v>28167</v>
      </c>
      <c r="AK36" s="153">
        <f>SUM(AK37:AK38)</f>
        <v>28167</v>
      </c>
      <c r="AL36" s="135"/>
      <c r="AM36" s="135"/>
      <c r="AN36" s="135"/>
      <c r="AO36" s="135"/>
      <c r="AP36" s="131"/>
      <c r="AQ36" s="131"/>
      <c r="AR36" s="131"/>
    </row>
    <row r="37" spans="1:44" ht="30" customHeight="1">
      <c r="A37" s="1164" t="s">
        <v>54</v>
      </c>
      <c r="B37" s="1164" t="s">
        <v>497</v>
      </c>
      <c r="C37" s="1165" t="s">
        <v>500</v>
      </c>
      <c r="D37" s="1163" t="s">
        <v>501</v>
      </c>
      <c r="E37" s="47">
        <v>950</v>
      </c>
      <c r="F37" s="47" t="s">
        <v>131</v>
      </c>
      <c r="G37" s="1163" t="s">
        <v>502</v>
      </c>
      <c r="H37" s="1163" t="s">
        <v>449</v>
      </c>
      <c r="I37" s="1160">
        <v>100</v>
      </c>
      <c r="J37" s="1160"/>
      <c r="K37" s="1160">
        <v>100</v>
      </c>
      <c r="L37" s="23">
        <v>950</v>
      </c>
      <c r="M37" s="23">
        <v>950</v>
      </c>
      <c r="N37" s="23">
        <v>950</v>
      </c>
      <c r="O37" s="23">
        <v>4459</v>
      </c>
      <c r="P37" s="23">
        <v>4459</v>
      </c>
      <c r="Q37" s="23">
        <v>4459</v>
      </c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>
        <v>950</v>
      </c>
      <c r="AE37" s="23">
        <v>950</v>
      </c>
      <c r="AF37" s="23">
        <v>950</v>
      </c>
      <c r="AG37" s="23">
        <v>4459</v>
      </c>
      <c r="AH37" s="23">
        <v>4459</v>
      </c>
      <c r="AI37" s="23">
        <v>4459</v>
      </c>
      <c r="AJ37" s="23">
        <f t="shared" si="4"/>
        <v>26754</v>
      </c>
      <c r="AK37" s="23">
        <v>26754</v>
      </c>
      <c r="AL37" s="23"/>
      <c r="AM37" s="23"/>
      <c r="AN37" s="23"/>
      <c r="AO37" s="23"/>
      <c r="AP37" s="1163" t="s">
        <v>468</v>
      </c>
      <c r="AQ37" s="1163" t="s">
        <v>451</v>
      </c>
      <c r="AR37" s="1163" t="s">
        <v>503</v>
      </c>
    </row>
    <row r="38" spans="1:44" ht="51.75" customHeight="1">
      <c r="A38" s="1164"/>
      <c r="B38" s="1164"/>
      <c r="C38" s="1165"/>
      <c r="D38" s="1163"/>
      <c r="E38" s="47">
        <v>50</v>
      </c>
      <c r="F38" s="47" t="s">
        <v>134</v>
      </c>
      <c r="G38" s="1163"/>
      <c r="H38" s="1163"/>
      <c r="I38" s="1160"/>
      <c r="J38" s="1160"/>
      <c r="K38" s="1160"/>
      <c r="L38" s="23">
        <v>50</v>
      </c>
      <c r="M38" s="23">
        <v>50</v>
      </c>
      <c r="N38" s="23">
        <v>50</v>
      </c>
      <c r="O38" s="23">
        <v>235</v>
      </c>
      <c r="P38" s="23">
        <v>235</v>
      </c>
      <c r="Q38" s="23">
        <v>235</v>
      </c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>
        <v>50</v>
      </c>
      <c r="AE38" s="23">
        <v>50</v>
      </c>
      <c r="AF38" s="23">
        <v>50</v>
      </c>
      <c r="AG38" s="23">
        <v>235</v>
      </c>
      <c r="AH38" s="23">
        <v>235</v>
      </c>
      <c r="AI38" s="23">
        <v>238</v>
      </c>
      <c r="AJ38" s="23">
        <f t="shared" si="4"/>
        <v>1413</v>
      </c>
      <c r="AK38" s="23">
        <v>1413</v>
      </c>
      <c r="AL38" s="23"/>
      <c r="AM38" s="23"/>
      <c r="AN38" s="23"/>
      <c r="AO38" s="23"/>
      <c r="AP38" s="1163"/>
      <c r="AQ38" s="1163"/>
      <c r="AR38" s="1163"/>
    </row>
    <row r="39" spans="1:44" ht="84" customHeight="1">
      <c r="A39" s="130" t="s">
        <v>54</v>
      </c>
      <c r="B39" s="130" t="s">
        <v>504</v>
      </c>
      <c r="C39" s="130" t="s">
        <v>505</v>
      </c>
      <c r="D39" s="131" t="s">
        <v>506</v>
      </c>
      <c r="E39" s="132"/>
      <c r="F39" s="152"/>
      <c r="G39" s="131"/>
      <c r="H39" s="131"/>
      <c r="I39" s="133">
        <v>1</v>
      </c>
      <c r="J39" s="133">
        <v>1</v>
      </c>
      <c r="K39" s="134"/>
      <c r="L39" s="135"/>
      <c r="M39" s="135"/>
      <c r="N39" s="135"/>
      <c r="O39" s="153">
        <f t="shared" ref="O39:Q39" si="26">SUM(O40)</f>
        <v>9780</v>
      </c>
      <c r="P39" s="153">
        <f t="shared" si="26"/>
        <v>0</v>
      </c>
      <c r="Q39" s="153">
        <f t="shared" si="26"/>
        <v>0</v>
      </c>
      <c r="R39" s="135"/>
      <c r="S39" s="135"/>
      <c r="T39" s="135"/>
      <c r="U39" s="153">
        <f t="shared" ref="U39:W39" si="27">SUM(U40)</f>
        <v>0</v>
      </c>
      <c r="V39" s="153">
        <f t="shared" si="27"/>
        <v>0</v>
      </c>
      <c r="W39" s="153">
        <f t="shared" si="27"/>
        <v>0</v>
      </c>
      <c r="X39" s="135"/>
      <c r="Y39" s="135"/>
      <c r="Z39" s="135"/>
      <c r="AA39" s="153">
        <f t="shared" ref="AA39:AC39" si="28">SUM(AA40)</f>
        <v>0</v>
      </c>
      <c r="AB39" s="153">
        <f t="shared" si="28"/>
        <v>0</v>
      </c>
      <c r="AC39" s="153">
        <f t="shared" si="28"/>
        <v>0</v>
      </c>
      <c r="AD39" s="135"/>
      <c r="AE39" s="135"/>
      <c r="AF39" s="135"/>
      <c r="AG39" s="153">
        <f t="shared" ref="AG39:AI39" si="29">SUM(AG40)</f>
        <v>0</v>
      </c>
      <c r="AH39" s="153">
        <f t="shared" si="29"/>
        <v>0</v>
      </c>
      <c r="AI39" s="153">
        <f t="shared" si="29"/>
        <v>0</v>
      </c>
      <c r="AJ39" s="153">
        <f>SUM(AJ40)</f>
        <v>9780</v>
      </c>
      <c r="AK39" s="153">
        <f>SUM(AK40)</f>
        <v>9780</v>
      </c>
      <c r="AL39" s="135"/>
      <c r="AM39" s="135"/>
      <c r="AN39" s="135"/>
      <c r="AO39" s="135"/>
      <c r="AP39" s="131"/>
      <c r="AQ39" s="131"/>
      <c r="AR39" s="131"/>
    </row>
    <row r="40" spans="1:44" ht="118.5" customHeight="1">
      <c r="A40" s="155" t="s">
        <v>54</v>
      </c>
      <c r="B40" s="162" t="s">
        <v>504</v>
      </c>
      <c r="C40" s="137" t="s">
        <v>507</v>
      </c>
      <c r="D40" s="94" t="s">
        <v>508</v>
      </c>
      <c r="E40" s="47">
        <v>1</v>
      </c>
      <c r="F40" s="107" t="s">
        <v>509</v>
      </c>
      <c r="G40" s="94" t="s">
        <v>510</v>
      </c>
      <c r="H40" s="86" t="s">
        <v>168</v>
      </c>
      <c r="I40" s="163">
        <v>100</v>
      </c>
      <c r="J40" s="163"/>
      <c r="K40" s="163">
        <v>100</v>
      </c>
      <c r="L40" s="151">
        <v>1</v>
      </c>
      <c r="M40" s="144"/>
      <c r="N40" s="144"/>
      <c r="O40" s="144">
        <v>9780</v>
      </c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23">
        <f t="shared" si="4"/>
        <v>9780</v>
      </c>
      <c r="AK40" s="23">
        <v>9780</v>
      </c>
      <c r="AL40" s="164"/>
      <c r="AM40" s="164"/>
      <c r="AN40" s="164"/>
      <c r="AO40" s="164"/>
      <c r="AP40" s="165" t="s">
        <v>425</v>
      </c>
      <c r="AQ40" s="165" t="s">
        <v>511</v>
      </c>
      <c r="AR40" s="165" t="s">
        <v>512</v>
      </c>
    </row>
    <row r="41" spans="1:44" ht="82.5" customHeight="1">
      <c r="A41" s="130" t="s">
        <v>513</v>
      </c>
      <c r="B41" s="166" t="s">
        <v>185</v>
      </c>
      <c r="C41" s="130" t="s">
        <v>514</v>
      </c>
      <c r="D41" s="131" t="s">
        <v>515</v>
      </c>
      <c r="E41" s="132"/>
      <c r="F41" s="152"/>
      <c r="G41" s="131"/>
      <c r="H41" s="131"/>
      <c r="I41" s="167">
        <v>1</v>
      </c>
      <c r="J41" s="134">
        <v>1</v>
      </c>
      <c r="K41" s="167"/>
      <c r="L41" s="154"/>
      <c r="M41" s="154"/>
      <c r="N41" s="154"/>
      <c r="O41" s="153">
        <f t="shared" ref="O41:Q41" si="30">SUM(O42)</f>
        <v>0</v>
      </c>
      <c r="P41" s="153">
        <f t="shared" si="30"/>
        <v>0</v>
      </c>
      <c r="Q41" s="153">
        <f t="shared" si="30"/>
        <v>3695</v>
      </c>
      <c r="R41" s="154"/>
      <c r="S41" s="154"/>
      <c r="T41" s="154"/>
      <c r="U41" s="153">
        <f t="shared" ref="U41:W41" si="31">SUM(U42)</f>
        <v>0</v>
      </c>
      <c r="V41" s="153">
        <f t="shared" si="31"/>
        <v>0</v>
      </c>
      <c r="W41" s="153">
        <f t="shared" si="31"/>
        <v>3700</v>
      </c>
      <c r="X41" s="154"/>
      <c r="Y41" s="154"/>
      <c r="Z41" s="154"/>
      <c r="AA41" s="153">
        <f t="shared" ref="AA41:AC41" si="32">SUM(AA42)</f>
        <v>0</v>
      </c>
      <c r="AB41" s="153">
        <f t="shared" si="32"/>
        <v>0</v>
      </c>
      <c r="AC41" s="153">
        <f t="shared" si="32"/>
        <v>3695</v>
      </c>
      <c r="AD41" s="154"/>
      <c r="AE41" s="154"/>
      <c r="AF41" s="154"/>
      <c r="AG41" s="153">
        <f t="shared" ref="AG41:AI41" si="33">SUM(AG42)</f>
        <v>0</v>
      </c>
      <c r="AH41" s="153">
        <f t="shared" si="33"/>
        <v>0</v>
      </c>
      <c r="AI41" s="153">
        <f t="shared" si="33"/>
        <v>3715</v>
      </c>
      <c r="AJ41" s="153">
        <f>SUM(AJ42)</f>
        <v>14805</v>
      </c>
      <c r="AK41" s="153">
        <f>SUM(AK42)</f>
        <v>14805</v>
      </c>
      <c r="AL41" s="168"/>
      <c r="AM41" s="168"/>
      <c r="AN41" s="168"/>
      <c r="AO41" s="168"/>
      <c r="AP41" s="169"/>
      <c r="AQ41" s="169"/>
      <c r="AR41" s="169"/>
    </row>
    <row r="42" spans="1:44" ht="100.5" customHeight="1">
      <c r="A42" s="150" t="s">
        <v>513</v>
      </c>
      <c r="B42" s="162" t="s">
        <v>185</v>
      </c>
      <c r="C42" s="107" t="s">
        <v>516</v>
      </c>
      <c r="D42" s="94" t="s">
        <v>517</v>
      </c>
      <c r="E42" s="170">
        <v>700</v>
      </c>
      <c r="F42" s="171" t="s">
        <v>134</v>
      </c>
      <c r="G42" s="105" t="s">
        <v>518</v>
      </c>
      <c r="H42" s="86" t="s">
        <v>168</v>
      </c>
      <c r="I42" s="172">
        <v>100</v>
      </c>
      <c r="J42" s="47"/>
      <c r="K42" s="172">
        <v>100</v>
      </c>
      <c r="L42" s="144"/>
      <c r="M42" s="144"/>
      <c r="N42" s="144">
        <v>175</v>
      </c>
      <c r="O42" s="144"/>
      <c r="P42" s="144"/>
      <c r="Q42" s="144">
        <v>3695</v>
      </c>
      <c r="R42" s="144"/>
      <c r="S42" s="144"/>
      <c r="T42" s="144">
        <v>175</v>
      </c>
      <c r="U42" s="144"/>
      <c r="V42" s="144"/>
      <c r="W42" s="144">
        <v>3700</v>
      </c>
      <c r="X42" s="144"/>
      <c r="Y42" s="144"/>
      <c r="Z42" s="144">
        <v>175</v>
      </c>
      <c r="AA42" s="144"/>
      <c r="AB42" s="144"/>
      <c r="AC42" s="144">
        <v>3695</v>
      </c>
      <c r="AD42" s="144"/>
      <c r="AE42" s="144"/>
      <c r="AF42" s="144">
        <v>175</v>
      </c>
      <c r="AG42" s="144"/>
      <c r="AH42" s="144"/>
      <c r="AI42" s="144">
        <v>3715</v>
      </c>
      <c r="AJ42" s="23">
        <f t="shared" si="4"/>
        <v>14805</v>
      </c>
      <c r="AK42" s="23">
        <v>14805</v>
      </c>
      <c r="AL42" s="164"/>
      <c r="AM42" s="164"/>
      <c r="AN42" s="164"/>
      <c r="AO42" s="164"/>
      <c r="AP42" s="165" t="s">
        <v>519</v>
      </c>
      <c r="AQ42" s="105" t="s">
        <v>451</v>
      </c>
      <c r="AR42" s="165" t="s">
        <v>520</v>
      </c>
    </row>
    <row r="43" spans="1:44" ht="49.5" customHeight="1">
      <c r="A43" s="166" t="s">
        <v>513</v>
      </c>
      <c r="B43" s="166" t="s">
        <v>521</v>
      </c>
      <c r="C43" s="130" t="s">
        <v>522</v>
      </c>
      <c r="D43" s="131" t="s">
        <v>523</v>
      </c>
      <c r="E43" s="132"/>
      <c r="F43" s="152"/>
      <c r="G43" s="131"/>
      <c r="H43" s="131"/>
      <c r="I43" s="167">
        <v>1</v>
      </c>
      <c r="J43" s="134">
        <v>1</v>
      </c>
      <c r="K43" s="167"/>
      <c r="L43" s="154"/>
      <c r="M43" s="154"/>
      <c r="N43" s="154"/>
      <c r="O43" s="153">
        <f t="shared" ref="O43:Q43" si="34">SUM(O44:O45)</f>
        <v>0</v>
      </c>
      <c r="P43" s="153">
        <f t="shared" si="34"/>
        <v>0</v>
      </c>
      <c r="Q43" s="153">
        <f t="shared" si="34"/>
        <v>6804</v>
      </c>
      <c r="R43" s="154"/>
      <c r="S43" s="154"/>
      <c r="T43" s="154"/>
      <c r="U43" s="153">
        <f t="shared" ref="U43:W43" si="35">SUM(U44:U45)</f>
        <v>0</v>
      </c>
      <c r="V43" s="153">
        <f t="shared" si="35"/>
        <v>0</v>
      </c>
      <c r="W43" s="153">
        <f t="shared" si="35"/>
        <v>6804</v>
      </c>
      <c r="X43" s="154"/>
      <c r="Y43" s="154"/>
      <c r="Z43" s="154"/>
      <c r="AA43" s="153">
        <f t="shared" ref="AA43:AC43" si="36">SUM(AA44:AA45)</f>
        <v>0</v>
      </c>
      <c r="AB43" s="153">
        <f t="shared" si="36"/>
        <v>0</v>
      </c>
      <c r="AC43" s="153">
        <f t="shared" si="36"/>
        <v>6804</v>
      </c>
      <c r="AD43" s="154"/>
      <c r="AE43" s="154"/>
      <c r="AF43" s="154"/>
      <c r="AG43" s="153">
        <f t="shared" ref="AG43:AI43" si="37">SUM(AG44:AG45)</f>
        <v>0</v>
      </c>
      <c r="AH43" s="153">
        <f t="shared" si="37"/>
        <v>0</v>
      </c>
      <c r="AI43" s="153">
        <f t="shared" si="37"/>
        <v>6814</v>
      </c>
      <c r="AJ43" s="153">
        <f>SUM(AJ44:AJ45)</f>
        <v>27226</v>
      </c>
      <c r="AK43" s="153">
        <f>SUM(AK44:AK45)</f>
        <v>27226</v>
      </c>
      <c r="AL43" s="168"/>
      <c r="AM43" s="168"/>
      <c r="AN43" s="168"/>
      <c r="AO43" s="168"/>
      <c r="AP43" s="169"/>
      <c r="AQ43" s="131"/>
      <c r="AR43" s="169"/>
    </row>
    <row r="44" spans="1:44" ht="67.5" customHeight="1">
      <c r="A44" s="1164" t="s">
        <v>513</v>
      </c>
      <c r="B44" s="1164" t="s">
        <v>521</v>
      </c>
      <c r="C44" s="1165" t="s">
        <v>524</v>
      </c>
      <c r="D44" s="1163" t="s">
        <v>525</v>
      </c>
      <c r="E44" s="170">
        <v>400</v>
      </c>
      <c r="F44" s="47" t="s">
        <v>131</v>
      </c>
      <c r="G44" s="1163" t="s">
        <v>526</v>
      </c>
      <c r="H44" s="1167" t="s">
        <v>168</v>
      </c>
      <c r="I44" s="1161">
        <v>100</v>
      </c>
      <c r="J44" s="1160"/>
      <c r="K44" s="1161">
        <v>100</v>
      </c>
      <c r="L44" s="144"/>
      <c r="M44" s="144"/>
      <c r="N44" s="144">
        <v>100</v>
      </c>
      <c r="O44" s="144"/>
      <c r="P44" s="144"/>
      <c r="Q44" s="144">
        <v>5443</v>
      </c>
      <c r="R44" s="144"/>
      <c r="S44" s="144"/>
      <c r="T44" s="144">
        <v>100</v>
      </c>
      <c r="U44" s="144"/>
      <c r="V44" s="144"/>
      <c r="W44" s="144">
        <v>5443</v>
      </c>
      <c r="X44" s="144"/>
      <c r="Y44" s="144"/>
      <c r="Z44" s="144">
        <v>100</v>
      </c>
      <c r="AA44" s="144"/>
      <c r="AB44" s="144"/>
      <c r="AC44" s="144">
        <v>5443</v>
      </c>
      <c r="AD44" s="144"/>
      <c r="AE44" s="144"/>
      <c r="AF44" s="144">
        <v>100</v>
      </c>
      <c r="AG44" s="144"/>
      <c r="AH44" s="144"/>
      <c r="AI44" s="144">
        <v>5443</v>
      </c>
      <c r="AJ44" s="23">
        <f t="shared" si="4"/>
        <v>21772</v>
      </c>
      <c r="AK44" s="144">
        <v>21772</v>
      </c>
      <c r="AL44" s="164"/>
      <c r="AM44" s="164"/>
      <c r="AN44" s="164"/>
      <c r="AO44" s="164"/>
      <c r="AP44" s="1162" t="s">
        <v>425</v>
      </c>
      <c r="AQ44" s="1163" t="s">
        <v>451</v>
      </c>
      <c r="AR44" s="1162" t="s">
        <v>527</v>
      </c>
    </row>
    <row r="45" spans="1:44" ht="22.5" customHeight="1">
      <c r="A45" s="1164"/>
      <c r="B45" s="1164"/>
      <c r="C45" s="1165"/>
      <c r="D45" s="1163"/>
      <c r="E45" s="173">
        <v>100</v>
      </c>
      <c r="F45" s="47" t="s">
        <v>134</v>
      </c>
      <c r="G45" s="1163"/>
      <c r="H45" s="1167"/>
      <c r="I45" s="1161"/>
      <c r="J45" s="1160"/>
      <c r="K45" s="1161"/>
      <c r="L45" s="144"/>
      <c r="M45" s="144"/>
      <c r="N45" s="144">
        <v>25</v>
      </c>
      <c r="O45" s="144"/>
      <c r="P45" s="144"/>
      <c r="Q45" s="144">
        <v>1361</v>
      </c>
      <c r="R45" s="144"/>
      <c r="S45" s="144"/>
      <c r="T45" s="144">
        <v>25</v>
      </c>
      <c r="U45" s="144"/>
      <c r="V45" s="144"/>
      <c r="W45" s="144">
        <v>1361</v>
      </c>
      <c r="X45" s="144"/>
      <c r="Y45" s="144"/>
      <c r="Z45" s="144">
        <v>25</v>
      </c>
      <c r="AA45" s="144"/>
      <c r="AB45" s="144"/>
      <c r="AC45" s="144">
        <v>1361</v>
      </c>
      <c r="AD45" s="144"/>
      <c r="AE45" s="144"/>
      <c r="AF45" s="144">
        <v>25</v>
      </c>
      <c r="AG45" s="144"/>
      <c r="AH45" s="144"/>
      <c r="AI45" s="144">
        <v>1371</v>
      </c>
      <c r="AJ45" s="23">
        <f t="shared" si="4"/>
        <v>5454</v>
      </c>
      <c r="AK45" s="144">
        <v>5454</v>
      </c>
      <c r="AL45" s="164"/>
      <c r="AM45" s="164"/>
      <c r="AN45" s="164"/>
      <c r="AO45" s="164"/>
      <c r="AP45" s="1162"/>
      <c r="AQ45" s="1163"/>
      <c r="AR45" s="1162"/>
    </row>
    <row r="46" spans="1:44" ht="96" customHeight="1">
      <c r="A46" s="130" t="s">
        <v>513</v>
      </c>
      <c r="B46" s="130" t="s">
        <v>528</v>
      </c>
      <c r="C46" s="130" t="s">
        <v>529</v>
      </c>
      <c r="D46" s="131" t="s">
        <v>530</v>
      </c>
      <c r="E46" s="132"/>
      <c r="F46" s="152"/>
      <c r="G46" s="131"/>
      <c r="H46" s="131"/>
      <c r="I46" s="167">
        <v>1</v>
      </c>
      <c r="J46" s="134">
        <v>1</v>
      </c>
      <c r="K46" s="167"/>
      <c r="L46" s="154"/>
      <c r="M46" s="154"/>
      <c r="N46" s="154"/>
      <c r="O46" s="153">
        <f t="shared" ref="O46:Q46" si="38">SUM(O47)</f>
        <v>9780</v>
      </c>
      <c r="P46" s="153">
        <f t="shared" si="38"/>
        <v>0</v>
      </c>
      <c r="Q46" s="153">
        <f t="shared" si="38"/>
        <v>0</v>
      </c>
      <c r="R46" s="135"/>
      <c r="S46" s="135"/>
      <c r="T46" s="135"/>
      <c r="U46" s="153">
        <f t="shared" ref="U46:W46" si="39">SUM(U47)</f>
        <v>0</v>
      </c>
      <c r="V46" s="153">
        <f t="shared" si="39"/>
        <v>0</v>
      </c>
      <c r="W46" s="153">
        <f t="shared" si="39"/>
        <v>0</v>
      </c>
      <c r="X46" s="154"/>
      <c r="Y46" s="154"/>
      <c r="Z46" s="154"/>
      <c r="AA46" s="153">
        <f t="shared" ref="AA46:AC46" si="40">SUM(AA47)</f>
        <v>0</v>
      </c>
      <c r="AB46" s="153">
        <f t="shared" si="40"/>
        <v>0</v>
      </c>
      <c r="AC46" s="153">
        <f t="shared" si="40"/>
        <v>0</v>
      </c>
      <c r="AD46" s="154"/>
      <c r="AE46" s="154"/>
      <c r="AF46" s="154"/>
      <c r="AG46" s="153">
        <f t="shared" ref="AG46:AI46" si="41">SUM(AG47)</f>
        <v>0</v>
      </c>
      <c r="AH46" s="153">
        <f t="shared" si="41"/>
        <v>0</v>
      </c>
      <c r="AI46" s="153">
        <f t="shared" si="41"/>
        <v>0</v>
      </c>
      <c r="AJ46" s="153">
        <f>SUM(AJ47)</f>
        <v>9780</v>
      </c>
      <c r="AK46" s="153">
        <f>SUM(AK47)</f>
        <v>9780</v>
      </c>
      <c r="AL46" s="168"/>
      <c r="AM46" s="168"/>
      <c r="AN46" s="168"/>
      <c r="AO46" s="168"/>
      <c r="AP46" s="169"/>
      <c r="AQ46" s="169"/>
      <c r="AR46" s="169"/>
    </row>
    <row r="47" spans="1:44" ht="94.5" customHeight="1">
      <c r="A47" s="150" t="s">
        <v>513</v>
      </c>
      <c r="B47" s="150" t="s">
        <v>528</v>
      </c>
      <c r="C47" s="107" t="s">
        <v>531</v>
      </c>
      <c r="D47" s="105" t="s">
        <v>532</v>
      </c>
      <c r="E47" s="151">
        <v>1</v>
      </c>
      <c r="F47" s="47" t="s">
        <v>533</v>
      </c>
      <c r="G47" s="86" t="s">
        <v>534</v>
      </c>
      <c r="H47" s="86" t="s">
        <v>168</v>
      </c>
      <c r="I47" s="172">
        <v>100</v>
      </c>
      <c r="J47" s="47"/>
      <c r="K47" s="172">
        <v>100</v>
      </c>
      <c r="L47" s="144">
        <v>1</v>
      </c>
      <c r="M47" s="144"/>
      <c r="N47" s="144"/>
      <c r="O47" s="144">
        <v>9780</v>
      </c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5"/>
      <c r="AF47" s="145"/>
      <c r="AG47" s="145"/>
      <c r="AH47" s="144"/>
      <c r="AI47" s="145"/>
      <c r="AJ47" s="23">
        <f t="shared" si="4"/>
        <v>9780</v>
      </c>
      <c r="AK47" s="23">
        <v>9780</v>
      </c>
      <c r="AL47" s="164"/>
      <c r="AM47" s="164"/>
      <c r="AN47" s="164"/>
      <c r="AO47" s="164"/>
      <c r="AP47" s="165" t="s">
        <v>425</v>
      </c>
      <c r="AQ47" s="165" t="s">
        <v>535</v>
      </c>
      <c r="AR47" s="165" t="s">
        <v>536</v>
      </c>
    </row>
    <row r="48" spans="1:44" ht="66" customHeight="1">
      <c r="A48" s="130" t="s">
        <v>537</v>
      </c>
      <c r="B48" s="130" t="s">
        <v>139</v>
      </c>
      <c r="C48" s="130" t="s">
        <v>538</v>
      </c>
      <c r="D48" s="131" t="s">
        <v>539</v>
      </c>
      <c r="E48" s="132"/>
      <c r="F48" s="152"/>
      <c r="G48" s="131"/>
      <c r="H48" s="131"/>
      <c r="I48" s="174">
        <v>22</v>
      </c>
      <c r="J48" s="174">
        <v>22</v>
      </c>
      <c r="K48" s="174"/>
      <c r="L48" s="154"/>
      <c r="M48" s="154"/>
      <c r="N48" s="154"/>
      <c r="O48" s="135">
        <f t="shared" ref="O48:Q48" si="42">SUM(O49:O52)</f>
        <v>0</v>
      </c>
      <c r="P48" s="135">
        <f t="shared" si="42"/>
        <v>0</v>
      </c>
      <c r="Q48" s="135">
        <f t="shared" si="42"/>
        <v>685674</v>
      </c>
      <c r="R48" s="154"/>
      <c r="S48" s="154"/>
      <c r="T48" s="135"/>
      <c r="U48" s="135">
        <f t="shared" ref="U48:W48" si="43">SUM(U49:U52)</f>
        <v>0</v>
      </c>
      <c r="V48" s="135">
        <f t="shared" si="43"/>
        <v>0</v>
      </c>
      <c r="W48" s="135">
        <f t="shared" si="43"/>
        <v>1671511</v>
      </c>
      <c r="X48" s="154"/>
      <c r="Y48" s="154"/>
      <c r="Z48" s="154"/>
      <c r="AA48" s="135">
        <f t="shared" ref="AA48:AC48" si="44">SUM(AA49:AA52)</f>
        <v>0</v>
      </c>
      <c r="AB48" s="135">
        <f t="shared" si="44"/>
        <v>0</v>
      </c>
      <c r="AC48" s="135">
        <f t="shared" si="44"/>
        <v>686297</v>
      </c>
      <c r="AD48" s="154"/>
      <c r="AE48" s="154"/>
      <c r="AF48" s="154"/>
      <c r="AG48" s="135">
        <f t="shared" ref="AG48:AI48" si="45">SUM(AG49:AG52)</f>
        <v>0</v>
      </c>
      <c r="AH48" s="135">
        <f t="shared" si="45"/>
        <v>0</v>
      </c>
      <c r="AI48" s="135">
        <f t="shared" si="45"/>
        <v>396482</v>
      </c>
      <c r="AJ48" s="135">
        <f>SUM(AJ49:AJ52)</f>
        <v>3439964</v>
      </c>
      <c r="AK48" s="175"/>
      <c r="AL48" s="168"/>
      <c r="AM48" s="168"/>
      <c r="AN48" s="135">
        <f t="shared" ref="AN48:AO48" si="46">SUM(AN49:AN52)</f>
        <v>1457310</v>
      </c>
      <c r="AO48" s="135">
        <f t="shared" si="46"/>
        <v>1982654</v>
      </c>
      <c r="AP48" s="169"/>
      <c r="AQ48" s="169"/>
      <c r="AR48" s="169"/>
    </row>
    <row r="49" spans="1:44" ht="93" customHeight="1">
      <c r="A49" s="1164" t="s">
        <v>537</v>
      </c>
      <c r="B49" s="1164" t="s">
        <v>139</v>
      </c>
      <c r="C49" s="1165" t="s">
        <v>540</v>
      </c>
      <c r="D49" s="1166" t="s">
        <v>541</v>
      </c>
      <c r="E49" s="176">
        <v>100</v>
      </c>
      <c r="F49" s="47" t="s">
        <v>542</v>
      </c>
      <c r="G49" s="94" t="s">
        <v>543</v>
      </c>
      <c r="H49" s="86" t="s">
        <v>168</v>
      </c>
      <c r="I49" s="163">
        <v>27</v>
      </c>
      <c r="J49" s="163"/>
      <c r="K49" s="163">
        <v>27</v>
      </c>
      <c r="L49" s="144"/>
      <c r="M49" s="144"/>
      <c r="N49" s="144">
        <v>20</v>
      </c>
      <c r="O49" s="144"/>
      <c r="P49" s="144"/>
      <c r="Q49" s="144">
        <v>125401</v>
      </c>
      <c r="R49" s="144"/>
      <c r="S49" s="144"/>
      <c r="T49" s="144">
        <v>30</v>
      </c>
      <c r="U49" s="144"/>
      <c r="V49" s="144"/>
      <c r="W49" s="144">
        <v>547342</v>
      </c>
      <c r="X49" s="144"/>
      <c r="Y49" s="144"/>
      <c r="Z49" s="144">
        <v>25</v>
      </c>
      <c r="AA49" s="144"/>
      <c r="AB49" s="144"/>
      <c r="AC49" s="144">
        <v>120668</v>
      </c>
      <c r="AD49" s="144"/>
      <c r="AE49" s="144"/>
      <c r="AF49" s="144">
        <v>25</v>
      </c>
      <c r="AG49" s="144"/>
      <c r="AH49" s="144"/>
      <c r="AI49" s="144">
        <v>124994</v>
      </c>
      <c r="AJ49" s="23">
        <f t="shared" si="4"/>
        <v>918405</v>
      </c>
      <c r="AK49" s="142"/>
      <c r="AL49" s="164"/>
      <c r="AM49" s="164"/>
      <c r="AN49" s="164">
        <v>918405</v>
      </c>
      <c r="AO49" s="164"/>
      <c r="AP49" s="165" t="s">
        <v>544</v>
      </c>
      <c r="AQ49" s="165" t="s">
        <v>545</v>
      </c>
      <c r="AR49" s="165" t="s">
        <v>546</v>
      </c>
    </row>
    <row r="50" spans="1:44" ht="125.25" customHeight="1">
      <c r="A50" s="1164"/>
      <c r="B50" s="1164"/>
      <c r="C50" s="1165"/>
      <c r="D50" s="1166"/>
      <c r="E50" s="176">
        <v>100</v>
      </c>
      <c r="F50" s="47" t="s">
        <v>542</v>
      </c>
      <c r="G50" s="94" t="s">
        <v>547</v>
      </c>
      <c r="H50" s="86" t="s">
        <v>168</v>
      </c>
      <c r="I50" s="163">
        <v>15</v>
      </c>
      <c r="J50" s="163"/>
      <c r="K50" s="163">
        <v>15</v>
      </c>
      <c r="L50" s="144"/>
      <c r="M50" s="144"/>
      <c r="N50" s="144">
        <v>10</v>
      </c>
      <c r="O50" s="144"/>
      <c r="P50" s="144"/>
      <c r="Q50" s="144">
        <v>80836</v>
      </c>
      <c r="R50" s="144"/>
      <c r="S50" s="144"/>
      <c r="T50" s="144">
        <v>20</v>
      </c>
      <c r="U50" s="144"/>
      <c r="V50" s="144"/>
      <c r="W50" s="144">
        <v>161671</v>
      </c>
      <c r="X50" s="144"/>
      <c r="Y50" s="144"/>
      <c r="Z50" s="144">
        <v>30</v>
      </c>
      <c r="AA50" s="144"/>
      <c r="AB50" s="144"/>
      <c r="AC50" s="144">
        <v>215562</v>
      </c>
      <c r="AD50" s="144"/>
      <c r="AE50" s="144"/>
      <c r="AF50" s="144">
        <v>40</v>
      </c>
      <c r="AG50" s="144"/>
      <c r="AH50" s="144"/>
      <c r="AI50" s="144">
        <v>80836</v>
      </c>
      <c r="AJ50" s="23">
        <f t="shared" si="4"/>
        <v>538905</v>
      </c>
      <c r="AK50" s="142"/>
      <c r="AL50" s="164"/>
      <c r="AM50" s="164"/>
      <c r="AN50" s="164">
        <v>538905</v>
      </c>
      <c r="AO50" s="164"/>
      <c r="AP50" s="165" t="s">
        <v>548</v>
      </c>
      <c r="AQ50" s="165" t="s">
        <v>549</v>
      </c>
      <c r="AR50" s="165"/>
    </row>
    <row r="51" spans="1:44" ht="125.25" customHeight="1">
      <c r="A51" s="1164"/>
      <c r="B51" s="1164"/>
      <c r="C51" s="1165"/>
      <c r="D51" s="1166"/>
      <c r="E51" s="176">
        <v>100</v>
      </c>
      <c r="F51" s="47" t="s">
        <v>542</v>
      </c>
      <c r="G51" s="94" t="s">
        <v>550</v>
      </c>
      <c r="H51" s="86" t="s">
        <v>168</v>
      </c>
      <c r="I51" s="163">
        <v>14</v>
      </c>
      <c r="J51" s="163"/>
      <c r="K51" s="163">
        <v>14</v>
      </c>
      <c r="L51" s="144"/>
      <c r="M51" s="144"/>
      <c r="N51" s="144">
        <v>31</v>
      </c>
      <c r="O51" s="144"/>
      <c r="P51" s="144"/>
      <c r="Q51" s="144">
        <v>147490</v>
      </c>
      <c r="R51" s="144"/>
      <c r="S51" s="144"/>
      <c r="T51" s="144">
        <v>32</v>
      </c>
      <c r="U51" s="144"/>
      <c r="V51" s="144"/>
      <c r="W51" s="144">
        <v>152247</v>
      </c>
      <c r="X51" s="144"/>
      <c r="Y51" s="144"/>
      <c r="Z51" s="144">
        <v>14</v>
      </c>
      <c r="AA51" s="144"/>
      <c r="AB51" s="144"/>
      <c r="AC51" s="144">
        <v>66608</v>
      </c>
      <c r="AD51" s="144"/>
      <c r="AE51" s="144"/>
      <c r="AF51" s="144">
        <v>23</v>
      </c>
      <c r="AG51" s="144"/>
      <c r="AH51" s="144"/>
      <c r="AI51" s="144">
        <v>109428</v>
      </c>
      <c r="AJ51" s="23">
        <f t="shared" si="4"/>
        <v>475773</v>
      </c>
      <c r="AK51" s="142"/>
      <c r="AL51" s="164"/>
      <c r="AM51" s="164"/>
      <c r="AN51" s="164"/>
      <c r="AO51" s="23">
        <v>475773</v>
      </c>
      <c r="AP51" s="165" t="s">
        <v>425</v>
      </c>
      <c r="AQ51" s="165" t="s">
        <v>551</v>
      </c>
      <c r="AR51" s="165"/>
    </row>
    <row r="52" spans="1:44" ht="125.25" customHeight="1">
      <c r="A52" s="1164"/>
      <c r="B52" s="1164"/>
      <c r="C52" s="1165"/>
      <c r="D52" s="1166"/>
      <c r="E52" s="176">
        <v>100</v>
      </c>
      <c r="F52" s="47" t="s">
        <v>542</v>
      </c>
      <c r="G52" s="94" t="s">
        <v>552</v>
      </c>
      <c r="H52" s="86" t="s">
        <v>168</v>
      </c>
      <c r="I52" s="163">
        <v>44</v>
      </c>
      <c r="J52" s="163"/>
      <c r="K52" s="163">
        <v>44</v>
      </c>
      <c r="L52" s="144"/>
      <c r="M52" s="144"/>
      <c r="N52" s="144">
        <v>15</v>
      </c>
      <c r="O52" s="144"/>
      <c r="P52" s="144"/>
      <c r="Q52" s="144">
        <v>331947</v>
      </c>
      <c r="R52" s="144"/>
      <c r="S52" s="144"/>
      <c r="T52" s="144">
        <v>25</v>
      </c>
      <c r="U52" s="144"/>
      <c r="V52" s="144"/>
      <c r="W52" s="144">
        <v>810251</v>
      </c>
      <c r="X52" s="144"/>
      <c r="Y52" s="144"/>
      <c r="Z52" s="144">
        <v>30</v>
      </c>
      <c r="AA52" s="144"/>
      <c r="AB52" s="144"/>
      <c r="AC52" s="144">
        <v>283459</v>
      </c>
      <c r="AD52" s="144"/>
      <c r="AE52" s="144"/>
      <c r="AF52" s="144">
        <v>30</v>
      </c>
      <c r="AG52" s="144"/>
      <c r="AH52" s="144"/>
      <c r="AI52" s="144">
        <v>81224</v>
      </c>
      <c r="AJ52" s="23">
        <f t="shared" si="4"/>
        <v>1506881</v>
      </c>
      <c r="AK52" s="142"/>
      <c r="AL52" s="164"/>
      <c r="AM52" s="164"/>
      <c r="AN52" s="164"/>
      <c r="AO52" s="23">
        <v>1506881</v>
      </c>
      <c r="AP52" s="165" t="s">
        <v>478</v>
      </c>
      <c r="AQ52" s="165" t="s">
        <v>553</v>
      </c>
      <c r="AR52" s="165"/>
    </row>
    <row r="53" spans="1:44" ht="83.25" customHeight="1">
      <c r="A53" s="177" t="s">
        <v>285</v>
      </c>
      <c r="B53" s="177" t="s">
        <v>554</v>
      </c>
      <c r="C53" s="178" t="s">
        <v>555</v>
      </c>
      <c r="D53" s="131" t="s">
        <v>556</v>
      </c>
      <c r="E53" s="132"/>
      <c r="F53" s="152"/>
      <c r="G53" s="131"/>
      <c r="H53" s="131"/>
      <c r="I53" s="179">
        <v>36</v>
      </c>
      <c r="J53" s="179">
        <v>36</v>
      </c>
      <c r="K53" s="180"/>
      <c r="L53" s="154"/>
      <c r="M53" s="154"/>
      <c r="N53" s="154"/>
      <c r="O53" s="154">
        <f t="shared" ref="O53:P53" si="47">SUM(O54:O69)</f>
        <v>1015869</v>
      </c>
      <c r="P53" s="154">
        <f t="shared" si="47"/>
        <v>213078</v>
      </c>
      <c r="Q53" s="154">
        <v>266985</v>
      </c>
      <c r="R53" s="154"/>
      <c r="S53" s="154"/>
      <c r="T53" s="154"/>
      <c r="U53" s="154">
        <f t="shared" ref="U53:W53" si="48">SUM(U54:U69)</f>
        <v>223762</v>
      </c>
      <c r="V53" s="154">
        <f t="shared" si="48"/>
        <v>765585</v>
      </c>
      <c r="W53" s="154">
        <f t="shared" si="48"/>
        <v>823962</v>
      </c>
      <c r="X53" s="154"/>
      <c r="Y53" s="154"/>
      <c r="Z53" s="154"/>
      <c r="AA53" s="154">
        <f t="shared" ref="AA53:AC53" si="49">SUM(AA54:AA69)</f>
        <v>601647</v>
      </c>
      <c r="AB53" s="154">
        <f t="shared" si="49"/>
        <v>245286</v>
      </c>
      <c r="AC53" s="154">
        <f t="shared" si="49"/>
        <v>234141</v>
      </c>
      <c r="AD53" s="154"/>
      <c r="AE53" s="154"/>
      <c r="AF53" s="154"/>
      <c r="AG53" s="154">
        <f t="shared" ref="AG53:AI53" si="50">SUM(AG54:AG69)</f>
        <v>351956</v>
      </c>
      <c r="AH53" s="154">
        <f t="shared" si="50"/>
        <v>306841</v>
      </c>
      <c r="AI53" s="154">
        <f t="shared" si="50"/>
        <v>414040</v>
      </c>
      <c r="AJ53" s="154">
        <f>SUM(AJ54:AJ69)</f>
        <v>5463152</v>
      </c>
      <c r="AK53" s="154">
        <f t="shared" ref="AK53:AN53" si="51">SUM(AK54:AK69)</f>
        <v>4555090</v>
      </c>
      <c r="AL53" s="154">
        <f t="shared" si="51"/>
        <v>0</v>
      </c>
      <c r="AM53" s="154">
        <f t="shared" si="51"/>
        <v>877335</v>
      </c>
      <c r="AN53" s="154">
        <f t="shared" si="51"/>
        <v>0</v>
      </c>
      <c r="AO53" s="154">
        <v>30727</v>
      </c>
      <c r="AP53" s="131"/>
      <c r="AQ53" s="181"/>
      <c r="AR53" s="181"/>
    </row>
    <row r="54" spans="1:44" ht="114" customHeight="1">
      <c r="A54" s="150" t="s">
        <v>285</v>
      </c>
      <c r="B54" s="150" t="s">
        <v>554</v>
      </c>
      <c r="C54" s="150" t="s">
        <v>557</v>
      </c>
      <c r="D54" s="105" t="s">
        <v>558</v>
      </c>
      <c r="E54" s="182">
        <v>80</v>
      </c>
      <c r="F54" s="107" t="s">
        <v>171</v>
      </c>
      <c r="G54" s="105" t="s">
        <v>559</v>
      </c>
      <c r="H54" s="105" t="s">
        <v>560</v>
      </c>
      <c r="I54" s="156">
        <v>2</v>
      </c>
      <c r="J54" s="156"/>
      <c r="K54" s="156">
        <v>2</v>
      </c>
      <c r="L54" s="142">
        <v>10</v>
      </c>
      <c r="M54" s="142">
        <v>2</v>
      </c>
      <c r="N54" s="142">
        <v>13</v>
      </c>
      <c r="O54" s="183">
        <v>10978</v>
      </c>
      <c r="P54" s="183">
        <v>10978</v>
      </c>
      <c r="Q54" s="183">
        <v>10978</v>
      </c>
      <c r="R54" s="184">
        <v>8</v>
      </c>
      <c r="S54" s="184">
        <v>2</v>
      </c>
      <c r="T54" s="184">
        <v>10</v>
      </c>
      <c r="U54" s="183">
        <v>10978</v>
      </c>
      <c r="V54" s="183">
        <v>10978</v>
      </c>
      <c r="W54" s="183">
        <v>10978</v>
      </c>
      <c r="X54" s="185">
        <v>8</v>
      </c>
      <c r="Y54" s="185">
        <v>2</v>
      </c>
      <c r="Z54" s="185">
        <v>6</v>
      </c>
      <c r="AA54" s="183">
        <v>10978</v>
      </c>
      <c r="AB54" s="183">
        <v>10978</v>
      </c>
      <c r="AC54" s="183">
        <v>10978</v>
      </c>
      <c r="AD54" s="142">
        <v>5</v>
      </c>
      <c r="AE54" s="142">
        <v>3</v>
      </c>
      <c r="AF54" s="142">
        <v>11</v>
      </c>
      <c r="AG54" s="183">
        <v>4717</v>
      </c>
      <c r="AH54" s="183">
        <v>5978</v>
      </c>
      <c r="AI54" s="183">
        <v>10989</v>
      </c>
      <c r="AJ54" s="23">
        <f t="shared" si="4"/>
        <v>120486</v>
      </c>
      <c r="AK54" s="23">
        <v>120486</v>
      </c>
      <c r="AL54" s="164"/>
      <c r="AM54" s="164"/>
      <c r="AN54" s="164"/>
      <c r="AO54" s="164"/>
      <c r="AP54" s="186" t="s">
        <v>561</v>
      </c>
      <c r="AQ54" s="94" t="s">
        <v>562</v>
      </c>
      <c r="AR54" s="165"/>
    </row>
    <row r="55" spans="1:44" ht="101.25" customHeight="1">
      <c r="A55" s="150" t="s">
        <v>285</v>
      </c>
      <c r="B55" s="150" t="s">
        <v>554</v>
      </c>
      <c r="C55" s="150" t="s">
        <v>563</v>
      </c>
      <c r="D55" s="105" t="s">
        <v>564</v>
      </c>
      <c r="E55" s="182">
        <v>12</v>
      </c>
      <c r="F55" s="107" t="s">
        <v>168</v>
      </c>
      <c r="G55" s="105" t="s">
        <v>565</v>
      </c>
      <c r="H55" s="105" t="s">
        <v>168</v>
      </c>
      <c r="I55" s="156">
        <v>3</v>
      </c>
      <c r="J55" s="156"/>
      <c r="K55" s="156">
        <v>3</v>
      </c>
      <c r="L55" s="23">
        <v>1</v>
      </c>
      <c r="M55" s="23">
        <v>1</v>
      </c>
      <c r="N55" s="23">
        <v>1</v>
      </c>
      <c r="O55" s="187">
        <v>15031</v>
      </c>
      <c r="P55" s="187">
        <v>15031</v>
      </c>
      <c r="Q55" s="187">
        <v>15031</v>
      </c>
      <c r="R55" s="23">
        <v>1</v>
      </c>
      <c r="S55" s="23">
        <v>1</v>
      </c>
      <c r="T55" s="23">
        <v>1</v>
      </c>
      <c r="U55" s="187">
        <v>15031</v>
      </c>
      <c r="V55" s="187">
        <v>15031</v>
      </c>
      <c r="W55" s="187">
        <v>15031</v>
      </c>
      <c r="X55" s="23">
        <v>1</v>
      </c>
      <c r="Y55" s="23">
        <v>1</v>
      </c>
      <c r="Z55" s="23">
        <v>1</v>
      </c>
      <c r="AA55" s="187">
        <v>15031</v>
      </c>
      <c r="AB55" s="187">
        <v>15031</v>
      </c>
      <c r="AC55" s="187">
        <v>15031</v>
      </c>
      <c r="AD55" s="23">
        <v>1</v>
      </c>
      <c r="AE55" s="23">
        <v>1</v>
      </c>
      <c r="AF55" s="23">
        <v>1</v>
      </c>
      <c r="AG55" s="187">
        <v>15031</v>
      </c>
      <c r="AH55" s="187">
        <v>15031</v>
      </c>
      <c r="AI55" s="187">
        <v>15039</v>
      </c>
      <c r="AJ55" s="23">
        <f t="shared" si="4"/>
        <v>180380</v>
      </c>
      <c r="AK55" s="23">
        <v>180380</v>
      </c>
      <c r="AL55" s="164"/>
      <c r="AM55" s="164"/>
      <c r="AN55" s="164"/>
      <c r="AO55" s="164"/>
      <c r="AP55" s="186" t="s">
        <v>561</v>
      </c>
      <c r="AQ55" s="94" t="s">
        <v>566</v>
      </c>
      <c r="AR55" s="165"/>
    </row>
    <row r="56" spans="1:44" ht="84.75" customHeight="1">
      <c r="A56" s="150" t="s">
        <v>285</v>
      </c>
      <c r="B56" s="150" t="s">
        <v>554</v>
      </c>
      <c r="C56" s="150" t="s">
        <v>567</v>
      </c>
      <c r="D56" s="105" t="s">
        <v>568</v>
      </c>
      <c r="E56" s="47">
        <v>12</v>
      </c>
      <c r="F56" s="107" t="s">
        <v>569</v>
      </c>
      <c r="G56" s="105" t="s">
        <v>570</v>
      </c>
      <c r="H56" s="105" t="s">
        <v>168</v>
      </c>
      <c r="I56" s="156">
        <v>1</v>
      </c>
      <c r="J56" s="156"/>
      <c r="K56" s="156">
        <v>1</v>
      </c>
      <c r="L56" s="23">
        <v>1</v>
      </c>
      <c r="M56" s="23">
        <v>1</v>
      </c>
      <c r="N56" s="23">
        <v>1</v>
      </c>
      <c r="O56" s="47">
        <v>311</v>
      </c>
      <c r="P56" s="47">
        <v>311</v>
      </c>
      <c r="Q56" s="47">
        <v>313</v>
      </c>
      <c r="R56" s="23">
        <v>1</v>
      </c>
      <c r="S56" s="23">
        <v>1</v>
      </c>
      <c r="T56" s="23">
        <v>1</v>
      </c>
      <c r="U56" s="47">
        <v>311</v>
      </c>
      <c r="V56" s="47">
        <v>311</v>
      </c>
      <c r="W56" s="47">
        <v>313</v>
      </c>
      <c r="X56" s="23">
        <v>1</v>
      </c>
      <c r="Y56" s="23">
        <v>1</v>
      </c>
      <c r="Z56" s="23">
        <v>1</v>
      </c>
      <c r="AA56" s="47">
        <v>311</v>
      </c>
      <c r="AB56" s="47">
        <v>311</v>
      </c>
      <c r="AC56" s="47">
        <v>313</v>
      </c>
      <c r="AD56" s="23">
        <v>1</v>
      </c>
      <c r="AE56" s="23">
        <v>1</v>
      </c>
      <c r="AF56" s="23">
        <v>1</v>
      </c>
      <c r="AG56" s="47">
        <v>311</v>
      </c>
      <c r="AH56" s="47">
        <v>311</v>
      </c>
      <c r="AI56" s="47">
        <v>345</v>
      </c>
      <c r="AJ56" s="23">
        <f t="shared" si="4"/>
        <v>3772</v>
      </c>
      <c r="AK56" s="23">
        <v>3772</v>
      </c>
      <c r="AL56" s="164"/>
      <c r="AM56" s="164"/>
      <c r="AN56" s="164"/>
      <c r="AO56" s="164"/>
      <c r="AP56" s="186" t="s">
        <v>561</v>
      </c>
      <c r="AQ56" s="94" t="s">
        <v>571</v>
      </c>
      <c r="AR56" s="165"/>
    </row>
    <row r="57" spans="1:44" ht="130.5" customHeight="1">
      <c r="A57" s="150" t="s">
        <v>285</v>
      </c>
      <c r="B57" s="150" t="s">
        <v>554</v>
      </c>
      <c r="C57" s="150" t="s">
        <v>572</v>
      </c>
      <c r="D57" s="105" t="s">
        <v>573</v>
      </c>
      <c r="E57" s="188">
        <v>1080</v>
      </c>
      <c r="F57" s="107" t="s">
        <v>171</v>
      </c>
      <c r="G57" s="105" t="s">
        <v>574</v>
      </c>
      <c r="H57" s="105" t="s">
        <v>168</v>
      </c>
      <c r="I57" s="156">
        <v>3</v>
      </c>
      <c r="J57" s="156"/>
      <c r="K57" s="156">
        <v>3</v>
      </c>
      <c r="L57" s="23">
        <v>90</v>
      </c>
      <c r="M57" s="23">
        <v>90</v>
      </c>
      <c r="N57" s="23">
        <v>90</v>
      </c>
      <c r="O57" s="187">
        <v>13535</v>
      </c>
      <c r="P57" s="187">
        <v>13535</v>
      </c>
      <c r="Q57" s="187">
        <v>13535</v>
      </c>
      <c r="R57" s="23">
        <v>90</v>
      </c>
      <c r="S57" s="23">
        <v>90</v>
      </c>
      <c r="T57" s="23">
        <v>90</v>
      </c>
      <c r="U57" s="187">
        <v>13535</v>
      </c>
      <c r="V57" s="187">
        <v>13535</v>
      </c>
      <c r="W57" s="187">
        <v>13535</v>
      </c>
      <c r="X57" s="23">
        <v>90</v>
      </c>
      <c r="Y57" s="23">
        <v>90</v>
      </c>
      <c r="Z57" s="23">
        <v>90</v>
      </c>
      <c r="AA57" s="187">
        <v>13535</v>
      </c>
      <c r="AB57" s="187">
        <v>13535</v>
      </c>
      <c r="AC57" s="187">
        <v>13535</v>
      </c>
      <c r="AD57" s="23">
        <v>90</v>
      </c>
      <c r="AE57" s="23">
        <v>90</v>
      </c>
      <c r="AF57" s="23">
        <v>90</v>
      </c>
      <c r="AG57" s="187">
        <v>13535</v>
      </c>
      <c r="AH57" s="187">
        <v>13535</v>
      </c>
      <c r="AI57" s="187">
        <v>13541</v>
      </c>
      <c r="AJ57" s="23">
        <f t="shared" si="4"/>
        <v>162426</v>
      </c>
      <c r="AK57" s="23">
        <v>162426</v>
      </c>
      <c r="AL57" s="164"/>
      <c r="AM57" s="164"/>
      <c r="AN57" s="164"/>
      <c r="AO57" s="164"/>
      <c r="AP57" s="186" t="s">
        <v>561</v>
      </c>
      <c r="AQ57" s="105" t="s">
        <v>575</v>
      </c>
      <c r="AR57" s="165"/>
    </row>
    <row r="58" spans="1:44" ht="115.5" customHeight="1">
      <c r="A58" s="150" t="s">
        <v>285</v>
      </c>
      <c r="B58" s="150" t="s">
        <v>554</v>
      </c>
      <c r="C58" s="150" t="s">
        <v>576</v>
      </c>
      <c r="D58" s="105" t="s">
        <v>577</v>
      </c>
      <c r="E58" s="188">
        <v>1700</v>
      </c>
      <c r="F58" s="107" t="s">
        <v>171</v>
      </c>
      <c r="G58" s="105" t="s">
        <v>578</v>
      </c>
      <c r="H58" s="105" t="s">
        <v>168</v>
      </c>
      <c r="I58" s="156">
        <v>2</v>
      </c>
      <c r="J58" s="156"/>
      <c r="K58" s="156">
        <v>2</v>
      </c>
      <c r="L58" s="23">
        <v>141</v>
      </c>
      <c r="M58" s="23">
        <v>142</v>
      </c>
      <c r="N58" s="23">
        <v>142</v>
      </c>
      <c r="O58" s="47">
        <v>8153</v>
      </c>
      <c r="P58" s="47">
        <v>8153</v>
      </c>
      <c r="Q58" s="47">
        <v>8153</v>
      </c>
      <c r="R58" s="23">
        <v>141</v>
      </c>
      <c r="S58" s="23">
        <v>142</v>
      </c>
      <c r="T58" s="23">
        <v>142</v>
      </c>
      <c r="U58" s="47">
        <v>8153</v>
      </c>
      <c r="V58" s="47">
        <v>8153</v>
      </c>
      <c r="W58" s="47">
        <v>8153</v>
      </c>
      <c r="X58" s="23">
        <v>141</v>
      </c>
      <c r="Y58" s="23">
        <v>142</v>
      </c>
      <c r="Z58" s="23">
        <v>142</v>
      </c>
      <c r="AA58" s="47">
        <v>8153</v>
      </c>
      <c r="AB58" s="47">
        <v>8153</v>
      </c>
      <c r="AC58" s="47">
        <v>8153</v>
      </c>
      <c r="AD58" s="23">
        <v>141</v>
      </c>
      <c r="AE58" s="23">
        <v>142</v>
      </c>
      <c r="AF58" s="23">
        <v>142</v>
      </c>
      <c r="AG58" s="47">
        <v>8153</v>
      </c>
      <c r="AH58" s="47">
        <v>8153</v>
      </c>
      <c r="AI58" s="47">
        <v>8163</v>
      </c>
      <c r="AJ58" s="23">
        <f t="shared" si="4"/>
        <v>97846</v>
      </c>
      <c r="AK58" s="23">
        <v>97846</v>
      </c>
      <c r="AL58" s="164"/>
      <c r="AM58" s="164"/>
      <c r="AN58" s="164"/>
      <c r="AO58" s="164"/>
      <c r="AP58" s="186" t="s">
        <v>561</v>
      </c>
      <c r="AQ58" s="105" t="s">
        <v>579</v>
      </c>
      <c r="AR58" s="165"/>
    </row>
    <row r="59" spans="1:44" ht="144" customHeight="1">
      <c r="A59" s="150" t="s">
        <v>285</v>
      </c>
      <c r="B59" s="150" t="s">
        <v>554</v>
      </c>
      <c r="C59" s="150" t="s">
        <v>580</v>
      </c>
      <c r="D59" s="105" t="s">
        <v>581</v>
      </c>
      <c r="E59" s="182">
        <v>16</v>
      </c>
      <c r="F59" s="107" t="s">
        <v>168</v>
      </c>
      <c r="G59" s="189" t="s">
        <v>582</v>
      </c>
      <c r="H59" s="105" t="s">
        <v>168</v>
      </c>
      <c r="I59" s="156">
        <v>1</v>
      </c>
      <c r="J59" s="156"/>
      <c r="K59" s="156">
        <v>1</v>
      </c>
      <c r="L59" s="23">
        <v>1</v>
      </c>
      <c r="M59" s="23">
        <v>2</v>
      </c>
      <c r="N59" s="23">
        <v>1</v>
      </c>
      <c r="O59" s="47">
        <v>6312</v>
      </c>
      <c r="P59" s="47">
        <v>6312</v>
      </c>
      <c r="Q59" s="47">
        <v>6312</v>
      </c>
      <c r="R59" s="23">
        <v>1</v>
      </c>
      <c r="S59" s="23">
        <v>2</v>
      </c>
      <c r="T59" s="23">
        <v>1</v>
      </c>
      <c r="U59" s="47">
        <v>6312</v>
      </c>
      <c r="V59" s="47">
        <v>6312</v>
      </c>
      <c r="W59" s="47">
        <v>6312</v>
      </c>
      <c r="X59" s="23">
        <v>1</v>
      </c>
      <c r="Y59" s="23">
        <v>2</v>
      </c>
      <c r="Z59" s="23">
        <v>1</v>
      </c>
      <c r="AA59" s="47">
        <v>6312</v>
      </c>
      <c r="AB59" s="47">
        <v>6312</v>
      </c>
      <c r="AC59" s="47">
        <v>6312</v>
      </c>
      <c r="AD59" s="23">
        <v>1</v>
      </c>
      <c r="AE59" s="23">
        <v>2</v>
      </c>
      <c r="AF59" s="23">
        <v>1</v>
      </c>
      <c r="AG59" s="47">
        <v>6312</v>
      </c>
      <c r="AH59" s="47">
        <v>6312</v>
      </c>
      <c r="AI59" s="47">
        <v>6323</v>
      </c>
      <c r="AJ59" s="23">
        <f t="shared" si="4"/>
        <v>75755</v>
      </c>
      <c r="AK59" s="23">
        <v>75755</v>
      </c>
      <c r="AL59" s="164"/>
      <c r="AM59" s="164"/>
      <c r="AN59" s="164"/>
      <c r="AO59" s="164"/>
      <c r="AP59" s="186" t="s">
        <v>561</v>
      </c>
      <c r="AQ59" s="105" t="s">
        <v>583</v>
      </c>
      <c r="AR59" s="165"/>
    </row>
    <row r="60" spans="1:44" ht="115.5" customHeight="1">
      <c r="A60" s="150" t="s">
        <v>285</v>
      </c>
      <c r="B60" s="150" t="s">
        <v>554</v>
      </c>
      <c r="C60" s="150" t="s">
        <v>584</v>
      </c>
      <c r="D60" s="105" t="s">
        <v>585</v>
      </c>
      <c r="E60" s="188">
        <v>4</v>
      </c>
      <c r="F60" s="107" t="s">
        <v>171</v>
      </c>
      <c r="G60" s="190" t="s">
        <v>586</v>
      </c>
      <c r="H60" s="86" t="s">
        <v>168</v>
      </c>
      <c r="I60" s="156">
        <v>2</v>
      </c>
      <c r="J60" s="156"/>
      <c r="K60" s="156">
        <v>2</v>
      </c>
      <c r="L60" s="23"/>
      <c r="M60" s="23"/>
      <c r="N60" s="23">
        <v>1</v>
      </c>
      <c r="O60" s="187"/>
      <c r="P60" s="187"/>
      <c r="Q60" s="187">
        <v>22902</v>
      </c>
      <c r="R60" s="23"/>
      <c r="S60" s="23"/>
      <c r="T60" s="23">
        <v>1</v>
      </c>
      <c r="U60" s="187"/>
      <c r="V60" s="187"/>
      <c r="W60" s="187">
        <v>22902</v>
      </c>
      <c r="X60" s="23"/>
      <c r="Y60" s="23"/>
      <c r="Z60" s="23">
        <v>1</v>
      </c>
      <c r="AA60" s="187"/>
      <c r="AB60" s="187"/>
      <c r="AC60" s="187">
        <v>22902</v>
      </c>
      <c r="AD60" s="23"/>
      <c r="AE60" s="23"/>
      <c r="AF60" s="23">
        <v>1</v>
      </c>
      <c r="AG60" s="187"/>
      <c r="AH60" s="187"/>
      <c r="AI60" s="187">
        <v>22902</v>
      </c>
      <c r="AJ60" s="23">
        <f t="shared" si="4"/>
        <v>91608</v>
      </c>
      <c r="AK60" s="23">
        <v>91608</v>
      </c>
      <c r="AL60" s="164"/>
      <c r="AM60" s="164"/>
      <c r="AN60" s="164"/>
      <c r="AO60" s="164"/>
      <c r="AP60" s="186" t="s">
        <v>561</v>
      </c>
      <c r="AQ60" s="105" t="s">
        <v>587</v>
      </c>
      <c r="AR60" s="165"/>
    </row>
    <row r="61" spans="1:44" ht="134.25" customHeight="1">
      <c r="A61" s="150" t="s">
        <v>285</v>
      </c>
      <c r="B61" s="150" t="s">
        <v>554</v>
      </c>
      <c r="C61" s="150" t="s">
        <v>588</v>
      </c>
      <c r="D61" s="105" t="s">
        <v>589</v>
      </c>
      <c r="E61" s="188">
        <v>12</v>
      </c>
      <c r="F61" s="107" t="s">
        <v>168</v>
      </c>
      <c r="G61" s="190" t="s">
        <v>590</v>
      </c>
      <c r="H61" s="86" t="s">
        <v>168</v>
      </c>
      <c r="I61" s="156">
        <v>2</v>
      </c>
      <c r="J61" s="156"/>
      <c r="K61" s="156">
        <v>2</v>
      </c>
      <c r="L61" s="23">
        <v>1</v>
      </c>
      <c r="M61" s="23">
        <v>1</v>
      </c>
      <c r="N61" s="23">
        <v>1</v>
      </c>
      <c r="O61" s="187">
        <v>10257</v>
      </c>
      <c r="P61" s="187">
        <v>10257</v>
      </c>
      <c r="Q61" s="187">
        <v>10257</v>
      </c>
      <c r="R61" s="23">
        <v>1</v>
      </c>
      <c r="S61" s="23">
        <v>1</v>
      </c>
      <c r="T61" s="23">
        <v>1</v>
      </c>
      <c r="U61" s="187">
        <v>10257</v>
      </c>
      <c r="V61" s="187">
        <v>10257</v>
      </c>
      <c r="W61" s="187">
        <v>10257</v>
      </c>
      <c r="X61" s="23">
        <v>1</v>
      </c>
      <c r="Y61" s="23">
        <v>1</v>
      </c>
      <c r="Z61" s="23">
        <v>1</v>
      </c>
      <c r="AA61" s="187">
        <v>10257</v>
      </c>
      <c r="AB61" s="187">
        <v>10257</v>
      </c>
      <c r="AC61" s="187">
        <v>10257</v>
      </c>
      <c r="AD61" s="23">
        <v>1</v>
      </c>
      <c r="AE61" s="23">
        <v>1</v>
      </c>
      <c r="AF61" s="23">
        <v>1</v>
      </c>
      <c r="AG61" s="187">
        <v>10257</v>
      </c>
      <c r="AH61" s="187">
        <v>10257</v>
      </c>
      <c r="AI61" s="187">
        <v>10259</v>
      </c>
      <c r="AJ61" s="23">
        <f t="shared" si="4"/>
        <v>123086</v>
      </c>
      <c r="AK61" s="23">
        <v>123086</v>
      </c>
      <c r="AL61" s="164"/>
      <c r="AM61" s="164"/>
      <c r="AN61" s="164"/>
      <c r="AO61" s="164"/>
      <c r="AP61" s="186" t="s">
        <v>561</v>
      </c>
      <c r="AQ61" s="105" t="s">
        <v>591</v>
      </c>
      <c r="AR61" s="165"/>
    </row>
    <row r="62" spans="1:44" ht="141.75" customHeight="1">
      <c r="A62" s="150" t="s">
        <v>285</v>
      </c>
      <c r="B62" s="150" t="s">
        <v>554</v>
      </c>
      <c r="C62" s="150" t="s">
        <v>592</v>
      </c>
      <c r="D62" s="105" t="s">
        <v>593</v>
      </c>
      <c r="E62" s="188">
        <v>12</v>
      </c>
      <c r="F62" s="107" t="s">
        <v>168</v>
      </c>
      <c r="G62" s="190" t="s">
        <v>594</v>
      </c>
      <c r="H62" s="86" t="s">
        <v>168</v>
      </c>
      <c r="I62" s="156">
        <v>15</v>
      </c>
      <c r="J62" s="156"/>
      <c r="K62" s="156">
        <v>15</v>
      </c>
      <c r="L62" s="23">
        <v>1</v>
      </c>
      <c r="M62" s="23">
        <v>1</v>
      </c>
      <c r="N62" s="23">
        <v>1</v>
      </c>
      <c r="O62" s="187">
        <v>74898</v>
      </c>
      <c r="P62" s="187">
        <v>63995</v>
      </c>
      <c r="Q62" s="187">
        <v>63996</v>
      </c>
      <c r="R62" s="23">
        <v>1</v>
      </c>
      <c r="S62" s="23">
        <v>1</v>
      </c>
      <c r="T62" s="23">
        <v>1</v>
      </c>
      <c r="U62" s="187">
        <v>74898</v>
      </c>
      <c r="V62" s="187">
        <v>63995</v>
      </c>
      <c r="W62" s="187">
        <v>63996</v>
      </c>
      <c r="X62" s="23">
        <v>1</v>
      </c>
      <c r="Y62" s="23">
        <v>1</v>
      </c>
      <c r="Z62" s="23">
        <v>1</v>
      </c>
      <c r="AA62" s="187">
        <v>74898</v>
      </c>
      <c r="AB62" s="187">
        <v>63995</v>
      </c>
      <c r="AC62" s="187">
        <v>63996</v>
      </c>
      <c r="AD62" s="23">
        <v>1</v>
      </c>
      <c r="AE62" s="23">
        <v>1</v>
      </c>
      <c r="AF62" s="23">
        <v>1</v>
      </c>
      <c r="AG62" s="187">
        <v>74901</v>
      </c>
      <c r="AH62" s="187">
        <v>63995</v>
      </c>
      <c r="AI62" s="187">
        <v>62081</v>
      </c>
      <c r="AJ62" s="23">
        <f t="shared" si="4"/>
        <v>809644</v>
      </c>
      <c r="AK62" s="23">
        <v>510049</v>
      </c>
      <c r="AL62" s="164"/>
      <c r="AM62" s="164">
        <v>299595</v>
      </c>
      <c r="AN62" s="164"/>
      <c r="AO62" s="164"/>
      <c r="AP62" s="186" t="s">
        <v>561</v>
      </c>
      <c r="AQ62" s="105" t="s">
        <v>595</v>
      </c>
      <c r="AR62" s="165"/>
    </row>
    <row r="63" spans="1:44" ht="269.25" customHeight="1">
      <c r="A63" s="150" t="s">
        <v>285</v>
      </c>
      <c r="B63" s="150" t="s">
        <v>554</v>
      </c>
      <c r="C63" s="150" t="s">
        <v>596</v>
      </c>
      <c r="D63" s="105" t="s">
        <v>597</v>
      </c>
      <c r="E63" s="188">
        <v>11</v>
      </c>
      <c r="F63" s="107" t="s">
        <v>168</v>
      </c>
      <c r="G63" s="190" t="s">
        <v>598</v>
      </c>
      <c r="H63" s="86" t="s">
        <v>168</v>
      </c>
      <c r="I63" s="156">
        <v>2</v>
      </c>
      <c r="J63" s="156"/>
      <c r="K63" s="156">
        <v>2</v>
      </c>
      <c r="L63" s="23">
        <v>1</v>
      </c>
      <c r="M63" s="23">
        <v>1</v>
      </c>
      <c r="N63" s="23">
        <v>1</v>
      </c>
      <c r="O63" s="187">
        <v>9708</v>
      </c>
      <c r="P63" s="187">
        <v>9708</v>
      </c>
      <c r="Q63" s="187">
        <v>9708</v>
      </c>
      <c r="R63" s="23">
        <v>1</v>
      </c>
      <c r="S63" s="23">
        <v>1</v>
      </c>
      <c r="T63" s="23">
        <v>1</v>
      </c>
      <c r="U63" s="187">
        <v>9708</v>
      </c>
      <c r="V63" s="187">
        <v>9708</v>
      </c>
      <c r="W63" s="187">
        <v>9708</v>
      </c>
      <c r="X63" s="23">
        <v>1</v>
      </c>
      <c r="Y63" s="23">
        <v>1</v>
      </c>
      <c r="Z63" s="23">
        <v>1</v>
      </c>
      <c r="AA63" s="187">
        <v>9708</v>
      </c>
      <c r="AB63" s="187">
        <v>9708</v>
      </c>
      <c r="AC63" s="187">
        <v>9708</v>
      </c>
      <c r="AD63" s="23">
        <v>1</v>
      </c>
      <c r="AE63" s="23">
        <v>1</v>
      </c>
      <c r="AF63" s="23"/>
      <c r="AG63" s="187">
        <v>9708</v>
      </c>
      <c r="AH63" s="187">
        <v>9708</v>
      </c>
      <c r="AI63" s="187">
        <v>9709</v>
      </c>
      <c r="AJ63" s="23">
        <f t="shared" si="4"/>
        <v>116497</v>
      </c>
      <c r="AK63" s="23">
        <v>116497</v>
      </c>
      <c r="AL63" s="164"/>
      <c r="AM63" s="164"/>
      <c r="AN63" s="164"/>
      <c r="AO63" s="164"/>
      <c r="AP63" s="186" t="s">
        <v>561</v>
      </c>
      <c r="AQ63" s="105" t="s">
        <v>599</v>
      </c>
      <c r="AR63" s="165"/>
    </row>
    <row r="64" spans="1:44" ht="132" customHeight="1">
      <c r="A64" s="150" t="s">
        <v>285</v>
      </c>
      <c r="B64" s="150" t="s">
        <v>554</v>
      </c>
      <c r="C64" s="150" t="s">
        <v>600</v>
      </c>
      <c r="D64" s="191" t="s">
        <v>601</v>
      </c>
      <c r="E64" s="188">
        <v>12</v>
      </c>
      <c r="F64" s="192" t="s">
        <v>168</v>
      </c>
      <c r="G64" s="191" t="s">
        <v>602</v>
      </c>
      <c r="H64" s="86" t="s">
        <v>168</v>
      </c>
      <c r="I64" s="156">
        <v>2</v>
      </c>
      <c r="J64" s="156"/>
      <c r="K64" s="156">
        <v>2</v>
      </c>
      <c r="L64" s="23">
        <v>1</v>
      </c>
      <c r="M64" s="23">
        <v>1</v>
      </c>
      <c r="N64" s="23">
        <v>1</v>
      </c>
      <c r="O64" s="187">
        <v>11325</v>
      </c>
      <c r="P64" s="187">
        <v>11325</v>
      </c>
      <c r="Q64" s="187">
        <v>11325</v>
      </c>
      <c r="R64" s="23">
        <v>1</v>
      </c>
      <c r="S64" s="23">
        <v>1</v>
      </c>
      <c r="T64" s="23">
        <v>1</v>
      </c>
      <c r="U64" s="187">
        <v>11325</v>
      </c>
      <c r="V64" s="187">
        <v>11325</v>
      </c>
      <c r="W64" s="187">
        <v>11325</v>
      </c>
      <c r="X64" s="23">
        <v>1</v>
      </c>
      <c r="Y64" s="23">
        <v>1</v>
      </c>
      <c r="Z64" s="23">
        <v>1</v>
      </c>
      <c r="AA64" s="187">
        <v>11325</v>
      </c>
      <c r="AB64" s="187">
        <v>11325</v>
      </c>
      <c r="AC64" s="187">
        <v>11325</v>
      </c>
      <c r="AD64" s="23">
        <v>1</v>
      </c>
      <c r="AE64" s="23">
        <v>1</v>
      </c>
      <c r="AF64" s="23">
        <v>1</v>
      </c>
      <c r="AG64" s="187">
        <v>9005</v>
      </c>
      <c r="AH64" s="187">
        <v>11325</v>
      </c>
      <c r="AI64" s="187">
        <v>11323</v>
      </c>
      <c r="AJ64" s="23">
        <f t="shared" si="4"/>
        <v>133578</v>
      </c>
      <c r="AK64" s="23">
        <v>133578</v>
      </c>
      <c r="AL64" s="164"/>
      <c r="AM64" s="164"/>
      <c r="AN64" s="164"/>
      <c r="AO64" s="164"/>
      <c r="AP64" s="186" t="s">
        <v>561</v>
      </c>
      <c r="AQ64" s="105" t="s">
        <v>603</v>
      </c>
      <c r="AR64" s="165"/>
    </row>
    <row r="65" spans="1:44" ht="101.25" customHeight="1">
      <c r="A65" s="150" t="s">
        <v>285</v>
      </c>
      <c r="B65" s="150" t="s">
        <v>554</v>
      </c>
      <c r="C65" s="150" t="s">
        <v>604</v>
      </c>
      <c r="D65" s="105" t="s">
        <v>605</v>
      </c>
      <c r="E65" s="136">
        <v>15</v>
      </c>
      <c r="F65" s="107" t="s">
        <v>168</v>
      </c>
      <c r="G65" s="190" t="s">
        <v>606</v>
      </c>
      <c r="H65" s="86" t="s">
        <v>168</v>
      </c>
      <c r="I65" s="156">
        <v>3</v>
      </c>
      <c r="J65" s="156"/>
      <c r="K65" s="156">
        <v>3</v>
      </c>
      <c r="L65" s="23">
        <v>3</v>
      </c>
      <c r="M65" s="23">
        <v>1</v>
      </c>
      <c r="N65" s="23">
        <v>1</v>
      </c>
      <c r="O65" s="47">
        <v>15545</v>
      </c>
      <c r="P65" s="47">
        <v>15545</v>
      </c>
      <c r="Q65" s="47">
        <v>15545</v>
      </c>
      <c r="R65" s="23">
        <v>1</v>
      </c>
      <c r="S65" s="23">
        <v>1</v>
      </c>
      <c r="T65" s="23">
        <v>1</v>
      </c>
      <c r="U65" s="47">
        <v>15545</v>
      </c>
      <c r="V65" s="47">
        <v>15545</v>
      </c>
      <c r="W65" s="47">
        <v>15545</v>
      </c>
      <c r="X65" s="23">
        <v>2</v>
      </c>
      <c r="Y65" s="23">
        <v>1</v>
      </c>
      <c r="Z65" s="23">
        <v>1</v>
      </c>
      <c r="AA65" s="47">
        <v>15545</v>
      </c>
      <c r="AB65" s="47">
        <v>15545</v>
      </c>
      <c r="AC65" s="47">
        <v>15545</v>
      </c>
      <c r="AD65" s="142">
        <v>1</v>
      </c>
      <c r="AE65" s="142">
        <v>1</v>
      </c>
      <c r="AF65" s="142">
        <v>1</v>
      </c>
      <c r="AG65" s="47">
        <v>15545</v>
      </c>
      <c r="AH65" s="47">
        <v>15545</v>
      </c>
      <c r="AI65" s="47">
        <v>15552</v>
      </c>
      <c r="AJ65" s="23">
        <f t="shared" si="4"/>
        <v>186547</v>
      </c>
      <c r="AK65" s="23">
        <v>186547</v>
      </c>
      <c r="AL65" s="164"/>
      <c r="AM65" s="164"/>
      <c r="AN65" s="164"/>
      <c r="AO65" s="164"/>
      <c r="AP65" s="186" t="s">
        <v>561</v>
      </c>
      <c r="AQ65" s="94" t="s">
        <v>607</v>
      </c>
      <c r="AR65" s="165"/>
    </row>
    <row r="66" spans="1:44" ht="117.75" customHeight="1">
      <c r="A66" s="150" t="s">
        <v>285</v>
      </c>
      <c r="B66" s="150" t="s">
        <v>554</v>
      </c>
      <c r="C66" s="150" t="s">
        <v>608</v>
      </c>
      <c r="D66" s="193" t="s">
        <v>609</v>
      </c>
      <c r="E66" s="47">
        <v>37</v>
      </c>
      <c r="F66" s="187" t="s">
        <v>171</v>
      </c>
      <c r="G66" s="193" t="s">
        <v>610</v>
      </c>
      <c r="H66" s="193" t="s">
        <v>611</v>
      </c>
      <c r="I66" s="163">
        <v>1</v>
      </c>
      <c r="J66" s="163"/>
      <c r="K66" s="163">
        <v>1</v>
      </c>
      <c r="L66" s="147"/>
      <c r="M66" s="147">
        <v>1</v>
      </c>
      <c r="N66" s="147">
        <v>4</v>
      </c>
      <c r="O66" s="147"/>
      <c r="P66" s="147">
        <v>221</v>
      </c>
      <c r="Q66" s="147">
        <v>884</v>
      </c>
      <c r="R66" s="147">
        <v>2</v>
      </c>
      <c r="S66" s="148">
        <v>1</v>
      </c>
      <c r="T66" s="147">
        <v>1</v>
      </c>
      <c r="U66" s="147">
        <v>441</v>
      </c>
      <c r="V66" s="147">
        <v>221</v>
      </c>
      <c r="W66" s="148">
        <v>221</v>
      </c>
      <c r="X66" s="147">
        <v>2</v>
      </c>
      <c r="Y66" s="147"/>
      <c r="Z66" s="147">
        <v>2</v>
      </c>
      <c r="AA66" s="147">
        <v>441</v>
      </c>
      <c r="AB66" s="148"/>
      <c r="AC66" s="148">
        <v>441</v>
      </c>
      <c r="AD66" s="194">
        <v>3</v>
      </c>
      <c r="AE66" s="143">
        <v>14</v>
      </c>
      <c r="AF66" s="143">
        <v>7</v>
      </c>
      <c r="AG66" s="143">
        <v>662</v>
      </c>
      <c r="AH66" s="143">
        <v>3087</v>
      </c>
      <c r="AI66" s="143">
        <v>1541</v>
      </c>
      <c r="AJ66" s="23">
        <f t="shared" si="4"/>
        <v>8160</v>
      </c>
      <c r="AK66" s="23">
        <v>8160</v>
      </c>
      <c r="AL66" s="164"/>
      <c r="AM66" s="164"/>
      <c r="AN66" s="164"/>
      <c r="AO66" s="164"/>
      <c r="AP66" s="165" t="s">
        <v>425</v>
      </c>
      <c r="AQ66" s="165" t="s">
        <v>612</v>
      </c>
      <c r="AR66" s="165"/>
    </row>
    <row r="67" spans="1:44" ht="319.5" customHeight="1">
      <c r="A67" s="150" t="s">
        <v>285</v>
      </c>
      <c r="B67" s="150" t="s">
        <v>554</v>
      </c>
      <c r="C67" s="150" t="s">
        <v>613</v>
      </c>
      <c r="D67" s="195" t="s">
        <v>614</v>
      </c>
      <c r="E67" s="47">
        <v>90</v>
      </c>
      <c r="F67" s="187" t="s">
        <v>615</v>
      </c>
      <c r="G67" s="195" t="s">
        <v>616</v>
      </c>
      <c r="H67" s="195" t="s">
        <v>617</v>
      </c>
      <c r="I67" s="163">
        <v>59</v>
      </c>
      <c r="J67" s="163"/>
      <c r="K67" s="163">
        <v>59</v>
      </c>
      <c r="L67" s="143">
        <v>24</v>
      </c>
      <c r="M67" s="143">
        <v>1</v>
      </c>
      <c r="N67" s="143">
        <v>3</v>
      </c>
      <c r="O67" s="143">
        <v>836038</v>
      </c>
      <c r="P67" s="143">
        <v>42500</v>
      </c>
      <c r="Q67" s="143">
        <v>73227</v>
      </c>
      <c r="R67" s="143">
        <v>1</v>
      </c>
      <c r="S67" s="143">
        <v>17</v>
      </c>
      <c r="T67" s="143">
        <v>18</v>
      </c>
      <c r="U67" s="143">
        <v>42500</v>
      </c>
      <c r="V67" s="143">
        <v>594527</v>
      </c>
      <c r="W67" s="143">
        <v>629029</v>
      </c>
      <c r="X67" s="143">
        <v>13</v>
      </c>
      <c r="Y67" s="143">
        <v>3</v>
      </c>
      <c r="Z67" s="143">
        <v>1</v>
      </c>
      <c r="AA67" s="143">
        <v>422019</v>
      </c>
      <c r="AB67" s="143">
        <v>77002</v>
      </c>
      <c r="AC67" s="143">
        <v>42000</v>
      </c>
      <c r="AD67" s="143">
        <v>5</v>
      </c>
      <c r="AE67" s="143">
        <v>3</v>
      </c>
      <c r="AF67" s="143">
        <v>1</v>
      </c>
      <c r="AG67" s="143">
        <v>172508</v>
      </c>
      <c r="AH67" s="143">
        <v>139622</v>
      </c>
      <c r="AI67" s="143">
        <v>222495</v>
      </c>
      <c r="AJ67" s="23">
        <f t="shared" si="4"/>
        <v>3293467</v>
      </c>
      <c r="AK67" s="23">
        <v>2685000</v>
      </c>
      <c r="AL67" s="164"/>
      <c r="AM67" s="164">
        <v>577740</v>
      </c>
      <c r="AN67" s="164"/>
      <c r="AO67" s="164">
        <v>30727</v>
      </c>
      <c r="AP67" s="165" t="s">
        <v>425</v>
      </c>
      <c r="AQ67" s="165" t="s">
        <v>618</v>
      </c>
      <c r="AR67" s="165" t="s">
        <v>619</v>
      </c>
    </row>
    <row r="68" spans="1:44" ht="150" customHeight="1">
      <c r="A68" s="150" t="s">
        <v>285</v>
      </c>
      <c r="B68" s="150" t="s">
        <v>554</v>
      </c>
      <c r="C68" s="150" t="s">
        <v>620</v>
      </c>
      <c r="D68" s="193" t="s">
        <v>621</v>
      </c>
      <c r="E68" s="47">
        <v>1</v>
      </c>
      <c r="F68" s="196" t="s">
        <v>622</v>
      </c>
      <c r="G68" s="193" t="s">
        <v>623</v>
      </c>
      <c r="H68" s="193" t="s">
        <v>611</v>
      </c>
      <c r="I68" s="163">
        <v>1</v>
      </c>
      <c r="J68" s="163"/>
      <c r="K68" s="163">
        <v>1</v>
      </c>
      <c r="L68" s="143"/>
      <c r="M68" s="143"/>
      <c r="N68" s="143"/>
      <c r="O68" s="143"/>
      <c r="P68" s="143"/>
      <c r="Q68" s="143"/>
      <c r="R68" s="143"/>
      <c r="S68" s="143"/>
      <c r="T68" s="143"/>
      <c r="U68" s="143"/>
      <c r="V68" s="143"/>
      <c r="W68" s="143"/>
      <c r="X68" s="143"/>
      <c r="Y68" s="143"/>
      <c r="Z68" s="143"/>
      <c r="AA68" s="143"/>
      <c r="AB68" s="143"/>
      <c r="AC68" s="143"/>
      <c r="AD68" s="143">
        <v>1</v>
      </c>
      <c r="AE68" s="143"/>
      <c r="AF68" s="143"/>
      <c r="AG68" s="143">
        <v>3000</v>
      </c>
      <c r="AH68" s="143"/>
      <c r="AI68" s="143"/>
      <c r="AJ68" s="23">
        <f t="shared" si="4"/>
        <v>3000</v>
      </c>
      <c r="AK68" s="23">
        <v>3000</v>
      </c>
      <c r="AL68" s="164"/>
      <c r="AM68" s="164"/>
      <c r="AN68" s="164"/>
      <c r="AO68" s="164"/>
      <c r="AP68" s="165" t="s">
        <v>425</v>
      </c>
      <c r="AQ68" s="165" t="s">
        <v>624</v>
      </c>
      <c r="AR68" s="165"/>
    </row>
    <row r="69" spans="1:44" ht="173.25">
      <c r="A69" s="150" t="s">
        <v>285</v>
      </c>
      <c r="B69" s="150" t="s">
        <v>554</v>
      </c>
      <c r="C69" s="150" t="s">
        <v>625</v>
      </c>
      <c r="D69" s="193" t="s">
        <v>626</v>
      </c>
      <c r="E69" s="47">
        <v>27865</v>
      </c>
      <c r="F69" s="196" t="s">
        <v>56</v>
      </c>
      <c r="G69" s="193" t="s">
        <v>627</v>
      </c>
      <c r="H69" s="193" t="s">
        <v>168</v>
      </c>
      <c r="I69" s="163">
        <v>1</v>
      </c>
      <c r="J69" s="163"/>
      <c r="K69" s="163">
        <v>1</v>
      </c>
      <c r="L69" s="143">
        <v>1850</v>
      </c>
      <c r="M69" s="143">
        <v>2550</v>
      </c>
      <c r="N69" s="143">
        <v>2360</v>
      </c>
      <c r="O69" s="143">
        <v>3778</v>
      </c>
      <c r="P69" s="143">
        <v>5207</v>
      </c>
      <c r="Q69" s="143">
        <v>4819</v>
      </c>
      <c r="R69" s="143">
        <v>2335</v>
      </c>
      <c r="S69" s="143">
        <v>2785</v>
      </c>
      <c r="T69" s="143">
        <v>3260</v>
      </c>
      <c r="U69" s="143">
        <v>4768</v>
      </c>
      <c r="V69" s="143">
        <v>5687</v>
      </c>
      <c r="W69" s="143">
        <v>6657</v>
      </c>
      <c r="X69" s="143">
        <v>1535</v>
      </c>
      <c r="Y69" s="143">
        <v>1535</v>
      </c>
      <c r="Z69" s="143">
        <v>1785</v>
      </c>
      <c r="AA69" s="143">
        <v>3134</v>
      </c>
      <c r="AB69" s="143">
        <v>3134</v>
      </c>
      <c r="AC69" s="143">
        <v>3645</v>
      </c>
      <c r="AD69" s="143">
        <v>4070</v>
      </c>
      <c r="AE69" s="143">
        <v>1950</v>
      </c>
      <c r="AF69" s="143">
        <v>1850</v>
      </c>
      <c r="AG69" s="143">
        <v>8311</v>
      </c>
      <c r="AH69" s="143">
        <v>3982</v>
      </c>
      <c r="AI69" s="143">
        <v>3778</v>
      </c>
      <c r="AJ69" s="23">
        <f t="shared" si="4"/>
        <v>56900</v>
      </c>
      <c r="AK69" s="23">
        <v>56900</v>
      </c>
      <c r="AL69" s="164"/>
      <c r="AM69" s="164"/>
      <c r="AN69" s="164"/>
      <c r="AO69" s="164"/>
      <c r="AP69" s="165" t="s">
        <v>425</v>
      </c>
      <c r="AQ69" s="165" t="s">
        <v>628</v>
      </c>
      <c r="AR69" s="165"/>
    </row>
    <row r="70" spans="1:44">
      <c r="A70" s="1159" t="s">
        <v>629</v>
      </c>
      <c r="B70" s="1159"/>
      <c r="C70" s="1159"/>
      <c r="D70" s="1159"/>
      <c r="E70" s="1159"/>
      <c r="F70" s="152"/>
      <c r="G70" s="197"/>
      <c r="H70" s="198"/>
      <c r="I70" s="174">
        <v>100</v>
      </c>
      <c r="J70" s="174">
        <v>100</v>
      </c>
      <c r="K70" s="167"/>
      <c r="L70" s="154"/>
      <c r="M70" s="154"/>
      <c r="N70" s="154"/>
      <c r="O70" s="199">
        <f>O53+O48+O46+O43+O41+O39+O36+O30+O26+O21+O17+O11</f>
        <v>1382084</v>
      </c>
      <c r="P70" s="199">
        <f>P53+P48+P46+P43+P41+P39+P36+P30+P26+P21+P17+P11</f>
        <v>643999</v>
      </c>
      <c r="Q70" s="199">
        <f>Q53+Q48+Q46+Q43+Q41+Q39+Q36+Q30+Q26+Q21+Q17+Q11</f>
        <v>1351829</v>
      </c>
      <c r="R70" s="154"/>
      <c r="S70" s="154"/>
      <c r="T70" s="154"/>
      <c r="U70" s="199">
        <f>U53+U48+U46+U43+U41+U39+U36+U30+U26+U21+U17+U11</f>
        <v>607919</v>
      </c>
      <c r="V70" s="199">
        <f>V53+V48+V46+V43+V41+V39+V36+V30+V26+V21+V17+V11</f>
        <v>1147495</v>
      </c>
      <c r="W70" s="199">
        <f>W53+W48+W46+W43+W41+W39+W36+W30+W26+W21+W17+W11</f>
        <v>3195093</v>
      </c>
      <c r="X70" s="154"/>
      <c r="Y70" s="154"/>
      <c r="Z70" s="154"/>
      <c r="AA70" s="199">
        <f>AA53+AA48+AA46+AA43+AA41+AA39+AA36+AA30+AA26+AA21+AA17+AA11</f>
        <v>988031</v>
      </c>
      <c r="AB70" s="199">
        <f>AB53+AB48+AB46+AB43+AB41+AB39+AB36+AB30+AB26+AB21+AB17+AB11</f>
        <v>724425</v>
      </c>
      <c r="AC70" s="199">
        <f>AC53+AC48+AC46+AC43+AC41+AC39+AC36+AC30+AC26+AC21+AC17+AC11</f>
        <v>1327385</v>
      </c>
      <c r="AD70" s="154"/>
      <c r="AE70" s="154"/>
      <c r="AF70" s="154"/>
      <c r="AG70" s="199">
        <f t="shared" ref="AG70:AO70" si="52">AG53+AG48+AG46+AG43+AG41+AG39+AG36+AG30+AG26+AG21+AG17+AG11</f>
        <v>765024</v>
      </c>
      <c r="AH70" s="199">
        <f t="shared" si="52"/>
        <v>1142862</v>
      </c>
      <c r="AI70" s="199">
        <f t="shared" si="52"/>
        <v>1331238</v>
      </c>
      <c r="AJ70" s="200">
        <f>AJ53+AJ48+AJ46+AJ43+AJ41+AJ39+AJ36+AJ30+AJ26+AJ21+AJ17+AJ11+AJ34</f>
        <v>14639246</v>
      </c>
      <c r="AK70" s="199">
        <v>9822605</v>
      </c>
      <c r="AL70" s="199">
        <f t="shared" si="52"/>
        <v>0</v>
      </c>
      <c r="AM70" s="199">
        <f t="shared" si="52"/>
        <v>1345950</v>
      </c>
      <c r="AN70" s="199">
        <f t="shared" si="52"/>
        <v>1457310</v>
      </c>
      <c r="AO70" s="199">
        <f t="shared" si="52"/>
        <v>2013381</v>
      </c>
      <c r="AP70" s="201"/>
      <c r="AQ70" s="134"/>
      <c r="AR70" s="169"/>
    </row>
    <row r="71" spans="1:44" ht="12.75" customHeight="1">
      <c r="A71" s="202"/>
      <c r="B71" s="202"/>
      <c r="C71" s="202"/>
      <c r="D71" s="202"/>
      <c r="E71" s="202"/>
      <c r="F71" s="202"/>
      <c r="G71" s="202"/>
      <c r="H71" s="202"/>
      <c r="I71" s="202"/>
      <c r="J71" s="202"/>
      <c r="K71" s="202"/>
      <c r="L71" s="202"/>
      <c r="M71" s="202"/>
      <c r="N71" s="202"/>
      <c r="O71" s="202"/>
      <c r="P71" s="202"/>
      <c r="Q71" s="202"/>
      <c r="R71" s="202"/>
      <c r="S71" s="202"/>
      <c r="T71" s="202"/>
      <c r="U71" s="202"/>
      <c r="V71" s="202"/>
      <c r="W71" s="202"/>
      <c r="X71" s="202"/>
      <c r="Y71" s="202"/>
      <c r="Z71" s="202"/>
      <c r="AA71" s="202"/>
      <c r="AB71" s="202"/>
      <c r="AC71" s="202"/>
      <c r="AD71" s="202"/>
      <c r="AE71" s="202"/>
      <c r="AF71" s="202"/>
      <c r="AG71" s="202"/>
      <c r="AH71" s="202"/>
      <c r="AI71" s="202"/>
      <c r="AJ71" s="203"/>
      <c r="AK71" s="161"/>
      <c r="AL71" s="161"/>
      <c r="AM71" s="161"/>
      <c r="AN71" s="161"/>
      <c r="AO71" s="161"/>
    </row>
    <row r="72" spans="1:44" ht="12.75" customHeight="1">
      <c r="A72" s="1155" t="s">
        <v>630</v>
      </c>
      <c r="B72" s="1155"/>
      <c r="C72" s="1155"/>
      <c r="D72" s="1155"/>
      <c r="E72" s="1155"/>
      <c r="F72" s="1155"/>
      <c r="G72" s="1155"/>
      <c r="H72" s="1155"/>
      <c r="I72" s="1155"/>
      <c r="J72" s="1155"/>
      <c r="K72" s="1155"/>
      <c r="L72" s="1155"/>
      <c r="M72" s="1155"/>
      <c r="N72" s="1155"/>
      <c r="O72" s="1155"/>
      <c r="P72" s="1155"/>
      <c r="Q72" s="1155"/>
      <c r="R72" s="1155"/>
      <c r="S72" s="1155"/>
      <c r="T72" s="1155"/>
      <c r="U72" s="1155"/>
      <c r="V72" s="1155"/>
      <c r="W72" s="1155"/>
      <c r="X72" s="1155"/>
      <c r="Y72" s="1155"/>
      <c r="Z72" s="1155"/>
      <c r="AA72" s="1155"/>
      <c r="AB72" s="1155"/>
      <c r="AC72" s="1155"/>
      <c r="AD72" s="1155"/>
      <c r="AE72" s="1155"/>
      <c r="AF72" s="1155"/>
      <c r="AG72" s="1155"/>
      <c r="AH72" s="1155"/>
      <c r="AI72" s="1155"/>
      <c r="AJ72" s="1155"/>
      <c r="AK72" s="161"/>
    </row>
    <row r="73" spans="1:44">
      <c r="A73" s="1155" t="s">
        <v>631</v>
      </c>
      <c r="B73" s="1155"/>
      <c r="C73" s="1155"/>
      <c r="D73" s="1155"/>
      <c r="E73" s="1155"/>
      <c r="F73" s="1155"/>
      <c r="G73" s="1155"/>
      <c r="H73" s="1155"/>
      <c r="I73" s="1155"/>
      <c r="J73" s="1155"/>
      <c r="K73" s="1155"/>
      <c r="L73" s="1155"/>
      <c r="M73" s="1155"/>
      <c r="N73" s="1155"/>
      <c r="O73" s="1155"/>
      <c r="P73" s="1155"/>
      <c r="Q73" s="1155"/>
      <c r="R73" s="1155"/>
      <c r="S73" s="1155"/>
      <c r="T73" s="1155"/>
      <c r="U73" s="1155"/>
      <c r="V73" s="1155"/>
      <c r="W73" s="1155"/>
      <c r="X73" s="1155"/>
      <c r="Y73" s="1155"/>
      <c r="Z73" s="1155"/>
      <c r="AA73" s="1155"/>
      <c r="AB73" s="1155"/>
      <c r="AC73" s="1155"/>
      <c r="AD73" s="1155"/>
      <c r="AE73" s="1155"/>
      <c r="AF73" s="1155"/>
      <c r="AG73" s="1155"/>
      <c r="AH73" s="1155"/>
      <c r="AI73" s="1155"/>
      <c r="AJ73" s="1155"/>
    </row>
    <row r="74" spans="1:44">
      <c r="A74" s="1155" t="s">
        <v>632</v>
      </c>
      <c r="B74" s="1155"/>
      <c r="C74" s="1155"/>
      <c r="D74" s="1155"/>
      <c r="E74" s="1155"/>
      <c r="F74" s="1155"/>
      <c r="G74" s="1155"/>
      <c r="H74" s="1155"/>
      <c r="I74" s="1155"/>
      <c r="J74" s="1155"/>
      <c r="K74" s="1155"/>
      <c r="L74" s="1155"/>
      <c r="M74" s="1155"/>
      <c r="N74" s="1155"/>
      <c r="O74" s="1155"/>
      <c r="P74" s="1155"/>
      <c r="Q74" s="1155"/>
      <c r="R74" s="1155"/>
      <c r="S74" s="1155"/>
      <c r="T74" s="1155"/>
      <c r="U74" s="1155"/>
      <c r="V74" s="1155"/>
      <c r="W74" s="1155"/>
      <c r="X74" s="1155"/>
      <c r="Y74" s="1155"/>
      <c r="Z74" s="1155"/>
      <c r="AA74" s="1155"/>
      <c r="AB74" s="1155"/>
      <c r="AC74" s="1155"/>
      <c r="AD74" s="1155"/>
      <c r="AE74" s="1155"/>
      <c r="AF74" s="1155"/>
      <c r="AG74" s="1155"/>
      <c r="AH74" s="1155"/>
      <c r="AI74" s="1155"/>
      <c r="AJ74" s="1155"/>
    </row>
    <row r="75" spans="1:44">
      <c r="A75" s="1155" t="s">
        <v>633</v>
      </c>
      <c r="B75" s="1155"/>
      <c r="C75" s="1155"/>
      <c r="D75" s="1155"/>
      <c r="E75" s="1155"/>
      <c r="F75" s="1155"/>
      <c r="G75" s="1155"/>
      <c r="H75" s="1155"/>
      <c r="I75" s="1155"/>
      <c r="J75" s="1155"/>
      <c r="K75" s="1155"/>
      <c r="L75" s="1155"/>
      <c r="M75" s="1155"/>
      <c r="N75" s="1155"/>
      <c r="O75" s="1155"/>
      <c r="P75" s="1155"/>
      <c r="Q75" s="1155"/>
      <c r="R75" s="1155"/>
      <c r="S75" s="1155"/>
      <c r="T75" s="1155"/>
      <c r="U75" s="1155"/>
      <c r="V75" s="1155"/>
      <c r="W75" s="1155"/>
      <c r="X75" s="1155"/>
      <c r="Y75" s="1155"/>
      <c r="Z75" s="1155"/>
      <c r="AA75" s="1155"/>
      <c r="AB75" s="1155"/>
      <c r="AC75" s="1155"/>
      <c r="AD75" s="1155"/>
      <c r="AE75" s="1155"/>
      <c r="AF75" s="1155"/>
      <c r="AG75" s="1155"/>
      <c r="AH75" s="1155"/>
      <c r="AI75" s="1155"/>
      <c r="AJ75" s="1155"/>
    </row>
    <row r="76" spans="1:44">
      <c r="A76" s="1155" t="s">
        <v>634</v>
      </c>
      <c r="B76" s="1155"/>
      <c r="C76" s="1155"/>
      <c r="D76" s="1155"/>
      <c r="E76" s="1155"/>
      <c r="F76" s="1155"/>
      <c r="G76" s="1155"/>
      <c r="H76" s="1155"/>
      <c r="I76" s="1155"/>
      <c r="J76" s="1155"/>
      <c r="K76" s="1155"/>
      <c r="L76" s="1155"/>
      <c r="M76" s="1155"/>
      <c r="N76" s="1155"/>
      <c r="O76" s="1155"/>
      <c r="P76" s="1155"/>
      <c r="Q76" s="1155"/>
      <c r="R76" s="1155"/>
      <c r="S76" s="1155"/>
      <c r="T76" s="1155"/>
      <c r="U76" s="1155"/>
      <c r="V76" s="1155"/>
      <c r="W76" s="1155"/>
      <c r="X76" s="1155"/>
      <c r="Y76" s="1155"/>
      <c r="Z76" s="1155"/>
      <c r="AA76" s="1155"/>
      <c r="AB76" s="1155"/>
      <c r="AC76" s="1155"/>
      <c r="AD76" s="1155"/>
      <c r="AE76" s="1155"/>
      <c r="AF76" s="1155"/>
      <c r="AG76" s="1155"/>
      <c r="AH76" s="1155"/>
      <c r="AI76" s="1155"/>
      <c r="AJ76" s="1155"/>
    </row>
    <row r="77" spans="1:44">
      <c r="A77" s="1155" t="s">
        <v>635</v>
      </c>
      <c r="B77" s="1155"/>
      <c r="C77" s="1155"/>
      <c r="D77" s="1155"/>
      <c r="E77" s="1155"/>
      <c r="F77" s="1155"/>
      <c r="G77" s="1155"/>
      <c r="H77" s="1155"/>
      <c r="I77" s="1155"/>
      <c r="J77" s="1155"/>
      <c r="K77" s="1155"/>
      <c r="L77" s="1155"/>
      <c r="M77" s="1155"/>
      <c r="N77" s="1155"/>
      <c r="O77" s="1155"/>
      <c r="P77" s="1155"/>
      <c r="Q77" s="1155"/>
      <c r="R77" s="1155"/>
      <c r="S77" s="1155"/>
      <c r="T77" s="1155"/>
      <c r="U77" s="1155"/>
      <c r="V77" s="1155"/>
      <c r="W77" s="1155"/>
      <c r="X77" s="1155"/>
      <c r="Y77" s="1155"/>
      <c r="Z77" s="1155"/>
      <c r="AA77" s="1155"/>
      <c r="AB77" s="1155"/>
      <c r="AC77" s="1155"/>
      <c r="AD77" s="1155"/>
      <c r="AE77" s="1155"/>
      <c r="AF77" s="1155"/>
      <c r="AG77" s="1155"/>
      <c r="AH77" s="1155"/>
      <c r="AI77" s="1155"/>
      <c r="AJ77" s="1155"/>
    </row>
    <row r="78" spans="1:44">
      <c r="A78" s="1155" t="s">
        <v>636</v>
      </c>
      <c r="B78" s="1155"/>
      <c r="C78" s="1155"/>
      <c r="D78" s="1155"/>
      <c r="E78" s="1155"/>
      <c r="F78" s="1155"/>
      <c r="G78" s="1155"/>
      <c r="H78" s="1155"/>
      <c r="I78" s="1155"/>
      <c r="J78" s="1155"/>
      <c r="K78" s="1155"/>
      <c r="L78" s="1155"/>
      <c r="M78" s="1155"/>
      <c r="N78" s="1155"/>
      <c r="O78" s="1155"/>
      <c r="P78" s="1155"/>
      <c r="Q78" s="1155"/>
      <c r="R78" s="1155"/>
      <c r="S78" s="1155"/>
      <c r="T78" s="1155"/>
      <c r="U78" s="1155"/>
      <c r="V78" s="1155"/>
      <c r="W78" s="1155"/>
      <c r="X78" s="1155"/>
      <c r="Y78" s="1155"/>
      <c r="Z78" s="1155"/>
      <c r="AA78" s="1155"/>
      <c r="AB78" s="1155"/>
      <c r="AC78" s="1155"/>
      <c r="AD78" s="1155"/>
      <c r="AE78" s="1155"/>
      <c r="AF78" s="1155"/>
      <c r="AG78" s="1155"/>
      <c r="AH78" s="1155"/>
      <c r="AI78" s="1155"/>
      <c r="AJ78" s="1155"/>
    </row>
    <row r="79" spans="1:44">
      <c r="A79" s="1155" t="s">
        <v>637</v>
      </c>
      <c r="B79" s="1155"/>
      <c r="C79" s="1155"/>
      <c r="D79" s="1155"/>
      <c r="E79" s="1155"/>
      <c r="F79" s="1155"/>
      <c r="G79" s="1155"/>
      <c r="H79" s="1155"/>
      <c r="I79" s="1155"/>
      <c r="J79" s="1155"/>
      <c r="K79" s="1155"/>
      <c r="L79" s="1155"/>
      <c r="M79" s="1155"/>
      <c r="N79" s="1155"/>
      <c r="O79" s="1155"/>
      <c r="P79" s="1155"/>
      <c r="Q79" s="1155"/>
      <c r="R79" s="1155"/>
      <c r="S79" s="1155"/>
      <c r="T79" s="1155"/>
      <c r="U79" s="1155"/>
      <c r="V79" s="1155"/>
      <c r="W79" s="1155"/>
      <c r="X79" s="1155"/>
      <c r="Y79" s="1155"/>
      <c r="Z79" s="1155"/>
      <c r="AA79" s="1155"/>
      <c r="AB79" s="1155"/>
      <c r="AC79" s="1155"/>
      <c r="AD79" s="1155"/>
      <c r="AE79" s="1155"/>
      <c r="AF79" s="1155"/>
      <c r="AG79" s="1155"/>
      <c r="AH79" s="1155"/>
      <c r="AI79" s="1155"/>
      <c r="AJ79" s="1155"/>
    </row>
    <row r="80" spans="1:44">
      <c r="A80" s="1156" t="s">
        <v>638</v>
      </c>
      <c r="B80" s="1156"/>
      <c r="C80" s="1156"/>
      <c r="D80" s="1156"/>
    </row>
    <row r="81" spans="1:17">
      <c r="A81" s="1157" t="s">
        <v>639</v>
      </c>
      <c r="B81" s="1157"/>
      <c r="C81" s="1157"/>
      <c r="D81" s="1157"/>
    </row>
    <row r="83" spans="1:17">
      <c r="A83" s="1158" t="s">
        <v>640</v>
      </c>
      <c r="B83" s="1158"/>
      <c r="C83" s="1158"/>
      <c r="D83" s="205"/>
      <c r="E83" s="205"/>
      <c r="F83" s="205"/>
      <c r="G83" s="205"/>
      <c r="H83" s="205"/>
      <c r="I83" s="205"/>
      <c r="J83" s="205"/>
      <c r="K83" s="205"/>
      <c r="L83" s="205"/>
      <c r="M83" s="205"/>
      <c r="N83" s="205"/>
      <c r="O83" s="205"/>
      <c r="P83" s="205"/>
      <c r="Q83" s="205"/>
    </row>
    <row r="84" spans="1:17">
      <c r="A84" s="1153" t="s">
        <v>641</v>
      </c>
      <c r="B84" s="1153"/>
      <c r="C84" s="1153"/>
      <c r="D84" s="1153"/>
      <c r="E84" s="1153"/>
      <c r="F84" s="1153"/>
      <c r="G84" s="1153"/>
      <c r="H84" s="1153"/>
      <c r="I84" s="1153"/>
      <c r="J84" s="1153"/>
      <c r="K84" s="1153"/>
      <c r="L84" s="1153"/>
      <c r="M84" s="1153"/>
      <c r="N84" s="205"/>
      <c r="O84" s="205"/>
      <c r="P84" s="205"/>
      <c r="Q84" s="205"/>
    </row>
    <row r="85" spans="1:17">
      <c r="A85" s="1154" t="s">
        <v>642</v>
      </c>
      <c r="B85" s="1154"/>
      <c r="C85" s="1154"/>
      <c r="D85" s="1154"/>
      <c r="E85" s="1154"/>
      <c r="F85" s="1154"/>
      <c r="G85" s="1154"/>
      <c r="H85" s="1154"/>
      <c r="I85" s="1154"/>
      <c r="J85" s="1154"/>
      <c r="K85" s="1154"/>
      <c r="L85" s="1154"/>
      <c r="M85" s="1154"/>
      <c r="N85" s="1154"/>
      <c r="O85" s="1154"/>
      <c r="P85" s="1154"/>
      <c r="Q85" s="205"/>
    </row>
    <row r="86" spans="1:17">
      <c r="A86" s="1154" t="s">
        <v>643</v>
      </c>
      <c r="B86" s="1154"/>
      <c r="C86" s="1154"/>
      <c r="D86" s="1154"/>
      <c r="E86" s="1154"/>
      <c r="F86" s="1154"/>
      <c r="G86" s="1154"/>
      <c r="H86" s="1154"/>
      <c r="I86" s="1154"/>
      <c r="J86" s="1154"/>
      <c r="K86" s="1154"/>
      <c r="L86" s="1154"/>
      <c r="M86" s="1154"/>
      <c r="N86" s="1154"/>
      <c r="O86" s="1154"/>
      <c r="P86" s="1154"/>
      <c r="Q86" s="1154"/>
    </row>
    <row r="87" spans="1:17">
      <c r="A87" s="206" t="s">
        <v>644</v>
      </c>
      <c r="B87" s="206"/>
      <c r="C87" s="205"/>
      <c r="D87" s="205"/>
      <c r="E87" s="205"/>
      <c r="F87" s="205"/>
      <c r="G87" s="205"/>
      <c r="H87" s="205"/>
      <c r="I87" s="205"/>
      <c r="J87" s="205"/>
      <c r="K87" s="205"/>
      <c r="L87" s="205"/>
      <c r="M87" s="205"/>
      <c r="N87" s="205"/>
      <c r="O87" s="205"/>
      <c r="P87" s="205"/>
      <c r="Q87" s="205"/>
    </row>
  </sheetData>
  <autoFilter ref="A7:AR70">
    <filterColumn colId="0" showButton="0"/>
    <filterColumn colId="1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6" showButton="0"/>
    <filterColumn colId="37" showButton="0"/>
    <filterColumn colId="38" showButton="0"/>
    <filterColumn colId="39" showButton="0"/>
  </autoFilter>
  <mergeCells count="141">
    <mergeCell ref="A1:AR1"/>
    <mergeCell ref="A2:AR2"/>
    <mergeCell ref="A7:C7"/>
    <mergeCell ref="D7:D10"/>
    <mergeCell ref="E7:E10"/>
    <mergeCell ref="F7:F10"/>
    <mergeCell ref="G7:G10"/>
    <mergeCell ref="AP7:AP10"/>
    <mergeCell ref="AQ7:AQ10"/>
    <mergeCell ref="AR7:AR10"/>
    <mergeCell ref="H7:H10"/>
    <mergeCell ref="I7:I10"/>
    <mergeCell ref="J7:J10"/>
    <mergeCell ref="K7:K10"/>
    <mergeCell ref="L7:AI7"/>
    <mergeCell ref="AK7:AO7"/>
    <mergeCell ref="X8:AC8"/>
    <mergeCell ref="AD8:AI8"/>
    <mergeCell ref="AJ8:AJ10"/>
    <mergeCell ref="AK8:AK10"/>
    <mergeCell ref="AL8:AL10"/>
    <mergeCell ref="AM8:AM10"/>
    <mergeCell ref="AN8:AN10"/>
    <mergeCell ref="AO8:AO10"/>
    <mergeCell ref="AG9:AI9"/>
    <mergeCell ref="A14:A15"/>
    <mergeCell ref="B14:B15"/>
    <mergeCell ref="C14:C15"/>
    <mergeCell ref="D14:D15"/>
    <mergeCell ref="G14:G15"/>
    <mergeCell ref="H14:H15"/>
    <mergeCell ref="I14:I15"/>
    <mergeCell ref="A8:A10"/>
    <mergeCell ref="B8:B10"/>
    <mergeCell ref="C8:C10"/>
    <mergeCell ref="J14:J15"/>
    <mergeCell ref="K14:K15"/>
    <mergeCell ref="L9:N9"/>
    <mergeCell ref="O9:Q9"/>
    <mergeCell ref="R9:T9"/>
    <mergeCell ref="U9:W9"/>
    <mergeCell ref="X9:Z9"/>
    <mergeCell ref="L8:Q8"/>
    <mergeCell ref="R8:W8"/>
    <mergeCell ref="AA9:AC9"/>
    <mergeCell ref="AD9:AF9"/>
    <mergeCell ref="AP14:AP15"/>
    <mergeCell ref="AQ14:AQ15"/>
    <mergeCell ref="AR14:AR15"/>
    <mergeCell ref="A18:A19"/>
    <mergeCell ref="B18:B19"/>
    <mergeCell ref="C18:C19"/>
    <mergeCell ref="D18:D19"/>
    <mergeCell ref="G18:G19"/>
    <mergeCell ref="AR18:AR19"/>
    <mergeCell ref="H18:H19"/>
    <mergeCell ref="I18:I19"/>
    <mergeCell ref="J18:J19"/>
    <mergeCell ref="K18:K19"/>
    <mergeCell ref="AP18:AP19"/>
    <mergeCell ref="AQ18:AQ19"/>
    <mergeCell ref="AP23:AP24"/>
    <mergeCell ref="AQ23:AQ24"/>
    <mergeCell ref="AR23:AR24"/>
    <mergeCell ref="A27:A29"/>
    <mergeCell ref="B27:B29"/>
    <mergeCell ref="C27:C29"/>
    <mergeCell ref="D27:D29"/>
    <mergeCell ref="G28:G29"/>
    <mergeCell ref="H28:H29"/>
    <mergeCell ref="I28:I29"/>
    <mergeCell ref="J28:J29"/>
    <mergeCell ref="K28:K29"/>
    <mergeCell ref="AP28:AP29"/>
    <mergeCell ref="AQ28:AQ29"/>
    <mergeCell ref="AR28:AR29"/>
    <mergeCell ref="A23:A24"/>
    <mergeCell ref="B23:B24"/>
    <mergeCell ref="C23:C24"/>
    <mergeCell ref="D23:D24"/>
    <mergeCell ref="G23:G24"/>
    <mergeCell ref="H23:H24"/>
    <mergeCell ref="I23:I24"/>
    <mergeCell ref="J23:J24"/>
    <mergeCell ref="K23:K24"/>
    <mergeCell ref="A31:A33"/>
    <mergeCell ref="B31:B33"/>
    <mergeCell ref="C31:C33"/>
    <mergeCell ref="D31:D33"/>
    <mergeCell ref="G31:G32"/>
    <mergeCell ref="AR31:AR32"/>
    <mergeCell ref="A37:A38"/>
    <mergeCell ref="B37:B38"/>
    <mergeCell ref="C37:C38"/>
    <mergeCell ref="D37:D38"/>
    <mergeCell ref="G37:G38"/>
    <mergeCell ref="H37:H38"/>
    <mergeCell ref="I37:I38"/>
    <mergeCell ref="J37:J38"/>
    <mergeCell ref="K37:K38"/>
    <mergeCell ref="H31:H32"/>
    <mergeCell ref="I31:I32"/>
    <mergeCell ref="J31:J32"/>
    <mergeCell ref="K31:K32"/>
    <mergeCell ref="AP31:AP32"/>
    <mergeCell ref="AQ31:AQ33"/>
    <mergeCell ref="D49:D52"/>
    <mergeCell ref="AP37:AP38"/>
    <mergeCell ref="AQ37:AQ38"/>
    <mergeCell ref="AR37:AR38"/>
    <mergeCell ref="A44:A45"/>
    <mergeCell ref="B44:B45"/>
    <mergeCell ref="C44:C45"/>
    <mergeCell ref="D44:D45"/>
    <mergeCell ref="G44:G45"/>
    <mergeCell ref="H44:H45"/>
    <mergeCell ref="I44:I45"/>
    <mergeCell ref="A84:M84"/>
    <mergeCell ref="A85:P85"/>
    <mergeCell ref="A86:Q86"/>
    <mergeCell ref="A6:AR6"/>
    <mergeCell ref="A77:AJ77"/>
    <mergeCell ref="A78:AJ78"/>
    <mergeCell ref="A79:AJ79"/>
    <mergeCell ref="A80:D80"/>
    <mergeCell ref="A81:D81"/>
    <mergeCell ref="A83:C83"/>
    <mergeCell ref="A70:E70"/>
    <mergeCell ref="A72:AJ72"/>
    <mergeCell ref="A73:AJ73"/>
    <mergeCell ref="A74:AJ74"/>
    <mergeCell ref="A75:AJ75"/>
    <mergeCell ref="A76:AJ76"/>
    <mergeCell ref="J44:J45"/>
    <mergeCell ref="K44:K45"/>
    <mergeCell ref="AP44:AP45"/>
    <mergeCell ref="AQ44:AQ45"/>
    <mergeCell ref="AR44:AR45"/>
    <mergeCell ref="A49:A52"/>
    <mergeCell ref="B49:B52"/>
    <mergeCell ref="C49:C52"/>
  </mergeCells>
  <printOptions horizontalCentered="1"/>
  <pageMargins left="0.98425196850393704" right="0.78740157480314965" top="0.19685039370078741" bottom="0.78740157480314965" header="0.31496062992125984" footer="0.31496062992125984"/>
  <pageSetup paperSize="5" scale="26" fitToWidth="5" fitToHeight="5" orientation="landscape" horizontalDpi="300" verticalDpi="300" r:id="rId1"/>
  <headerFooter>
    <oddFooter>Página &amp;P</oddFooter>
  </headerFooter>
  <rowBreaks count="1" manualBreakCount="1">
    <brk id="70" max="4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FFF00"/>
  </sheetPr>
  <dimension ref="A1:BT47"/>
  <sheetViews>
    <sheetView showGridLines="0" tabSelected="1" view="pageBreakPreview" zoomScaleNormal="100" zoomScaleSheetLayoutView="100" workbookViewId="0">
      <selection activeCell="D47" sqref="D47"/>
    </sheetView>
  </sheetViews>
  <sheetFormatPr baseColWidth="10" defaultRowHeight="15.75"/>
  <cols>
    <col min="1" max="1" width="6.42578125" style="433" customWidth="1"/>
    <col min="2" max="2" width="11.140625" style="433" bestFit="1" customWidth="1"/>
    <col min="3" max="3" width="19.140625" style="433" bestFit="1" customWidth="1"/>
    <col min="4" max="4" width="22.42578125" style="433" customWidth="1"/>
    <col min="5" max="5" width="9" style="433" customWidth="1"/>
    <col min="6" max="6" width="12.5703125" style="433" customWidth="1"/>
    <col min="7" max="7" width="20.85546875" style="433" customWidth="1"/>
    <col min="8" max="8" width="18.140625" style="433" customWidth="1"/>
    <col min="9" max="9" width="12.140625" style="433" customWidth="1"/>
    <col min="10" max="10" width="12.5703125" style="433" customWidth="1"/>
    <col min="11" max="11" width="12.42578125" style="433" customWidth="1"/>
    <col min="12" max="13" width="3.28515625" style="433" bestFit="1" customWidth="1"/>
    <col min="14" max="14" width="4.42578125" style="433" bestFit="1" customWidth="1"/>
    <col min="15" max="17" width="8.42578125" style="470" bestFit="1" customWidth="1"/>
    <col min="18" max="19" width="3.28515625" style="470" bestFit="1" customWidth="1"/>
    <col min="20" max="20" width="4.42578125" style="470" bestFit="1" customWidth="1"/>
    <col min="21" max="22" width="8.42578125" style="470" bestFit="1" customWidth="1"/>
    <col min="23" max="23" width="9.5703125" style="433" bestFit="1" customWidth="1"/>
    <col min="24" max="25" width="3.28515625" style="433" bestFit="1" customWidth="1"/>
    <col min="26" max="26" width="4.42578125" style="433" bestFit="1" customWidth="1"/>
    <col min="27" max="29" width="8.42578125" style="433" bestFit="1" customWidth="1"/>
    <col min="30" max="31" width="3.28515625" style="433" bestFit="1" customWidth="1"/>
    <col min="32" max="32" width="4.42578125" style="433" bestFit="1" customWidth="1"/>
    <col min="33" max="35" width="8.42578125" style="433" bestFit="1" customWidth="1"/>
    <col min="36" max="36" width="10.28515625" style="433" customWidth="1"/>
    <col min="37" max="37" width="9.42578125" style="470" customWidth="1"/>
    <col min="38" max="38" width="9.28515625" style="433" bestFit="1" customWidth="1"/>
    <col min="39" max="39" width="9.5703125" style="433" customWidth="1"/>
    <col min="40" max="40" width="8.140625" style="433" customWidth="1"/>
    <col min="41" max="41" width="6" style="433" customWidth="1"/>
    <col min="42" max="42" width="12.7109375" style="433" customWidth="1"/>
    <col min="43" max="43" width="12.85546875" style="433" customWidth="1"/>
    <col min="44" max="44" width="15.28515625" style="433" customWidth="1"/>
    <col min="45" max="45" width="5.7109375" style="433" bestFit="1" customWidth="1"/>
    <col min="46" max="46" width="6.140625" style="433" bestFit="1" customWidth="1"/>
    <col min="47" max="47" width="7.5703125" style="433" bestFit="1" customWidth="1"/>
    <col min="48" max="49" width="12.7109375" style="433" bestFit="1" customWidth="1"/>
    <col min="50" max="256" width="11.42578125" style="433"/>
    <col min="257" max="257" width="6.42578125" style="433" customWidth="1"/>
    <col min="258" max="258" width="11.140625" style="433" bestFit="1" customWidth="1"/>
    <col min="259" max="259" width="19.140625" style="433" bestFit="1" customWidth="1"/>
    <col min="260" max="260" width="22.42578125" style="433" customWidth="1"/>
    <col min="261" max="261" width="9" style="433" customWidth="1"/>
    <col min="262" max="262" width="12.5703125" style="433" customWidth="1"/>
    <col min="263" max="263" width="20.85546875" style="433" customWidth="1"/>
    <col min="264" max="264" width="18.140625" style="433" customWidth="1"/>
    <col min="265" max="265" width="12.140625" style="433" customWidth="1"/>
    <col min="266" max="266" width="12.5703125" style="433" customWidth="1"/>
    <col min="267" max="267" width="12.42578125" style="433" customWidth="1"/>
    <col min="268" max="269" width="3.28515625" style="433" bestFit="1" customWidth="1"/>
    <col min="270" max="270" width="4.42578125" style="433" bestFit="1" customWidth="1"/>
    <col min="271" max="273" width="8.42578125" style="433" bestFit="1" customWidth="1"/>
    <col min="274" max="275" width="3.28515625" style="433" bestFit="1" customWidth="1"/>
    <col min="276" max="276" width="4.42578125" style="433" bestFit="1" customWidth="1"/>
    <col min="277" max="278" width="8.42578125" style="433" bestFit="1" customWidth="1"/>
    <col min="279" max="279" width="9.5703125" style="433" bestFit="1" customWidth="1"/>
    <col min="280" max="281" width="3.28515625" style="433" bestFit="1" customWidth="1"/>
    <col min="282" max="282" width="4.42578125" style="433" bestFit="1" customWidth="1"/>
    <col min="283" max="285" width="8.42578125" style="433" bestFit="1" customWidth="1"/>
    <col min="286" max="287" width="3.28515625" style="433" bestFit="1" customWidth="1"/>
    <col min="288" max="288" width="4.42578125" style="433" bestFit="1" customWidth="1"/>
    <col min="289" max="291" width="8.42578125" style="433" bestFit="1" customWidth="1"/>
    <col min="292" max="292" width="10.28515625" style="433" customWidth="1"/>
    <col min="293" max="293" width="9.42578125" style="433" customWidth="1"/>
    <col min="294" max="294" width="9.28515625" style="433" bestFit="1" customWidth="1"/>
    <col min="295" max="295" width="9.5703125" style="433" customWidth="1"/>
    <col min="296" max="296" width="8.140625" style="433" customWidth="1"/>
    <col min="297" max="297" width="6" style="433" customWidth="1"/>
    <col min="298" max="298" width="12.7109375" style="433" customWidth="1"/>
    <col min="299" max="299" width="12.85546875" style="433" customWidth="1"/>
    <col min="300" max="300" width="15.28515625" style="433" customWidth="1"/>
    <col min="301" max="301" width="5.7109375" style="433" bestFit="1" customWidth="1"/>
    <col min="302" max="302" width="6.140625" style="433" bestFit="1" customWidth="1"/>
    <col min="303" max="303" width="7.5703125" style="433" bestFit="1" customWidth="1"/>
    <col min="304" max="305" width="12.7109375" style="433" bestFit="1" customWidth="1"/>
    <col min="306" max="512" width="11.42578125" style="433"/>
    <col min="513" max="513" width="6.42578125" style="433" customWidth="1"/>
    <col min="514" max="514" width="11.140625" style="433" bestFit="1" customWidth="1"/>
    <col min="515" max="515" width="19.140625" style="433" bestFit="1" customWidth="1"/>
    <col min="516" max="516" width="22.42578125" style="433" customWidth="1"/>
    <col min="517" max="517" width="9" style="433" customWidth="1"/>
    <col min="518" max="518" width="12.5703125" style="433" customWidth="1"/>
    <col min="519" max="519" width="20.85546875" style="433" customWidth="1"/>
    <col min="520" max="520" width="18.140625" style="433" customWidth="1"/>
    <col min="521" max="521" width="12.140625" style="433" customWidth="1"/>
    <col min="522" max="522" width="12.5703125" style="433" customWidth="1"/>
    <col min="523" max="523" width="12.42578125" style="433" customWidth="1"/>
    <col min="524" max="525" width="3.28515625" style="433" bestFit="1" customWidth="1"/>
    <col min="526" max="526" width="4.42578125" style="433" bestFit="1" customWidth="1"/>
    <col min="527" max="529" width="8.42578125" style="433" bestFit="1" customWidth="1"/>
    <col min="530" max="531" width="3.28515625" style="433" bestFit="1" customWidth="1"/>
    <col min="532" max="532" width="4.42578125" style="433" bestFit="1" customWidth="1"/>
    <col min="533" max="534" width="8.42578125" style="433" bestFit="1" customWidth="1"/>
    <col min="535" max="535" width="9.5703125" style="433" bestFit="1" customWidth="1"/>
    <col min="536" max="537" width="3.28515625" style="433" bestFit="1" customWidth="1"/>
    <col min="538" max="538" width="4.42578125" style="433" bestFit="1" customWidth="1"/>
    <col min="539" max="541" width="8.42578125" style="433" bestFit="1" customWidth="1"/>
    <col min="542" max="543" width="3.28515625" style="433" bestFit="1" customWidth="1"/>
    <col min="544" max="544" width="4.42578125" style="433" bestFit="1" customWidth="1"/>
    <col min="545" max="547" width="8.42578125" style="433" bestFit="1" customWidth="1"/>
    <col min="548" max="548" width="10.28515625" style="433" customWidth="1"/>
    <col min="549" max="549" width="9.42578125" style="433" customWidth="1"/>
    <col min="550" max="550" width="9.28515625" style="433" bestFit="1" customWidth="1"/>
    <col min="551" max="551" width="9.5703125" style="433" customWidth="1"/>
    <col min="552" max="552" width="8.140625" style="433" customWidth="1"/>
    <col min="553" max="553" width="6" style="433" customWidth="1"/>
    <col min="554" max="554" width="12.7109375" style="433" customWidth="1"/>
    <col min="555" max="555" width="12.85546875" style="433" customWidth="1"/>
    <col min="556" max="556" width="15.28515625" style="433" customWidth="1"/>
    <col min="557" max="557" width="5.7109375" style="433" bestFit="1" customWidth="1"/>
    <col min="558" max="558" width="6.140625" style="433" bestFit="1" customWidth="1"/>
    <col min="559" max="559" width="7.5703125" style="433" bestFit="1" customWidth="1"/>
    <col min="560" max="561" width="12.7109375" style="433" bestFit="1" customWidth="1"/>
    <col min="562" max="768" width="11.42578125" style="433"/>
    <col min="769" max="769" width="6.42578125" style="433" customWidth="1"/>
    <col min="770" max="770" width="11.140625" style="433" bestFit="1" customWidth="1"/>
    <col min="771" max="771" width="19.140625" style="433" bestFit="1" customWidth="1"/>
    <col min="772" max="772" width="22.42578125" style="433" customWidth="1"/>
    <col min="773" max="773" width="9" style="433" customWidth="1"/>
    <col min="774" max="774" width="12.5703125" style="433" customWidth="1"/>
    <col min="775" max="775" width="20.85546875" style="433" customWidth="1"/>
    <col min="776" max="776" width="18.140625" style="433" customWidth="1"/>
    <col min="777" max="777" width="12.140625" style="433" customWidth="1"/>
    <col min="778" max="778" width="12.5703125" style="433" customWidth="1"/>
    <col min="779" max="779" width="12.42578125" style="433" customWidth="1"/>
    <col min="780" max="781" width="3.28515625" style="433" bestFit="1" customWidth="1"/>
    <col min="782" max="782" width="4.42578125" style="433" bestFit="1" customWidth="1"/>
    <col min="783" max="785" width="8.42578125" style="433" bestFit="1" customWidth="1"/>
    <col min="786" max="787" width="3.28515625" style="433" bestFit="1" customWidth="1"/>
    <col min="788" max="788" width="4.42578125" style="433" bestFit="1" customWidth="1"/>
    <col min="789" max="790" width="8.42578125" style="433" bestFit="1" customWidth="1"/>
    <col min="791" max="791" width="9.5703125" style="433" bestFit="1" customWidth="1"/>
    <col min="792" max="793" width="3.28515625" style="433" bestFit="1" customWidth="1"/>
    <col min="794" max="794" width="4.42578125" style="433" bestFit="1" customWidth="1"/>
    <col min="795" max="797" width="8.42578125" style="433" bestFit="1" customWidth="1"/>
    <col min="798" max="799" width="3.28515625" style="433" bestFit="1" customWidth="1"/>
    <col min="800" max="800" width="4.42578125" style="433" bestFit="1" customWidth="1"/>
    <col min="801" max="803" width="8.42578125" style="433" bestFit="1" customWidth="1"/>
    <col min="804" max="804" width="10.28515625" style="433" customWidth="1"/>
    <col min="805" max="805" width="9.42578125" style="433" customWidth="1"/>
    <col min="806" max="806" width="9.28515625" style="433" bestFit="1" customWidth="1"/>
    <col min="807" max="807" width="9.5703125" style="433" customWidth="1"/>
    <col min="808" max="808" width="8.140625" style="433" customWidth="1"/>
    <col min="809" max="809" width="6" style="433" customWidth="1"/>
    <col min="810" max="810" width="12.7109375" style="433" customWidth="1"/>
    <col min="811" max="811" width="12.85546875" style="433" customWidth="1"/>
    <col min="812" max="812" width="15.28515625" style="433" customWidth="1"/>
    <col min="813" max="813" width="5.7109375" style="433" bestFit="1" customWidth="1"/>
    <col min="814" max="814" width="6.140625" style="433" bestFit="1" customWidth="1"/>
    <col min="815" max="815" width="7.5703125" style="433" bestFit="1" customWidth="1"/>
    <col min="816" max="817" width="12.7109375" style="433" bestFit="1" customWidth="1"/>
    <col min="818" max="1024" width="11.42578125" style="433"/>
    <col min="1025" max="1025" width="6.42578125" style="433" customWidth="1"/>
    <col min="1026" max="1026" width="11.140625" style="433" bestFit="1" customWidth="1"/>
    <col min="1027" max="1027" width="19.140625" style="433" bestFit="1" customWidth="1"/>
    <col min="1028" max="1028" width="22.42578125" style="433" customWidth="1"/>
    <col min="1029" max="1029" width="9" style="433" customWidth="1"/>
    <col min="1030" max="1030" width="12.5703125" style="433" customWidth="1"/>
    <col min="1031" max="1031" width="20.85546875" style="433" customWidth="1"/>
    <col min="1032" max="1032" width="18.140625" style="433" customWidth="1"/>
    <col min="1033" max="1033" width="12.140625" style="433" customWidth="1"/>
    <col min="1034" max="1034" width="12.5703125" style="433" customWidth="1"/>
    <col min="1035" max="1035" width="12.42578125" style="433" customWidth="1"/>
    <col min="1036" max="1037" width="3.28515625" style="433" bestFit="1" customWidth="1"/>
    <col min="1038" max="1038" width="4.42578125" style="433" bestFit="1" customWidth="1"/>
    <col min="1039" max="1041" width="8.42578125" style="433" bestFit="1" customWidth="1"/>
    <col min="1042" max="1043" width="3.28515625" style="433" bestFit="1" customWidth="1"/>
    <col min="1044" max="1044" width="4.42578125" style="433" bestFit="1" customWidth="1"/>
    <col min="1045" max="1046" width="8.42578125" style="433" bestFit="1" customWidth="1"/>
    <col min="1047" max="1047" width="9.5703125" style="433" bestFit="1" customWidth="1"/>
    <col min="1048" max="1049" width="3.28515625" style="433" bestFit="1" customWidth="1"/>
    <col min="1050" max="1050" width="4.42578125" style="433" bestFit="1" customWidth="1"/>
    <col min="1051" max="1053" width="8.42578125" style="433" bestFit="1" customWidth="1"/>
    <col min="1054" max="1055" width="3.28515625" style="433" bestFit="1" customWidth="1"/>
    <col min="1056" max="1056" width="4.42578125" style="433" bestFit="1" customWidth="1"/>
    <col min="1057" max="1059" width="8.42578125" style="433" bestFit="1" customWidth="1"/>
    <col min="1060" max="1060" width="10.28515625" style="433" customWidth="1"/>
    <col min="1061" max="1061" width="9.42578125" style="433" customWidth="1"/>
    <col min="1062" max="1062" width="9.28515625" style="433" bestFit="1" customWidth="1"/>
    <col min="1063" max="1063" width="9.5703125" style="433" customWidth="1"/>
    <col min="1064" max="1064" width="8.140625" style="433" customWidth="1"/>
    <col min="1065" max="1065" width="6" style="433" customWidth="1"/>
    <col min="1066" max="1066" width="12.7109375" style="433" customWidth="1"/>
    <col min="1067" max="1067" width="12.85546875" style="433" customWidth="1"/>
    <col min="1068" max="1068" width="15.28515625" style="433" customWidth="1"/>
    <col min="1069" max="1069" width="5.7109375" style="433" bestFit="1" customWidth="1"/>
    <col min="1070" max="1070" width="6.140625" style="433" bestFit="1" customWidth="1"/>
    <col min="1071" max="1071" width="7.5703125" style="433" bestFit="1" customWidth="1"/>
    <col min="1072" max="1073" width="12.7109375" style="433" bestFit="1" customWidth="1"/>
    <col min="1074" max="1280" width="11.42578125" style="433"/>
    <col min="1281" max="1281" width="6.42578125" style="433" customWidth="1"/>
    <col min="1282" max="1282" width="11.140625" style="433" bestFit="1" customWidth="1"/>
    <col min="1283" max="1283" width="19.140625" style="433" bestFit="1" customWidth="1"/>
    <col min="1284" max="1284" width="22.42578125" style="433" customWidth="1"/>
    <col min="1285" max="1285" width="9" style="433" customWidth="1"/>
    <col min="1286" max="1286" width="12.5703125" style="433" customWidth="1"/>
    <col min="1287" max="1287" width="20.85546875" style="433" customWidth="1"/>
    <col min="1288" max="1288" width="18.140625" style="433" customWidth="1"/>
    <col min="1289" max="1289" width="12.140625" style="433" customWidth="1"/>
    <col min="1290" max="1290" width="12.5703125" style="433" customWidth="1"/>
    <col min="1291" max="1291" width="12.42578125" style="433" customWidth="1"/>
    <col min="1292" max="1293" width="3.28515625" style="433" bestFit="1" customWidth="1"/>
    <col min="1294" max="1294" width="4.42578125" style="433" bestFit="1" customWidth="1"/>
    <col min="1295" max="1297" width="8.42578125" style="433" bestFit="1" customWidth="1"/>
    <col min="1298" max="1299" width="3.28515625" style="433" bestFit="1" customWidth="1"/>
    <col min="1300" max="1300" width="4.42578125" style="433" bestFit="1" customWidth="1"/>
    <col min="1301" max="1302" width="8.42578125" style="433" bestFit="1" customWidth="1"/>
    <col min="1303" max="1303" width="9.5703125" style="433" bestFit="1" customWidth="1"/>
    <col min="1304" max="1305" width="3.28515625" style="433" bestFit="1" customWidth="1"/>
    <col min="1306" max="1306" width="4.42578125" style="433" bestFit="1" customWidth="1"/>
    <col min="1307" max="1309" width="8.42578125" style="433" bestFit="1" customWidth="1"/>
    <col min="1310" max="1311" width="3.28515625" style="433" bestFit="1" customWidth="1"/>
    <col min="1312" max="1312" width="4.42578125" style="433" bestFit="1" customWidth="1"/>
    <col min="1313" max="1315" width="8.42578125" style="433" bestFit="1" customWidth="1"/>
    <col min="1316" max="1316" width="10.28515625" style="433" customWidth="1"/>
    <col min="1317" max="1317" width="9.42578125" style="433" customWidth="1"/>
    <col min="1318" max="1318" width="9.28515625" style="433" bestFit="1" customWidth="1"/>
    <col min="1319" max="1319" width="9.5703125" style="433" customWidth="1"/>
    <col min="1320" max="1320" width="8.140625" style="433" customWidth="1"/>
    <col min="1321" max="1321" width="6" style="433" customWidth="1"/>
    <col min="1322" max="1322" width="12.7109375" style="433" customWidth="1"/>
    <col min="1323" max="1323" width="12.85546875" style="433" customWidth="1"/>
    <col min="1324" max="1324" width="15.28515625" style="433" customWidth="1"/>
    <col min="1325" max="1325" width="5.7109375" style="433" bestFit="1" customWidth="1"/>
    <col min="1326" max="1326" width="6.140625" style="433" bestFit="1" customWidth="1"/>
    <col min="1327" max="1327" width="7.5703125" style="433" bestFit="1" customWidth="1"/>
    <col min="1328" max="1329" width="12.7109375" style="433" bestFit="1" customWidth="1"/>
    <col min="1330" max="1536" width="11.42578125" style="433"/>
    <col min="1537" max="1537" width="6.42578125" style="433" customWidth="1"/>
    <col min="1538" max="1538" width="11.140625" style="433" bestFit="1" customWidth="1"/>
    <col min="1539" max="1539" width="19.140625" style="433" bestFit="1" customWidth="1"/>
    <col min="1540" max="1540" width="22.42578125" style="433" customWidth="1"/>
    <col min="1541" max="1541" width="9" style="433" customWidth="1"/>
    <col min="1542" max="1542" width="12.5703125" style="433" customWidth="1"/>
    <col min="1543" max="1543" width="20.85546875" style="433" customWidth="1"/>
    <col min="1544" max="1544" width="18.140625" style="433" customWidth="1"/>
    <col min="1545" max="1545" width="12.140625" style="433" customWidth="1"/>
    <col min="1546" max="1546" width="12.5703125" style="433" customWidth="1"/>
    <col min="1547" max="1547" width="12.42578125" style="433" customWidth="1"/>
    <col min="1548" max="1549" width="3.28515625" style="433" bestFit="1" customWidth="1"/>
    <col min="1550" max="1550" width="4.42578125" style="433" bestFit="1" customWidth="1"/>
    <col min="1551" max="1553" width="8.42578125" style="433" bestFit="1" customWidth="1"/>
    <col min="1554" max="1555" width="3.28515625" style="433" bestFit="1" customWidth="1"/>
    <col min="1556" max="1556" width="4.42578125" style="433" bestFit="1" customWidth="1"/>
    <col min="1557" max="1558" width="8.42578125" style="433" bestFit="1" customWidth="1"/>
    <col min="1559" max="1559" width="9.5703125" style="433" bestFit="1" customWidth="1"/>
    <col min="1560" max="1561" width="3.28515625" style="433" bestFit="1" customWidth="1"/>
    <col min="1562" max="1562" width="4.42578125" style="433" bestFit="1" customWidth="1"/>
    <col min="1563" max="1565" width="8.42578125" style="433" bestFit="1" customWidth="1"/>
    <col min="1566" max="1567" width="3.28515625" style="433" bestFit="1" customWidth="1"/>
    <col min="1568" max="1568" width="4.42578125" style="433" bestFit="1" customWidth="1"/>
    <col min="1569" max="1571" width="8.42578125" style="433" bestFit="1" customWidth="1"/>
    <col min="1572" max="1572" width="10.28515625" style="433" customWidth="1"/>
    <col min="1573" max="1573" width="9.42578125" style="433" customWidth="1"/>
    <col min="1574" max="1574" width="9.28515625" style="433" bestFit="1" customWidth="1"/>
    <col min="1575" max="1575" width="9.5703125" style="433" customWidth="1"/>
    <col min="1576" max="1576" width="8.140625" style="433" customWidth="1"/>
    <col min="1577" max="1577" width="6" style="433" customWidth="1"/>
    <col min="1578" max="1578" width="12.7109375" style="433" customWidth="1"/>
    <col min="1579" max="1579" width="12.85546875" style="433" customWidth="1"/>
    <col min="1580" max="1580" width="15.28515625" style="433" customWidth="1"/>
    <col min="1581" max="1581" width="5.7109375" style="433" bestFit="1" customWidth="1"/>
    <col min="1582" max="1582" width="6.140625" style="433" bestFit="1" customWidth="1"/>
    <col min="1583" max="1583" width="7.5703125" style="433" bestFit="1" customWidth="1"/>
    <col min="1584" max="1585" width="12.7109375" style="433" bestFit="1" customWidth="1"/>
    <col min="1586" max="1792" width="11.42578125" style="433"/>
    <col min="1793" max="1793" width="6.42578125" style="433" customWidth="1"/>
    <col min="1794" max="1794" width="11.140625" style="433" bestFit="1" customWidth="1"/>
    <col min="1795" max="1795" width="19.140625" style="433" bestFit="1" customWidth="1"/>
    <col min="1796" max="1796" width="22.42578125" style="433" customWidth="1"/>
    <col min="1797" max="1797" width="9" style="433" customWidth="1"/>
    <col min="1798" max="1798" width="12.5703125" style="433" customWidth="1"/>
    <col min="1799" max="1799" width="20.85546875" style="433" customWidth="1"/>
    <col min="1800" max="1800" width="18.140625" style="433" customWidth="1"/>
    <col min="1801" max="1801" width="12.140625" style="433" customWidth="1"/>
    <col min="1802" max="1802" width="12.5703125" style="433" customWidth="1"/>
    <col min="1803" max="1803" width="12.42578125" style="433" customWidth="1"/>
    <col min="1804" max="1805" width="3.28515625" style="433" bestFit="1" customWidth="1"/>
    <col min="1806" max="1806" width="4.42578125" style="433" bestFit="1" customWidth="1"/>
    <col min="1807" max="1809" width="8.42578125" style="433" bestFit="1" customWidth="1"/>
    <col min="1810" max="1811" width="3.28515625" style="433" bestFit="1" customWidth="1"/>
    <col min="1812" max="1812" width="4.42578125" style="433" bestFit="1" customWidth="1"/>
    <col min="1813" max="1814" width="8.42578125" style="433" bestFit="1" customWidth="1"/>
    <col min="1815" max="1815" width="9.5703125" style="433" bestFit="1" customWidth="1"/>
    <col min="1816" max="1817" width="3.28515625" style="433" bestFit="1" customWidth="1"/>
    <col min="1818" max="1818" width="4.42578125" style="433" bestFit="1" customWidth="1"/>
    <col min="1819" max="1821" width="8.42578125" style="433" bestFit="1" customWidth="1"/>
    <col min="1822" max="1823" width="3.28515625" style="433" bestFit="1" customWidth="1"/>
    <col min="1824" max="1824" width="4.42578125" style="433" bestFit="1" customWidth="1"/>
    <col min="1825" max="1827" width="8.42578125" style="433" bestFit="1" customWidth="1"/>
    <col min="1828" max="1828" width="10.28515625" style="433" customWidth="1"/>
    <col min="1829" max="1829" width="9.42578125" style="433" customWidth="1"/>
    <col min="1830" max="1830" width="9.28515625" style="433" bestFit="1" customWidth="1"/>
    <col min="1831" max="1831" width="9.5703125" style="433" customWidth="1"/>
    <col min="1832" max="1832" width="8.140625" style="433" customWidth="1"/>
    <col min="1833" max="1833" width="6" style="433" customWidth="1"/>
    <col min="1834" max="1834" width="12.7109375" style="433" customWidth="1"/>
    <col min="1835" max="1835" width="12.85546875" style="433" customWidth="1"/>
    <col min="1836" max="1836" width="15.28515625" style="433" customWidth="1"/>
    <col min="1837" max="1837" width="5.7109375" style="433" bestFit="1" customWidth="1"/>
    <col min="1838" max="1838" width="6.140625" style="433" bestFit="1" customWidth="1"/>
    <col min="1839" max="1839" width="7.5703125" style="433" bestFit="1" customWidth="1"/>
    <col min="1840" max="1841" width="12.7109375" style="433" bestFit="1" customWidth="1"/>
    <col min="1842" max="2048" width="11.42578125" style="433"/>
    <col min="2049" max="2049" width="6.42578125" style="433" customWidth="1"/>
    <col min="2050" max="2050" width="11.140625" style="433" bestFit="1" customWidth="1"/>
    <col min="2051" max="2051" width="19.140625" style="433" bestFit="1" customWidth="1"/>
    <col min="2052" max="2052" width="22.42578125" style="433" customWidth="1"/>
    <col min="2053" max="2053" width="9" style="433" customWidth="1"/>
    <col min="2054" max="2054" width="12.5703125" style="433" customWidth="1"/>
    <col min="2055" max="2055" width="20.85546875" style="433" customWidth="1"/>
    <col min="2056" max="2056" width="18.140625" style="433" customWidth="1"/>
    <col min="2057" max="2057" width="12.140625" style="433" customWidth="1"/>
    <col min="2058" max="2058" width="12.5703125" style="433" customWidth="1"/>
    <col min="2059" max="2059" width="12.42578125" style="433" customWidth="1"/>
    <col min="2060" max="2061" width="3.28515625" style="433" bestFit="1" customWidth="1"/>
    <col min="2062" max="2062" width="4.42578125" style="433" bestFit="1" customWidth="1"/>
    <col min="2063" max="2065" width="8.42578125" style="433" bestFit="1" customWidth="1"/>
    <col min="2066" max="2067" width="3.28515625" style="433" bestFit="1" customWidth="1"/>
    <col min="2068" max="2068" width="4.42578125" style="433" bestFit="1" customWidth="1"/>
    <col min="2069" max="2070" width="8.42578125" style="433" bestFit="1" customWidth="1"/>
    <col min="2071" max="2071" width="9.5703125" style="433" bestFit="1" customWidth="1"/>
    <col min="2072" max="2073" width="3.28515625" style="433" bestFit="1" customWidth="1"/>
    <col min="2074" max="2074" width="4.42578125" style="433" bestFit="1" customWidth="1"/>
    <col min="2075" max="2077" width="8.42578125" style="433" bestFit="1" customWidth="1"/>
    <col min="2078" max="2079" width="3.28515625" style="433" bestFit="1" customWidth="1"/>
    <col min="2080" max="2080" width="4.42578125" style="433" bestFit="1" customWidth="1"/>
    <col min="2081" max="2083" width="8.42578125" style="433" bestFit="1" customWidth="1"/>
    <col min="2084" max="2084" width="10.28515625" style="433" customWidth="1"/>
    <col min="2085" max="2085" width="9.42578125" style="433" customWidth="1"/>
    <col min="2086" max="2086" width="9.28515625" style="433" bestFit="1" customWidth="1"/>
    <col min="2087" max="2087" width="9.5703125" style="433" customWidth="1"/>
    <col min="2088" max="2088" width="8.140625" style="433" customWidth="1"/>
    <col min="2089" max="2089" width="6" style="433" customWidth="1"/>
    <col min="2090" max="2090" width="12.7109375" style="433" customWidth="1"/>
    <col min="2091" max="2091" width="12.85546875" style="433" customWidth="1"/>
    <col min="2092" max="2092" width="15.28515625" style="433" customWidth="1"/>
    <col min="2093" max="2093" width="5.7109375" style="433" bestFit="1" customWidth="1"/>
    <col min="2094" max="2094" width="6.140625" style="433" bestFit="1" customWidth="1"/>
    <col min="2095" max="2095" width="7.5703125" style="433" bestFit="1" customWidth="1"/>
    <col min="2096" max="2097" width="12.7109375" style="433" bestFit="1" customWidth="1"/>
    <col min="2098" max="2304" width="11.42578125" style="433"/>
    <col min="2305" max="2305" width="6.42578125" style="433" customWidth="1"/>
    <col min="2306" max="2306" width="11.140625" style="433" bestFit="1" customWidth="1"/>
    <col min="2307" max="2307" width="19.140625" style="433" bestFit="1" customWidth="1"/>
    <col min="2308" max="2308" width="22.42578125" style="433" customWidth="1"/>
    <col min="2309" max="2309" width="9" style="433" customWidth="1"/>
    <col min="2310" max="2310" width="12.5703125" style="433" customWidth="1"/>
    <col min="2311" max="2311" width="20.85546875" style="433" customWidth="1"/>
    <col min="2312" max="2312" width="18.140625" style="433" customWidth="1"/>
    <col min="2313" max="2313" width="12.140625" style="433" customWidth="1"/>
    <col min="2314" max="2314" width="12.5703125" style="433" customWidth="1"/>
    <col min="2315" max="2315" width="12.42578125" style="433" customWidth="1"/>
    <col min="2316" max="2317" width="3.28515625" style="433" bestFit="1" customWidth="1"/>
    <col min="2318" max="2318" width="4.42578125" style="433" bestFit="1" customWidth="1"/>
    <col min="2319" max="2321" width="8.42578125" style="433" bestFit="1" customWidth="1"/>
    <col min="2322" max="2323" width="3.28515625" style="433" bestFit="1" customWidth="1"/>
    <col min="2324" max="2324" width="4.42578125" style="433" bestFit="1" customWidth="1"/>
    <col min="2325" max="2326" width="8.42578125" style="433" bestFit="1" customWidth="1"/>
    <col min="2327" max="2327" width="9.5703125" style="433" bestFit="1" customWidth="1"/>
    <col min="2328" max="2329" width="3.28515625" style="433" bestFit="1" customWidth="1"/>
    <col min="2330" max="2330" width="4.42578125" style="433" bestFit="1" customWidth="1"/>
    <col min="2331" max="2333" width="8.42578125" style="433" bestFit="1" customWidth="1"/>
    <col min="2334" max="2335" width="3.28515625" style="433" bestFit="1" customWidth="1"/>
    <col min="2336" max="2336" width="4.42578125" style="433" bestFit="1" customWidth="1"/>
    <col min="2337" max="2339" width="8.42578125" style="433" bestFit="1" customWidth="1"/>
    <col min="2340" max="2340" width="10.28515625" style="433" customWidth="1"/>
    <col min="2341" max="2341" width="9.42578125" style="433" customWidth="1"/>
    <col min="2342" max="2342" width="9.28515625" style="433" bestFit="1" customWidth="1"/>
    <col min="2343" max="2343" width="9.5703125" style="433" customWidth="1"/>
    <col min="2344" max="2344" width="8.140625" style="433" customWidth="1"/>
    <col min="2345" max="2345" width="6" style="433" customWidth="1"/>
    <col min="2346" max="2346" width="12.7109375" style="433" customWidth="1"/>
    <col min="2347" max="2347" width="12.85546875" style="433" customWidth="1"/>
    <col min="2348" max="2348" width="15.28515625" style="433" customWidth="1"/>
    <col min="2349" max="2349" width="5.7109375" style="433" bestFit="1" customWidth="1"/>
    <col min="2350" max="2350" width="6.140625" style="433" bestFit="1" customWidth="1"/>
    <col min="2351" max="2351" width="7.5703125" style="433" bestFit="1" customWidth="1"/>
    <col min="2352" max="2353" width="12.7109375" style="433" bestFit="1" customWidth="1"/>
    <col min="2354" max="2560" width="11.42578125" style="433"/>
    <col min="2561" max="2561" width="6.42578125" style="433" customWidth="1"/>
    <col min="2562" max="2562" width="11.140625" style="433" bestFit="1" customWidth="1"/>
    <col min="2563" max="2563" width="19.140625" style="433" bestFit="1" customWidth="1"/>
    <col min="2564" max="2564" width="22.42578125" style="433" customWidth="1"/>
    <col min="2565" max="2565" width="9" style="433" customWidth="1"/>
    <col min="2566" max="2566" width="12.5703125" style="433" customWidth="1"/>
    <col min="2567" max="2567" width="20.85546875" style="433" customWidth="1"/>
    <col min="2568" max="2568" width="18.140625" style="433" customWidth="1"/>
    <col min="2569" max="2569" width="12.140625" style="433" customWidth="1"/>
    <col min="2570" max="2570" width="12.5703125" style="433" customWidth="1"/>
    <col min="2571" max="2571" width="12.42578125" style="433" customWidth="1"/>
    <col min="2572" max="2573" width="3.28515625" style="433" bestFit="1" customWidth="1"/>
    <col min="2574" max="2574" width="4.42578125" style="433" bestFit="1" customWidth="1"/>
    <col min="2575" max="2577" width="8.42578125" style="433" bestFit="1" customWidth="1"/>
    <col min="2578" max="2579" width="3.28515625" style="433" bestFit="1" customWidth="1"/>
    <col min="2580" max="2580" width="4.42578125" style="433" bestFit="1" customWidth="1"/>
    <col min="2581" max="2582" width="8.42578125" style="433" bestFit="1" customWidth="1"/>
    <col min="2583" max="2583" width="9.5703125" style="433" bestFit="1" customWidth="1"/>
    <col min="2584" max="2585" width="3.28515625" style="433" bestFit="1" customWidth="1"/>
    <col min="2586" max="2586" width="4.42578125" style="433" bestFit="1" customWidth="1"/>
    <col min="2587" max="2589" width="8.42578125" style="433" bestFit="1" customWidth="1"/>
    <col min="2590" max="2591" width="3.28515625" style="433" bestFit="1" customWidth="1"/>
    <col min="2592" max="2592" width="4.42578125" style="433" bestFit="1" customWidth="1"/>
    <col min="2593" max="2595" width="8.42578125" style="433" bestFit="1" customWidth="1"/>
    <col min="2596" max="2596" width="10.28515625" style="433" customWidth="1"/>
    <col min="2597" max="2597" width="9.42578125" style="433" customWidth="1"/>
    <col min="2598" max="2598" width="9.28515625" style="433" bestFit="1" customWidth="1"/>
    <col min="2599" max="2599" width="9.5703125" style="433" customWidth="1"/>
    <col min="2600" max="2600" width="8.140625" style="433" customWidth="1"/>
    <col min="2601" max="2601" width="6" style="433" customWidth="1"/>
    <col min="2602" max="2602" width="12.7109375" style="433" customWidth="1"/>
    <col min="2603" max="2603" width="12.85546875" style="433" customWidth="1"/>
    <col min="2604" max="2604" width="15.28515625" style="433" customWidth="1"/>
    <col min="2605" max="2605" width="5.7109375" style="433" bestFit="1" customWidth="1"/>
    <col min="2606" max="2606" width="6.140625" style="433" bestFit="1" customWidth="1"/>
    <col min="2607" max="2607" width="7.5703125" style="433" bestFit="1" customWidth="1"/>
    <col min="2608" max="2609" width="12.7109375" style="433" bestFit="1" customWidth="1"/>
    <col min="2610" max="2816" width="11.42578125" style="433"/>
    <col min="2817" max="2817" width="6.42578125" style="433" customWidth="1"/>
    <col min="2818" max="2818" width="11.140625" style="433" bestFit="1" customWidth="1"/>
    <col min="2819" max="2819" width="19.140625" style="433" bestFit="1" customWidth="1"/>
    <col min="2820" max="2820" width="22.42578125" style="433" customWidth="1"/>
    <col min="2821" max="2821" width="9" style="433" customWidth="1"/>
    <col min="2822" max="2822" width="12.5703125" style="433" customWidth="1"/>
    <col min="2823" max="2823" width="20.85546875" style="433" customWidth="1"/>
    <col min="2824" max="2824" width="18.140625" style="433" customWidth="1"/>
    <col min="2825" max="2825" width="12.140625" style="433" customWidth="1"/>
    <col min="2826" max="2826" width="12.5703125" style="433" customWidth="1"/>
    <col min="2827" max="2827" width="12.42578125" style="433" customWidth="1"/>
    <col min="2828" max="2829" width="3.28515625" style="433" bestFit="1" customWidth="1"/>
    <col min="2830" max="2830" width="4.42578125" style="433" bestFit="1" customWidth="1"/>
    <col min="2831" max="2833" width="8.42578125" style="433" bestFit="1" customWidth="1"/>
    <col min="2834" max="2835" width="3.28515625" style="433" bestFit="1" customWidth="1"/>
    <col min="2836" max="2836" width="4.42578125" style="433" bestFit="1" customWidth="1"/>
    <col min="2837" max="2838" width="8.42578125" style="433" bestFit="1" customWidth="1"/>
    <col min="2839" max="2839" width="9.5703125" style="433" bestFit="1" customWidth="1"/>
    <col min="2840" max="2841" width="3.28515625" style="433" bestFit="1" customWidth="1"/>
    <col min="2842" max="2842" width="4.42578125" style="433" bestFit="1" customWidth="1"/>
    <col min="2843" max="2845" width="8.42578125" style="433" bestFit="1" customWidth="1"/>
    <col min="2846" max="2847" width="3.28515625" style="433" bestFit="1" customWidth="1"/>
    <col min="2848" max="2848" width="4.42578125" style="433" bestFit="1" customWidth="1"/>
    <col min="2849" max="2851" width="8.42578125" style="433" bestFit="1" customWidth="1"/>
    <col min="2852" max="2852" width="10.28515625" style="433" customWidth="1"/>
    <col min="2853" max="2853" width="9.42578125" style="433" customWidth="1"/>
    <col min="2854" max="2854" width="9.28515625" style="433" bestFit="1" customWidth="1"/>
    <col min="2855" max="2855" width="9.5703125" style="433" customWidth="1"/>
    <col min="2856" max="2856" width="8.140625" style="433" customWidth="1"/>
    <col min="2857" max="2857" width="6" style="433" customWidth="1"/>
    <col min="2858" max="2858" width="12.7109375" style="433" customWidth="1"/>
    <col min="2859" max="2859" width="12.85546875" style="433" customWidth="1"/>
    <col min="2860" max="2860" width="15.28515625" style="433" customWidth="1"/>
    <col min="2861" max="2861" width="5.7109375" style="433" bestFit="1" customWidth="1"/>
    <col min="2862" max="2862" width="6.140625" style="433" bestFit="1" customWidth="1"/>
    <col min="2863" max="2863" width="7.5703125" style="433" bestFit="1" customWidth="1"/>
    <col min="2864" max="2865" width="12.7109375" style="433" bestFit="1" customWidth="1"/>
    <col min="2866" max="3072" width="11.42578125" style="433"/>
    <col min="3073" max="3073" width="6.42578125" style="433" customWidth="1"/>
    <col min="3074" max="3074" width="11.140625" style="433" bestFit="1" customWidth="1"/>
    <col min="3075" max="3075" width="19.140625" style="433" bestFit="1" customWidth="1"/>
    <col min="3076" max="3076" width="22.42578125" style="433" customWidth="1"/>
    <col min="3077" max="3077" width="9" style="433" customWidth="1"/>
    <col min="3078" max="3078" width="12.5703125" style="433" customWidth="1"/>
    <col min="3079" max="3079" width="20.85546875" style="433" customWidth="1"/>
    <col min="3080" max="3080" width="18.140625" style="433" customWidth="1"/>
    <col min="3081" max="3081" width="12.140625" style="433" customWidth="1"/>
    <col min="3082" max="3082" width="12.5703125" style="433" customWidth="1"/>
    <col min="3083" max="3083" width="12.42578125" style="433" customWidth="1"/>
    <col min="3084" max="3085" width="3.28515625" style="433" bestFit="1" customWidth="1"/>
    <col min="3086" max="3086" width="4.42578125" style="433" bestFit="1" customWidth="1"/>
    <col min="3087" max="3089" width="8.42578125" style="433" bestFit="1" customWidth="1"/>
    <col min="3090" max="3091" width="3.28515625" style="433" bestFit="1" customWidth="1"/>
    <col min="3092" max="3092" width="4.42578125" style="433" bestFit="1" customWidth="1"/>
    <col min="3093" max="3094" width="8.42578125" style="433" bestFit="1" customWidth="1"/>
    <col min="3095" max="3095" width="9.5703125" style="433" bestFit="1" customWidth="1"/>
    <col min="3096" max="3097" width="3.28515625" style="433" bestFit="1" customWidth="1"/>
    <col min="3098" max="3098" width="4.42578125" style="433" bestFit="1" customWidth="1"/>
    <col min="3099" max="3101" width="8.42578125" style="433" bestFit="1" customWidth="1"/>
    <col min="3102" max="3103" width="3.28515625" style="433" bestFit="1" customWidth="1"/>
    <col min="3104" max="3104" width="4.42578125" style="433" bestFit="1" customWidth="1"/>
    <col min="3105" max="3107" width="8.42578125" style="433" bestFit="1" customWidth="1"/>
    <col min="3108" max="3108" width="10.28515625" style="433" customWidth="1"/>
    <col min="3109" max="3109" width="9.42578125" style="433" customWidth="1"/>
    <col min="3110" max="3110" width="9.28515625" style="433" bestFit="1" customWidth="1"/>
    <col min="3111" max="3111" width="9.5703125" style="433" customWidth="1"/>
    <col min="3112" max="3112" width="8.140625" style="433" customWidth="1"/>
    <col min="3113" max="3113" width="6" style="433" customWidth="1"/>
    <col min="3114" max="3114" width="12.7109375" style="433" customWidth="1"/>
    <col min="3115" max="3115" width="12.85546875" style="433" customWidth="1"/>
    <col min="3116" max="3116" width="15.28515625" style="433" customWidth="1"/>
    <col min="3117" max="3117" width="5.7109375" style="433" bestFit="1" customWidth="1"/>
    <col min="3118" max="3118" width="6.140625" style="433" bestFit="1" customWidth="1"/>
    <col min="3119" max="3119" width="7.5703125" style="433" bestFit="1" customWidth="1"/>
    <col min="3120" max="3121" width="12.7109375" style="433" bestFit="1" customWidth="1"/>
    <col min="3122" max="3328" width="11.42578125" style="433"/>
    <col min="3329" max="3329" width="6.42578125" style="433" customWidth="1"/>
    <col min="3330" max="3330" width="11.140625" style="433" bestFit="1" customWidth="1"/>
    <col min="3331" max="3331" width="19.140625" style="433" bestFit="1" customWidth="1"/>
    <col min="3332" max="3332" width="22.42578125" style="433" customWidth="1"/>
    <col min="3333" max="3333" width="9" style="433" customWidth="1"/>
    <col min="3334" max="3334" width="12.5703125" style="433" customWidth="1"/>
    <col min="3335" max="3335" width="20.85546875" style="433" customWidth="1"/>
    <col min="3336" max="3336" width="18.140625" style="433" customWidth="1"/>
    <col min="3337" max="3337" width="12.140625" style="433" customWidth="1"/>
    <col min="3338" max="3338" width="12.5703125" style="433" customWidth="1"/>
    <col min="3339" max="3339" width="12.42578125" style="433" customWidth="1"/>
    <col min="3340" max="3341" width="3.28515625" style="433" bestFit="1" customWidth="1"/>
    <col min="3342" max="3342" width="4.42578125" style="433" bestFit="1" customWidth="1"/>
    <col min="3343" max="3345" width="8.42578125" style="433" bestFit="1" customWidth="1"/>
    <col min="3346" max="3347" width="3.28515625" style="433" bestFit="1" customWidth="1"/>
    <col min="3348" max="3348" width="4.42578125" style="433" bestFit="1" customWidth="1"/>
    <col min="3349" max="3350" width="8.42578125" style="433" bestFit="1" customWidth="1"/>
    <col min="3351" max="3351" width="9.5703125" style="433" bestFit="1" customWidth="1"/>
    <col min="3352" max="3353" width="3.28515625" style="433" bestFit="1" customWidth="1"/>
    <col min="3354" max="3354" width="4.42578125" style="433" bestFit="1" customWidth="1"/>
    <col min="3355" max="3357" width="8.42578125" style="433" bestFit="1" customWidth="1"/>
    <col min="3358" max="3359" width="3.28515625" style="433" bestFit="1" customWidth="1"/>
    <col min="3360" max="3360" width="4.42578125" style="433" bestFit="1" customWidth="1"/>
    <col min="3361" max="3363" width="8.42578125" style="433" bestFit="1" customWidth="1"/>
    <col min="3364" max="3364" width="10.28515625" style="433" customWidth="1"/>
    <col min="3365" max="3365" width="9.42578125" style="433" customWidth="1"/>
    <col min="3366" max="3366" width="9.28515625" style="433" bestFit="1" customWidth="1"/>
    <col min="3367" max="3367" width="9.5703125" style="433" customWidth="1"/>
    <col min="3368" max="3368" width="8.140625" style="433" customWidth="1"/>
    <col min="3369" max="3369" width="6" style="433" customWidth="1"/>
    <col min="3370" max="3370" width="12.7109375" style="433" customWidth="1"/>
    <col min="3371" max="3371" width="12.85546875" style="433" customWidth="1"/>
    <col min="3372" max="3372" width="15.28515625" style="433" customWidth="1"/>
    <col min="3373" max="3373" width="5.7109375" style="433" bestFit="1" customWidth="1"/>
    <col min="3374" max="3374" width="6.140625" style="433" bestFit="1" customWidth="1"/>
    <col min="3375" max="3375" width="7.5703125" style="433" bestFit="1" customWidth="1"/>
    <col min="3376" max="3377" width="12.7109375" style="433" bestFit="1" customWidth="1"/>
    <col min="3378" max="3584" width="11.42578125" style="433"/>
    <col min="3585" max="3585" width="6.42578125" style="433" customWidth="1"/>
    <col min="3586" max="3586" width="11.140625" style="433" bestFit="1" customWidth="1"/>
    <col min="3587" max="3587" width="19.140625" style="433" bestFit="1" customWidth="1"/>
    <col min="3588" max="3588" width="22.42578125" style="433" customWidth="1"/>
    <col min="3589" max="3589" width="9" style="433" customWidth="1"/>
    <col min="3590" max="3590" width="12.5703125" style="433" customWidth="1"/>
    <col min="3591" max="3591" width="20.85546875" style="433" customWidth="1"/>
    <col min="3592" max="3592" width="18.140625" style="433" customWidth="1"/>
    <col min="3593" max="3593" width="12.140625" style="433" customWidth="1"/>
    <col min="3594" max="3594" width="12.5703125" style="433" customWidth="1"/>
    <col min="3595" max="3595" width="12.42578125" style="433" customWidth="1"/>
    <col min="3596" max="3597" width="3.28515625" style="433" bestFit="1" customWidth="1"/>
    <col min="3598" max="3598" width="4.42578125" style="433" bestFit="1" customWidth="1"/>
    <col min="3599" max="3601" width="8.42578125" style="433" bestFit="1" customWidth="1"/>
    <col min="3602" max="3603" width="3.28515625" style="433" bestFit="1" customWidth="1"/>
    <col min="3604" max="3604" width="4.42578125" style="433" bestFit="1" customWidth="1"/>
    <col min="3605" max="3606" width="8.42578125" style="433" bestFit="1" customWidth="1"/>
    <col min="3607" max="3607" width="9.5703125" style="433" bestFit="1" customWidth="1"/>
    <col min="3608" max="3609" width="3.28515625" style="433" bestFit="1" customWidth="1"/>
    <col min="3610" max="3610" width="4.42578125" style="433" bestFit="1" customWidth="1"/>
    <col min="3611" max="3613" width="8.42578125" style="433" bestFit="1" customWidth="1"/>
    <col min="3614" max="3615" width="3.28515625" style="433" bestFit="1" customWidth="1"/>
    <col min="3616" max="3616" width="4.42578125" style="433" bestFit="1" customWidth="1"/>
    <col min="3617" max="3619" width="8.42578125" style="433" bestFit="1" customWidth="1"/>
    <col min="3620" max="3620" width="10.28515625" style="433" customWidth="1"/>
    <col min="3621" max="3621" width="9.42578125" style="433" customWidth="1"/>
    <col min="3622" max="3622" width="9.28515625" style="433" bestFit="1" customWidth="1"/>
    <col min="3623" max="3623" width="9.5703125" style="433" customWidth="1"/>
    <col min="3624" max="3624" width="8.140625" style="433" customWidth="1"/>
    <col min="3625" max="3625" width="6" style="433" customWidth="1"/>
    <col min="3626" max="3626" width="12.7109375" style="433" customWidth="1"/>
    <col min="3627" max="3627" width="12.85546875" style="433" customWidth="1"/>
    <col min="3628" max="3628" width="15.28515625" style="433" customWidth="1"/>
    <col min="3629" max="3629" width="5.7109375" style="433" bestFit="1" customWidth="1"/>
    <col min="3630" max="3630" width="6.140625" style="433" bestFit="1" customWidth="1"/>
    <col min="3631" max="3631" width="7.5703125" style="433" bestFit="1" customWidth="1"/>
    <col min="3632" max="3633" width="12.7109375" style="433" bestFit="1" customWidth="1"/>
    <col min="3634" max="3840" width="11.42578125" style="433"/>
    <col min="3841" max="3841" width="6.42578125" style="433" customWidth="1"/>
    <col min="3842" max="3842" width="11.140625" style="433" bestFit="1" customWidth="1"/>
    <col min="3843" max="3843" width="19.140625" style="433" bestFit="1" customWidth="1"/>
    <col min="3844" max="3844" width="22.42578125" style="433" customWidth="1"/>
    <col min="3845" max="3845" width="9" style="433" customWidth="1"/>
    <col min="3846" max="3846" width="12.5703125" style="433" customWidth="1"/>
    <col min="3847" max="3847" width="20.85546875" style="433" customWidth="1"/>
    <col min="3848" max="3848" width="18.140625" style="433" customWidth="1"/>
    <col min="3849" max="3849" width="12.140625" style="433" customWidth="1"/>
    <col min="3850" max="3850" width="12.5703125" style="433" customWidth="1"/>
    <col min="3851" max="3851" width="12.42578125" style="433" customWidth="1"/>
    <col min="3852" max="3853" width="3.28515625" style="433" bestFit="1" customWidth="1"/>
    <col min="3854" max="3854" width="4.42578125" style="433" bestFit="1" customWidth="1"/>
    <col min="3855" max="3857" width="8.42578125" style="433" bestFit="1" customWidth="1"/>
    <col min="3858" max="3859" width="3.28515625" style="433" bestFit="1" customWidth="1"/>
    <col min="3860" max="3860" width="4.42578125" style="433" bestFit="1" customWidth="1"/>
    <col min="3861" max="3862" width="8.42578125" style="433" bestFit="1" customWidth="1"/>
    <col min="3863" max="3863" width="9.5703125" style="433" bestFit="1" customWidth="1"/>
    <col min="3864" max="3865" width="3.28515625" style="433" bestFit="1" customWidth="1"/>
    <col min="3866" max="3866" width="4.42578125" style="433" bestFit="1" customWidth="1"/>
    <col min="3867" max="3869" width="8.42578125" style="433" bestFit="1" customWidth="1"/>
    <col min="3870" max="3871" width="3.28515625" style="433" bestFit="1" customWidth="1"/>
    <col min="3872" max="3872" width="4.42578125" style="433" bestFit="1" customWidth="1"/>
    <col min="3873" max="3875" width="8.42578125" style="433" bestFit="1" customWidth="1"/>
    <col min="3876" max="3876" width="10.28515625" style="433" customWidth="1"/>
    <col min="3877" max="3877" width="9.42578125" style="433" customWidth="1"/>
    <col min="3878" max="3878" width="9.28515625" style="433" bestFit="1" customWidth="1"/>
    <col min="3879" max="3879" width="9.5703125" style="433" customWidth="1"/>
    <col min="3880" max="3880" width="8.140625" style="433" customWidth="1"/>
    <col min="3881" max="3881" width="6" style="433" customWidth="1"/>
    <col min="3882" max="3882" width="12.7109375" style="433" customWidth="1"/>
    <col min="3883" max="3883" width="12.85546875" style="433" customWidth="1"/>
    <col min="3884" max="3884" width="15.28515625" style="433" customWidth="1"/>
    <col min="3885" max="3885" width="5.7109375" style="433" bestFit="1" customWidth="1"/>
    <col min="3886" max="3886" width="6.140625" style="433" bestFit="1" customWidth="1"/>
    <col min="3887" max="3887" width="7.5703125" style="433" bestFit="1" customWidth="1"/>
    <col min="3888" max="3889" width="12.7109375" style="433" bestFit="1" customWidth="1"/>
    <col min="3890" max="4096" width="11.42578125" style="433"/>
    <col min="4097" max="4097" width="6.42578125" style="433" customWidth="1"/>
    <col min="4098" max="4098" width="11.140625" style="433" bestFit="1" customWidth="1"/>
    <col min="4099" max="4099" width="19.140625" style="433" bestFit="1" customWidth="1"/>
    <col min="4100" max="4100" width="22.42578125" style="433" customWidth="1"/>
    <col min="4101" max="4101" width="9" style="433" customWidth="1"/>
    <col min="4102" max="4102" width="12.5703125" style="433" customWidth="1"/>
    <col min="4103" max="4103" width="20.85546875" style="433" customWidth="1"/>
    <col min="4104" max="4104" width="18.140625" style="433" customWidth="1"/>
    <col min="4105" max="4105" width="12.140625" style="433" customWidth="1"/>
    <col min="4106" max="4106" width="12.5703125" style="433" customWidth="1"/>
    <col min="4107" max="4107" width="12.42578125" style="433" customWidth="1"/>
    <col min="4108" max="4109" width="3.28515625" style="433" bestFit="1" customWidth="1"/>
    <col min="4110" max="4110" width="4.42578125" style="433" bestFit="1" customWidth="1"/>
    <col min="4111" max="4113" width="8.42578125" style="433" bestFit="1" customWidth="1"/>
    <col min="4114" max="4115" width="3.28515625" style="433" bestFit="1" customWidth="1"/>
    <col min="4116" max="4116" width="4.42578125" style="433" bestFit="1" customWidth="1"/>
    <col min="4117" max="4118" width="8.42578125" style="433" bestFit="1" customWidth="1"/>
    <col min="4119" max="4119" width="9.5703125" style="433" bestFit="1" customWidth="1"/>
    <col min="4120" max="4121" width="3.28515625" style="433" bestFit="1" customWidth="1"/>
    <col min="4122" max="4122" width="4.42578125" style="433" bestFit="1" customWidth="1"/>
    <col min="4123" max="4125" width="8.42578125" style="433" bestFit="1" customWidth="1"/>
    <col min="4126" max="4127" width="3.28515625" style="433" bestFit="1" customWidth="1"/>
    <col min="4128" max="4128" width="4.42578125" style="433" bestFit="1" customWidth="1"/>
    <col min="4129" max="4131" width="8.42578125" style="433" bestFit="1" customWidth="1"/>
    <col min="4132" max="4132" width="10.28515625" style="433" customWidth="1"/>
    <col min="4133" max="4133" width="9.42578125" style="433" customWidth="1"/>
    <col min="4134" max="4134" width="9.28515625" style="433" bestFit="1" customWidth="1"/>
    <col min="4135" max="4135" width="9.5703125" style="433" customWidth="1"/>
    <col min="4136" max="4136" width="8.140625" style="433" customWidth="1"/>
    <col min="4137" max="4137" width="6" style="433" customWidth="1"/>
    <col min="4138" max="4138" width="12.7109375" style="433" customWidth="1"/>
    <col min="4139" max="4139" width="12.85546875" style="433" customWidth="1"/>
    <col min="4140" max="4140" width="15.28515625" style="433" customWidth="1"/>
    <col min="4141" max="4141" width="5.7109375" style="433" bestFit="1" customWidth="1"/>
    <col min="4142" max="4142" width="6.140625" style="433" bestFit="1" customWidth="1"/>
    <col min="4143" max="4143" width="7.5703125" style="433" bestFit="1" customWidth="1"/>
    <col min="4144" max="4145" width="12.7109375" style="433" bestFit="1" customWidth="1"/>
    <col min="4146" max="4352" width="11.42578125" style="433"/>
    <col min="4353" max="4353" width="6.42578125" style="433" customWidth="1"/>
    <col min="4354" max="4354" width="11.140625" style="433" bestFit="1" customWidth="1"/>
    <col min="4355" max="4355" width="19.140625" style="433" bestFit="1" customWidth="1"/>
    <col min="4356" max="4356" width="22.42578125" style="433" customWidth="1"/>
    <col min="4357" max="4357" width="9" style="433" customWidth="1"/>
    <col min="4358" max="4358" width="12.5703125" style="433" customWidth="1"/>
    <col min="4359" max="4359" width="20.85546875" style="433" customWidth="1"/>
    <col min="4360" max="4360" width="18.140625" style="433" customWidth="1"/>
    <col min="4361" max="4361" width="12.140625" style="433" customWidth="1"/>
    <col min="4362" max="4362" width="12.5703125" style="433" customWidth="1"/>
    <col min="4363" max="4363" width="12.42578125" style="433" customWidth="1"/>
    <col min="4364" max="4365" width="3.28515625" style="433" bestFit="1" customWidth="1"/>
    <col min="4366" max="4366" width="4.42578125" style="433" bestFit="1" customWidth="1"/>
    <col min="4367" max="4369" width="8.42578125" style="433" bestFit="1" customWidth="1"/>
    <col min="4370" max="4371" width="3.28515625" style="433" bestFit="1" customWidth="1"/>
    <col min="4372" max="4372" width="4.42578125" style="433" bestFit="1" customWidth="1"/>
    <col min="4373" max="4374" width="8.42578125" style="433" bestFit="1" customWidth="1"/>
    <col min="4375" max="4375" width="9.5703125" style="433" bestFit="1" customWidth="1"/>
    <col min="4376" max="4377" width="3.28515625" style="433" bestFit="1" customWidth="1"/>
    <col min="4378" max="4378" width="4.42578125" style="433" bestFit="1" customWidth="1"/>
    <col min="4379" max="4381" width="8.42578125" style="433" bestFit="1" customWidth="1"/>
    <col min="4382" max="4383" width="3.28515625" style="433" bestFit="1" customWidth="1"/>
    <col min="4384" max="4384" width="4.42578125" style="433" bestFit="1" customWidth="1"/>
    <col min="4385" max="4387" width="8.42578125" style="433" bestFit="1" customWidth="1"/>
    <col min="4388" max="4388" width="10.28515625" style="433" customWidth="1"/>
    <col min="4389" max="4389" width="9.42578125" style="433" customWidth="1"/>
    <col min="4390" max="4390" width="9.28515625" style="433" bestFit="1" customWidth="1"/>
    <col min="4391" max="4391" width="9.5703125" style="433" customWidth="1"/>
    <col min="4392" max="4392" width="8.140625" style="433" customWidth="1"/>
    <col min="4393" max="4393" width="6" style="433" customWidth="1"/>
    <col min="4394" max="4394" width="12.7109375" style="433" customWidth="1"/>
    <col min="4395" max="4395" width="12.85546875" style="433" customWidth="1"/>
    <col min="4396" max="4396" width="15.28515625" style="433" customWidth="1"/>
    <col min="4397" max="4397" width="5.7109375" style="433" bestFit="1" customWidth="1"/>
    <col min="4398" max="4398" width="6.140625" style="433" bestFit="1" customWidth="1"/>
    <col min="4399" max="4399" width="7.5703125" style="433" bestFit="1" customWidth="1"/>
    <col min="4400" max="4401" width="12.7109375" style="433" bestFit="1" customWidth="1"/>
    <col min="4402" max="4608" width="11.42578125" style="433"/>
    <col min="4609" max="4609" width="6.42578125" style="433" customWidth="1"/>
    <col min="4610" max="4610" width="11.140625" style="433" bestFit="1" customWidth="1"/>
    <col min="4611" max="4611" width="19.140625" style="433" bestFit="1" customWidth="1"/>
    <col min="4612" max="4612" width="22.42578125" style="433" customWidth="1"/>
    <col min="4613" max="4613" width="9" style="433" customWidth="1"/>
    <col min="4614" max="4614" width="12.5703125" style="433" customWidth="1"/>
    <col min="4615" max="4615" width="20.85546875" style="433" customWidth="1"/>
    <col min="4616" max="4616" width="18.140625" style="433" customWidth="1"/>
    <col min="4617" max="4617" width="12.140625" style="433" customWidth="1"/>
    <col min="4618" max="4618" width="12.5703125" style="433" customWidth="1"/>
    <col min="4619" max="4619" width="12.42578125" style="433" customWidth="1"/>
    <col min="4620" max="4621" width="3.28515625" style="433" bestFit="1" customWidth="1"/>
    <col min="4622" max="4622" width="4.42578125" style="433" bestFit="1" customWidth="1"/>
    <col min="4623" max="4625" width="8.42578125" style="433" bestFit="1" customWidth="1"/>
    <col min="4626" max="4627" width="3.28515625" style="433" bestFit="1" customWidth="1"/>
    <col min="4628" max="4628" width="4.42578125" style="433" bestFit="1" customWidth="1"/>
    <col min="4629" max="4630" width="8.42578125" style="433" bestFit="1" customWidth="1"/>
    <col min="4631" max="4631" width="9.5703125" style="433" bestFit="1" customWidth="1"/>
    <col min="4632" max="4633" width="3.28515625" style="433" bestFit="1" customWidth="1"/>
    <col min="4634" max="4634" width="4.42578125" style="433" bestFit="1" customWidth="1"/>
    <col min="4635" max="4637" width="8.42578125" style="433" bestFit="1" customWidth="1"/>
    <col min="4638" max="4639" width="3.28515625" style="433" bestFit="1" customWidth="1"/>
    <col min="4640" max="4640" width="4.42578125" style="433" bestFit="1" customWidth="1"/>
    <col min="4641" max="4643" width="8.42578125" style="433" bestFit="1" customWidth="1"/>
    <col min="4644" max="4644" width="10.28515625" style="433" customWidth="1"/>
    <col min="4645" max="4645" width="9.42578125" style="433" customWidth="1"/>
    <col min="4646" max="4646" width="9.28515625" style="433" bestFit="1" customWidth="1"/>
    <col min="4647" max="4647" width="9.5703125" style="433" customWidth="1"/>
    <col min="4648" max="4648" width="8.140625" style="433" customWidth="1"/>
    <col min="4649" max="4649" width="6" style="433" customWidth="1"/>
    <col min="4650" max="4650" width="12.7109375" style="433" customWidth="1"/>
    <col min="4651" max="4651" width="12.85546875" style="433" customWidth="1"/>
    <col min="4652" max="4652" width="15.28515625" style="433" customWidth="1"/>
    <col min="4653" max="4653" width="5.7109375" style="433" bestFit="1" customWidth="1"/>
    <col min="4654" max="4654" width="6.140625" style="433" bestFit="1" customWidth="1"/>
    <col min="4655" max="4655" width="7.5703125" style="433" bestFit="1" customWidth="1"/>
    <col min="4656" max="4657" width="12.7109375" style="433" bestFit="1" customWidth="1"/>
    <col min="4658" max="4864" width="11.42578125" style="433"/>
    <col min="4865" max="4865" width="6.42578125" style="433" customWidth="1"/>
    <col min="4866" max="4866" width="11.140625" style="433" bestFit="1" customWidth="1"/>
    <col min="4867" max="4867" width="19.140625" style="433" bestFit="1" customWidth="1"/>
    <col min="4868" max="4868" width="22.42578125" style="433" customWidth="1"/>
    <col min="4869" max="4869" width="9" style="433" customWidth="1"/>
    <col min="4870" max="4870" width="12.5703125" style="433" customWidth="1"/>
    <col min="4871" max="4871" width="20.85546875" style="433" customWidth="1"/>
    <col min="4872" max="4872" width="18.140625" style="433" customWidth="1"/>
    <col min="4873" max="4873" width="12.140625" style="433" customWidth="1"/>
    <col min="4874" max="4874" width="12.5703125" style="433" customWidth="1"/>
    <col min="4875" max="4875" width="12.42578125" style="433" customWidth="1"/>
    <col min="4876" max="4877" width="3.28515625" style="433" bestFit="1" customWidth="1"/>
    <col min="4878" max="4878" width="4.42578125" style="433" bestFit="1" customWidth="1"/>
    <col min="4879" max="4881" width="8.42578125" style="433" bestFit="1" customWidth="1"/>
    <col min="4882" max="4883" width="3.28515625" style="433" bestFit="1" customWidth="1"/>
    <col min="4884" max="4884" width="4.42578125" style="433" bestFit="1" customWidth="1"/>
    <col min="4885" max="4886" width="8.42578125" style="433" bestFit="1" customWidth="1"/>
    <col min="4887" max="4887" width="9.5703125" style="433" bestFit="1" customWidth="1"/>
    <col min="4888" max="4889" width="3.28515625" style="433" bestFit="1" customWidth="1"/>
    <col min="4890" max="4890" width="4.42578125" style="433" bestFit="1" customWidth="1"/>
    <col min="4891" max="4893" width="8.42578125" style="433" bestFit="1" customWidth="1"/>
    <col min="4894" max="4895" width="3.28515625" style="433" bestFit="1" customWidth="1"/>
    <col min="4896" max="4896" width="4.42578125" style="433" bestFit="1" customWidth="1"/>
    <col min="4897" max="4899" width="8.42578125" style="433" bestFit="1" customWidth="1"/>
    <col min="4900" max="4900" width="10.28515625" style="433" customWidth="1"/>
    <col min="4901" max="4901" width="9.42578125" style="433" customWidth="1"/>
    <col min="4902" max="4902" width="9.28515625" style="433" bestFit="1" customWidth="1"/>
    <col min="4903" max="4903" width="9.5703125" style="433" customWidth="1"/>
    <col min="4904" max="4904" width="8.140625" style="433" customWidth="1"/>
    <col min="4905" max="4905" width="6" style="433" customWidth="1"/>
    <col min="4906" max="4906" width="12.7109375" style="433" customWidth="1"/>
    <col min="4907" max="4907" width="12.85546875" style="433" customWidth="1"/>
    <col min="4908" max="4908" width="15.28515625" style="433" customWidth="1"/>
    <col min="4909" max="4909" width="5.7109375" style="433" bestFit="1" customWidth="1"/>
    <col min="4910" max="4910" width="6.140625" style="433" bestFit="1" customWidth="1"/>
    <col min="4911" max="4911" width="7.5703125" style="433" bestFit="1" customWidth="1"/>
    <col min="4912" max="4913" width="12.7109375" style="433" bestFit="1" customWidth="1"/>
    <col min="4914" max="5120" width="11.42578125" style="433"/>
    <col min="5121" max="5121" width="6.42578125" style="433" customWidth="1"/>
    <col min="5122" max="5122" width="11.140625" style="433" bestFit="1" customWidth="1"/>
    <col min="5123" max="5123" width="19.140625" style="433" bestFit="1" customWidth="1"/>
    <col min="5124" max="5124" width="22.42578125" style="433" customWidth="1"/>
    <col min="5125" max="5125" width="9" style="433" customWidth="1"/>
    <col min="5126" max="5126" width="12.5703125" style="433" customWidth="1"/>
    <col min="5127" max="5127" width="20.85546875" style="433" customWidth="1"/>
    <col min="5128" max="5128" width="18.140625" style="433" customWidth="1"/>
    <col min="5129" max="5129" width="12.140625" style="433" customWidth="1"/>
    <col min="5130" max="5130" width="12.5703125" style="433" customWidth="1"/>
    <col min="5131" max="5131" width="12.42578125" style="433" customWidth="1"/>
    <col min="5132" max="5133" width="3.28515625" style="433" bestFit="1" customWidth="1"/>
    <col min="5134" max="5134" width="4.42578125" style="433" bestFit="1" customWidth="1"/>
    <col min="5135" max="5137" width="8.42578125" style="433" bestFit="1" customWidth="1"/>
    <col min="5138" max="5139" width="3.28515625" style="433" bestFit="1" customWidth="1"/>
    <col min="5140" max="5140" width="4.42578125" style="433" bestFit="1" customWidth="1"/>
    <col min="5141" max="5142" width="8.42578125" style="433" bestFit="1" customWidth="1"/>
    <col min="5143" max="5143" width="9.5703125" style="433" bestFit="1" customWidth="1"/>
    <col min="5144" max="5145" width="3.28515625" style="433" bestFit="1" customWidth="1"/>
    <col min="5146" max="5146" width="4.42578125" style="433" bestFit="1" customWidth="1"/>
    <col min="5147" max="5149" width="8.42578125" style="433" bestFit="1" customWidth="1"/>
    <col min="5150" max="5151" width="3.28515625" style="433" bestFit="1" customWidth="1"/>
    <col min="5152" max="5152" width="4.42578125" style="433" bestFit="1" customWidth="1"/>
    <col min="5153" max="5155" width="8.42578125" style="433" bestFit="1" customWidth="1"/>
    <col min="5156" max="5156" width="10.28515625" style="433" customWidth="1"/>
    <col min="5157" max="5157" width="9.42578125" style="433" customWidth="1"/>
    <col min="5158" max="5158" width="9.28515625" style="433" bestFit="1" customWidth="1"/>
    <col min="5159" max="5159" width="9.5703125" style="433" customWidth="1"/>
    <col min="5160" max="5160" width="8.140625" style="433" customWidth="1"/>
    <col min="5161" max="5161" width="6" style="433" customWidth="1"/>
    <col min="5162" max="5162" width="12.7109375" style="433" customWidth="1"/>
    <col min="5163" max="5163" width="12.85546875" style="433" customWidth="1"/>
    <col min="5164" max="5164" width="15.28515625" style="433" customWidth="1"/>
    <col min="5165" max="5165" width="5.7109375" style="433" bestFit="1" customWidth="1"/>
    <col min="5166" max="5166" width="6.140625" style="433" bestFit="1" customWidth="1"/>
    <col min="5167" max="5167" width="7.5703125" style="433" bestFit="1" customWidth="1"/>
    <col min="5168" max="5169" width="12.7109375" style="433" bestFit="1" customWidth="1"/>
    <col min="5170" max="5376" width="11.42578125" style="433"/>
    <col min="5377" max="5377" width="6.42578125" style="433" customWidth="1"/>
    <col min="5378" max="5378" width="11.140625" style="433" bestFit="1" customWidth="1"/>
    <col min="5379" max="5379" width="19.140625" style="433" bestFit="1" customWidth="1"/>
    <col min="5380" max="5380" width="22.42578125" style="433" customWidth="1"/>
    <col min="5381" max="5381" width="9" style="433" customWidth="1"/>
    <col min="5382" max="5382" width="12.5703125" style="433" customWidth="1"/>
    <col min="5383" max="5383" width="20.85546875" style="433" customWidth="1"/>
    <col min="5384" max="5384" width="18.140625" style="433" customWidth="1"/>
    <col min="5385" max="5385" width="12.140625" style="433" customWidth="1"/>
    <col min="5386" max="5386" width="12.5703125" style="433" customWidth="1"/>
    <col min="5387" max="5387" width="12.42578125" style="433" customWidth="1"/>
    <col min="5388" max="5389" width="3.28515625" style="433" bestFit="1" customWidth="1"/>
    <col min="5390" max="5390" width="4.42578125" style="433" bestFit="1" customWidth="1"/>
    <col min="5391" max="5393" width="8.42578125" style="433" bestFit="1" customWidth="1"/>
    <col min="5394" max="5395" width="3.28515625" style="433" bestFit="1" customWidth="1"/>
    <col min="5396" max="5396" width="4.42578125" style="433" bestFit="1" customWidth="1"/>
    <col min="5397" max="5398" width="8.42578125" style="433" bestFit="1" customWidth="1"/>
    <col min="5399" max="5399" width="9.5703125" style="433" bestFit="1" customWidth="1"/>
    <col min="5400" max="5401" width="3.28515625" style="433" bestFit="1" customWidth="1"/>
    <col min="5402" max="5402" width="4.42578125" style="433" bestFit="1" customWidth="1"/>
    <col min="5403" max="5405" width="8.42578125" style="433" bestFit="1" customWidth="1"/>
    <col min="5406" max="5407" width="3.28515625" style="433" bestFit="1" customWidth="1"/>
    <col min="5408" max="5408" width="4.42578125" style="433" bestFit="1" customWidth="1"/>
    <col min="5409" max="5411" width="8.42578125" style="433" bestFit="1" customWidth="1"/>
    <col min="5412" max="5412" width="10.28515625" style="433" customWidth="1"/>
    <col min="5413" max="5413" width="9.42578125" style="433" customWidth="1"/>
    <col min="5414" max="5414" width="9.28515625" style="433" bestFit="1" customWidth="1"/>
    <col min="5415" max="5415" width="9.5703125" style="433" customWidth="1"/>
    <col min="5416" max="5416" width="8.140625" style="433" customWidth="1"/>
    <col min="5417" max="5417" width="6" style="433" customWidth="1"/>
    <col min="5418" max="5418" width="12.7109375" style="433" customWidth="1"/>
    <col min="5419" max="5419" width="12.85546875" style="433" customWidth="1"/>
    <col min="5420" max="5420" width="15.28515625" style="433" customWidth="1"/>
    <col min="5421" max="5421" width="5.7109375" style="433" bestFit="1" customWidth="1"/>
    <col min="5422" max="5422" width="6.140625" style="433" bestFit="1" customWidth="1"/>
    <col min="5423" max="5423" width="7.5703125" style="433" bestFit="1" customWidth="1"/>
    <col min="5424" max="5425" width="12.7109375" style="433" bestFit="1" customWidth="1"/>
    <col min="5426" max="5632" width="11.42578125" style="433"/>
    <col min="5633" max="5633" width="6.42578125" style="433" customWidth="1"/>
    <col min="5634" max="5634" width="11.140625" style="433" bestFit="1" customWidth="1"/>
    <col min="5635" max="5635" width="19.140625" style="433" bestFit="1" customWidth="1"/>
    <col min="5636" max="5636" width="22.42578125" style="433" customWidth="1"/>
    <col min="5637" max="5637" width="9" style="433" customWidth="1"/>
    <col min="5638" max="5638" width="12.5703125" style="433" customWidth="1"/>
    <col min="5639" max="5639" width="20.85546875" style="433" customWidth="1"/>
    <col min="5640" max="5640" width="18.140625" style="433" customWidth="1"/>
    <col min="5641" max="5641" width="12.140625" style="433" customWidth="1"/>
    <col min="5642" max="5642" width="12.5703125" style="433" customWidth="1"/>
    <col min="5643" max="5643" width="12.42578125" style="433" customWidth="1"/>
    <col min="5644" max="5645" width="3.28515625" style="433" bestFit="1" customWidth="1"/>
    <col min="5646" max="5646" width="4.42578125" style="433" bestFit="1" customWidth="1"/>
    <col min="5647" max="5649" width="8.42578125" style="433" bestFit="1" customWidth="1"/>
    <col min="5650" max="5651" width="3.28515625" style="433" bestFit="1" customWidth="1"/>
    <col min="5652" max="5652" width="4.42578125" style="433" bestFit="1" customWidth="1"/>
    <col min="5653" max="5654" width="8.42578125" style="433" bestFit="1" customWidth="1"/>
    <col min="5655" max="5655" width="9.5703125" style="433" bestFit="1" customWidth="1"/>
    <col min="5656" max="5657" width="3.28515625" style="433" bestFit="1" customWidth="1"/>
    <col min="5658" max="5658" width="4.42578125" style="433" bestFit="1" customWidth="1"/>
    <col min="5659" max="5661" width="8.42578125" style="433" bestFit="1" customWidth="1"/>
    <col min="5662" max="5663" width="3.28515625" style="433" bestFit="1" customWidth="1"/>
    <col min="5664" max="5664" width="4.42578125" style="433" bestFit="1" customWidth="1"/>
    <col min="5665" max="5667" width="8.42578125" style="433" bestFit="1" customWidth="1"/>
    <col min="5668" max="5668" width="10.28515625" style="433" customWidth="1"/>
    <col min="5669" max="5669" width="9.42578125" style="433" customWidth="1"/>
    <col min="5670" max="5670" width="9.28515625" style="433" bestFit="1" customWidth="1"/>
    <col min="5671" max="5671" width="9.5703125" style="433" customWidth="1"/>
    <col min="5672" max="5672" width="8.140625" style="433" customWidth="1"/>
    <col min="5673" max="5673" width="6" style="433" customWidth="1"/>
    <col min="5674" max="5674" width="12.7109375" style="433" customWidth="1"/>
    <col min="5675" max="5675" width="12.85546875" style="433" customWidth="1"/>
    <col min="5676" max="5676" width="15.28515625" style="433" customWidth="1"/>
    <col min="5677" max="5677" width="5.7109375" style="433" bestFit="1" customWidth="1"/>
    <col min="5678" max="5678" width="6.140625" style="433" bestFit="1" customWidth="1"/>
    <col min="5679" max="5679" width="7.5703125" style="433" bestFit="1" customWidth="1"/>
    <col min="5680" max="5681" width="12.7109375" style="433" bestFit="1" customWidth="1"/>
    <col min="5682" max="5888" width="11.42578125" style="433"/>
    <col min="5889" max="5889" width="6.42578125" style="433" customWidth="1"/>
    <col min="5890" max="5890" width="11.140625" style="433" bestFit="1" customWidth="1"/>
    <col min="5891" max="5891" width="19.140625" style="433" bestFit="1" customWidth="1"/>
    <col min="5892" max="5892" width="22.42578125" style="433" customWidth="1"/>
    <col min="5893" max="5893" width="9" style="433" customWidth="1"/>
    <col min="5894" max="5894" width="12.5703125" style="433" customWidth="1"/>
    <col min="5895" max="5895" width="20.85546875" style="433" customWidth="1"/>
    <col min="5896" max="5896" width="18.140625" style="433" customWidth="1"/>
    <col min="5897" max="5897" width="12.140625" style="433" customWidth="1"/>
    <col min="5898" max="5898" width="12.5703125" style="433" customWidth="1"/>
    <col min="5899" max="5899" width="12.42578125" style="433" customWidth="1"/>
    <col min="5900" max="5901" width="3.28515625" style="433" bestFit="1" customWidth="1"/>
    <col min="5902" max="5902" width="4.42578125" style="433" bestFit="1" customWidth="1"/>
    <col min="5903" max="5905" width="8.42578125" style="433" bestFit="1" customWidth="1"/>
    <col min="5906" max="5907" width="3.28515625" style="433" bestFit="1" customWidth="1"/>
    <col min="5908" max="5908" width="4.42578125" style="433" bestFit="1" customWidth="1"/>
    <col min="5909" max="5910" width="8.42578125" style="433" bestFit="1" customWidth="1"/>
    <col min="5911" max="5911" width="9.5703125" style="433" bestFit="1" customWidth="1"/>
    <col min="5912" max="5913" width="3.28515625" style="433" bestFit="1" customWidth="1"/>
    <col min="5914" max="5914" width="4.42578125" style="433" bestFit="1" customWidth="1"/>
    <col min="5915" max="5917" width="8.42578125" style="433" bestFit="1" customWidth="1"/>
    <col min="5918" max="5919" width="3.28515625" style="433" bestFit="1" customWidth="1"/>
    <col min="5920" max="5920" width="4.42578125" style="433" bestFit="1" customWidth="1"/>
    <col min="5921" max="5923" width="8.42578125" style="433" bestFit="1" customWidth="1"/>
    <col min="5924" max="5924" width="10.28515625" style="433" customWidth="1"/>
    <col min="5925" max="5925" width="9.42578125" style="433" customWidth="1"/>
    <col min="5926" max="5926" width="9.28515625" style="433" bestFit="1" customWidth="1"/>
    <col min="5927" max="5927" width="9.5703125" style="433" customWidth="1"/>
    <col min="5928" max="5928" width="8.140625" style="433" customWidth="1"/>
    <col min="5929" max="5929" width="6" style="433" customWidth="1"/>
    <col min="5930" max="5930" width="12.7109375" style="433" customWidth="1"/>
    <col min="5931" max="5931" width="12.85546875" style="433" customWidth="1"/>
    <col min="5932" max="5932" width="15.28515625" style="433" customWidth="1"/>
    <col min="5933" max="5933" width="5.7109375" style="433" bestFit="1" customWidth="1"/>
    <col min="5934" max="5934" width="6.140625" style="433" bestFit="1" customWidth="1"/>
    <col min="5935" max="5935" width="7.5703125" style="433" bestFit="1" customWidth="1"/>
    <col min="5936" max="5937" width="12.7109375" style="433" bestFit="1" customWidth="1"/>
    <col min="5938" max="6144" width="11.42578125" style="433"/>
    <col min="6145" max="6145" width="6.42578125" style="433" customWidth="1"/>
    <col min="6146" max="6146" width="11.140625" style="433" bestFit="1" customWidth="1"/>
    <col min="6147" max="6147" width="19.140625" style="433" bestFit="1" customWidth="1"/>
    <col min="6148" max="6148" width="22.42578125" style="433" customWidth="1"/>
    <col min="6149" max="6149" width="9" style="433" customWidth="1"/>
    <col min="6150" max="6150" width="12.5703125" style="433" customWidth="1"/>
    <col min="6151" max="6151" width="20.85546875" style="433" customWidth="1"/>
    <col min="6152" max="6152" width="18.140625" style="433" customWidth="1"/>
    <col min="6153" max="6153" width="12.140625" style="433" customWidth="1"/>
    <col min="6154" max="6154" width="12.5703125" style="433" customWidth="1"/>
    <col min="6155" max="6155" width="12.42578125" style="433" customWidth="1"/>
    <col min="6156" max="6157" width="3.28515625" style="433" bestFit="1" customWidth="1"/>
    <col min="6158" max="6158" width="4.42578125" style="433" bestFit="1" customWidth="1"/>
    <col min="6159" max="6161" width="8.42578125" style="433" bestFit="1" customWidth="1"/>
    <col min="6162" max="6163" width="3.28515625" style="433" bestFit="1" customWidth="1"/>
    <col min="6164" max="6164" width="4.42578125" style="433" bestFit="1" customWidth="1"/>
    <col min="6165" max="6166" width="8.42578125" style="433" bestFit="1" customWidth="1"/>
    <col min="6167" max="6167" width="9.5703125" style="433" bestFit="1" customWidth="1"/>
    <col min="6168" max="6169" width="3.28515625" style="433" bestFit="1" customWidth="1"/>
    <col min="6170" max="6170" width="4.42578125" style="433" bestFit="1" customWidth="1"/>
    <col min="6171" max="6173" width="8.42578125" style="433" bestFit="1" customWidth="1"/>
    <col min="6174" max="6175" width="3.28515625" style="433" bestFit="1" customWidth="1"/>
    <col min="6176" max="6176" width="4.42578125" style="433" bestFit="1" customWidth="1"/>
    <col min="6177" max="6179" width="8.42578125" style="433" bestFit="1" customWidth="1"/>
    <col min="6180" max="6180" width="10.28515625" style="433" customWidth="1"/>
    <col min="6181" max="6181" width="9.42578125" style="433" customWidth="1"/>
    <col min="6182" max="6182" width="9.28515625" style="433" bestFit="1" customWidth="1"/>
    <col min="6183" max="6183" width="9.5703125" style="433" customWidth="1"/>
    <col min="6184" max="6184" width="8.140625" style="433" customWidth="1"/>
    <col min="6185" max="6185" width="6" style="433" customWidth="1"/>
    <col min="6186" max="6186" width="12.7109375" style="433" customWidth="1"/>
    <col min="6187" max="6187" width="12.85546875" style="433" customWidth="1"/>
    <col min="6188" max="6188" width="15.28515625" style="433" customWidth="1"/>
    <col min="6189" max="6189" width="5.7109375" style="433" bestFit="1" customWidth="1"/>
    <col min="6190" max="6190" width="6.140625" style="433" bestFit="1" customWidth="1"/>
    <col min="6191" max="6191" width="7.5703125" style="433" bestFit="1" customWidth="1"/>
    <col min="6192" max="6193" width="12.7109375" style="433" bestFit="1" customWidth="1"/>
    <col min="6194" max="6400" width="11.42578125" style="433"/>
    <col min="6401" max="6401" width="6.42578125" style="433" customWidth="1"/>
    <col min="6402" max="6402" width="11.140625" style="433" bestFit="1" customWidth="1"/>
    <col min="6403" max="6403" width="19.140625" style="433" bestFit="1" customWidth="1"/>
    <col min="6404" max="6404" width="22.42578125" style="433" customWidth="1"/>
    <col min="6405" max="6405" width="9" style="433" customWidth="1"/>
    <col min="6406" max="6406" width="12.5703125" style="433" customWidth="1"/>
    <col min="6407" max="6407" width="20.85546875" style="433" customWidth="1"/>
    <col min="6408" max="6408" width="18.140625" style="433" customWidth="1"/>
    <col min="6409" max="6409" width="12.140625" style="433" customWidth="1"/>
    <col min="6410" max="6410" width="12.5703125" style="433" customWidth="1"/>
    <col min="6411" max="6411" width="12.42578125" style="433" customWidth="1"/>
    <col min="6412" max="6413" width="3.28515625" style="433" bestFit="1" customWidth="1"/>
    <col min="6414" max="6414" width="4.42578125" style="433" bestFit="1" customWidth="1"/>
    <col min="6415" max="6417" width="8.42578125" style="433" bestFit="1" customWidth="1"/>
    <col min="6418" max="6419" width="3.28515625" style="433" bestFit="1" customWidth="1"/>
    <col min="6420" max="6420" width="4.42578125" style="433" bestFit="1" customWidth="1"/>
    <col min="6421" max="6422" width="8.42578125" style="433" bestFit="1" customWidth="1"/>
    <col min="6423" max="6423" width="9.5703125" style="433" bestFit="1" customWidth="1"/>
    <col min="6424" max="6425" width="3.28515625" style="433" bestFit="1" customWidth="1"/>
    <col min="6426" max="6426" width="4.42578125" style="433" bestFit="1" customWidth="1"/>
    <col min="6427" max="6429" width="8.42578125" style="433" bestFit="1" customWidth="1"/>
    <col min="6430" max="6431" width="3.28515625" style="433" bestFit="1" customWidth="1"/>
    <col min="6432" max="6432" width="4.42578125" style="433" bestFit="1" customWidth="1"/>
    <col min="6433" max="6435" width="8.42578125" style="433" bestFit="1" customWidth="1"/>
    <col min="6436" max="6436" width="10.28515625" style="433" customWidth="1"/>
    <col min="6437" max="6437" width="9.42578125" style="433" customWidth="1"/>
    <col min="6438" max="6438" width="9.28515625" style="433" bestFit="1" customWidth="1"/>
    <col min="6439" max="6439" width="9.5703125" style="433" customWidth="1"/>
    <col min="6440" max="6440" width="8.140625" style="433" customWidth="1"/>
    <col min="6441" max="6441" width="6" style="433" customWidth="1"/>
    <col min="6442" max="6442" width="12.7109375" style="433" customWidth="1"/>
    <col min="6443" max="6443" width="12.85546875" style="433" customWidth="1"/>
    <col min="6444" max="6444" width="15.28515625" style="433" customWidth="1"/>
    <col min="6445" max="6445" width="5.7109375" style="433" bestFit="1" customWidth="1"/>
    <col min="6446" max="6446" width="6.140625" style="433" bestFit="1" customWidth="1"/>
    <col min="6447" max="6447" width="7.5703125" style="433" bestFit="1" customWidth="1"/>
    <col min="6448" max="6449" width="12.7109375" style="433" bestFit="1" customWidth="1"/>
    <col min="6450" max="6656" width="11.42578125" style="433"/>
    <col min="6657" max="6657" width="6.42578125" style="433" customWidth="1"/>
    <col min="6658" max="6658" width="11.140625" style="433" bestFit="1" customWidth="1"/>
    <col min="6659" max="6659" width="19.140625" style="433" bestFit="1" customWidth="1"/>
    <col min="6660" max="6660" width="22.42578125" style="433" customWidth="1"/>
    <col min="6661" max="6661" width="9" style="433" customWidth="1"/>
    <col min="6662" max="6662" width="12.5703125" style="433" customWidth="1"/>
    <col min="6663" max="6663" width="20.85546875" style="433" customWidth="1"/>
    <col min="6664" max="6664" width="18.140625" style="433" customWidth="1"/>
    <col min="6665" max="6665" width="12.140625" style="433" customWidth="1"/>
    <col min="6666" max="6666" width="12.5703125" style="433" customWidth="1"/>
    <col min="6667" max="6667" width="12.42578125" style="433" customWidth="1"/>
    <col min="6668" max="6669" width="3.28515625" style="433" bestFit="1" customWidth="1"/>
    <col min="6670" max="6670" width="4.42578125" style="433" bestFit="1" customWidth="1"/>
    <col min="6671" max="6673" width="8.42578125" style="433" bestFit="1" customWidth="1"/>
    <col min="6674" max="6675" width="3.28515625" style="433" bestFit="1" customWidth="1"/>
    <col min="6676" max="6676" width="4.42578125" style="433" bestFit="1" customWidth="1"/>
    <col min="6677" max="6678" width="8.42578125" style="433" bestFit="1" customWidth="1"/>
    <col min="6679" max="6679" width="9.5703125" style="433" bestFit="1" customWidth="1"/>
    <col min="6680" max="6681" width="3.28515625" style="433" bestFit="1" customWidth="1"/>
    <col min="6682" max="6682" width="4.42578125" style="433" bestFit="1" customWidth="1"/>
    <col min="6683" max="6685" width="8.42578125" style="433" bestFit="1" customWidth="1"/>
    <col min="6686" max="6687" width="3.28515625" style="433" bestFit="1" customWidth="1"/>
    <col min="6688" max="6688" width="4.42578125" style="433" bestFit="1" customWidth="1"/>
    <col min="6689" max="6691" width="8.42578125" style="433" bestFit="1" customWidth="1"/>
    <col min="6692" max="6692" width="10.28515625" style="433" customWidth="1"/>
    <col min="6693" max="6693" width="9.42578125" style="433" customWidth="1"/>
    <col min="6694" max="6694" width="9.28515625" style="433" bestFit="1" customWidth="1"/>
    <col min="6695" max="6695" width="9.5703125" style="433" customWidth="1"/>
    <col min="6696" max="6696" width="8.140625" style="433" customWidth="1"/>
    <col min="6697" max="6697" width="6" style="433" customWidth="1"/>
    <col min="6698" max="6698" width="12.7109375" style="433" customWidth="1"/>
    <col min="6699" max="6699" width="12.85546875" style="433" customWidth="1"/>
    <col min="6700" max="6700" width="15.28515625" style="433" customWidth="1"/>
    <col min="6701" max="6701" width="5.7109375" style="433" bestFit="1" customWidth="1"/>
    <col min="6702" max="6702" width="6.140625" style="433" bestFit="1" customWidth="1"/>
    <col min="6703" max="6703" width="7.5703125" style="433" bestFit="1" customWidth="1"/>
    <col min="6704" max="6705" width="12.7109375" style="433" bestFit="1" customWidth="1"/>
    <col min="6706" max="6912" width="11.42578125" style="433"/>
    <col min="6913" max="6913" width="6.42578125" style="433" customWidth="1"/>
    <col min="6914" max="6914" width="11.140625" style="433" bestFit="1" customWidth="1"/>
    <col min="6915" max="6915" width="19.140625" style="433" bestFit="1" customWidth="1"/>
    <col min="6916" max="6916" width="22.42578125" style="433" customWidth="1"/>
    <col min="6917" max="6917" width="9" style="433" customWidth="1"/>
    <col min="6918" max="6918" width="12.5703125" style="433" customWidth="1"/>
    <col min="6919" max="6919" width="20.85546875" style="433" customWidth="1"/>
    <col min="6920" max="6920" width="18.140625" style="433" customWidth="1"/>
    <col min="6921" max="6921" width="12.140625" style="433" customWidth="1"/>
    <col min="6922" max="6922" width="12.5703125" style="433" customWidth="1"/>
    <col min="6923" max="6923" width="12.42578125" style="433" customWidth="1"/>
    <col min="6924" max="6925" width="3.28515625" style="433" bestFit="1" customWidth="1"/>
    <col min="6926" max="6926" width="4.42578125" style="433" bestFit="1" customWidth="1"/>
    <col min="6927" max="6929" width="8.42578125" style="433" bestFit="1" customWidth="1"/>
    <col min="6930" max="6931" width="3.28515625" style="433" bestFit="1" customWidth="1"/>
    <col min="6932" max="6932" width="4.42578125" style="433" bestFit="1" customWidth="1"/>
    <col min="6933" max="6934" width="8.42578125" style="433" bestFit="1" customWidth="1"/>
    <col min="6935" max="6935" width="9.5703125" style="433" bestFit="1" customWidth="1"/>
    <col min="6936" max="6937" width="3.28515625" style="433" bestFit="1" customWidth="1"/>
    <col min="6938" max="6938" width="4.42578125" style="433" bestFit="1" customWidth="1"/>
    <col min="6939" max="6941" width="8.42578125" style="433" bestFit="1" customWidth="1"/>
    <col min="6942" max="6943" width="3.28515625" style="433" bestFit="1" customWidth="1"/>
    <col min="6944" max="6944" width="4.42578125" style="433" bestFit="1" customWidth="1"/>
    <col min="6945" max="6947" width="8.42578125" style="433" bestFit="1" customWidth="1"/>
    <col min="6948" max="6948" width="10.28515625" style="433" customWidth="1"/>
    <col min="6949" max="6949" width="9.42578125" style="433" customWidth="1"/>
    <col min="6950" max="6950" width="9.28515625" style="433" bestFit="1" customWidth="1"/>
    <col min="6951" max="6951" width="9.5703125" style="433" customWidth="1"/>
    <col min="6952" max="6952" width="8.140625" style="433" customWidth="1"/>
    <col min="6953" max="6953" width="6" style="433" customWidth="1"/>
    <col min="6954" max="6954" width="12.7109375" style="433" customWidth="1"/>
    <col min="6955" max="6955" width="12.85546875" style="433" customWidth="1"/>
    <col min="6956" max="6956" width="15.28515625" style="433" customWidth="1"/>
    <col min="6957" max="6957" width="5.7109375" style="433" bestFit="1" customWidth="1"/>
    <col min="6958" max="6958" width="6.140625" style="433" bestFit="1" customWidth="1"/>
    <col min="6959" max="6959" width="7.5703125" style="433" bestFit="1" customWidth="1"/>
    <col min="6960" max="6961" width="12.7109375" style="433" bestFit="1" customWidth="1"/>
    <col min="6962" max="7168" width="11.42578125" style="433"/>
    <col min="7169" max="7169" width="6.42578125" style="433" customWidth="1"/>
    <col min="7170" max="7170" width="11.140625" style="433" bestFit="1" customWidth="1"/>
    <col min="7171" max="7171" width="19.140625" style="433" bestFit="1" customWidth="1"/>
    <col min="7172" max="7172" width="22.42578125" style="433" customWidth="1"/>
    <col min="7173" max="7173" width="9" style="433" customWidth="1"/>
    <col min="7174" max="7174" width="12.5703125" style="433" customWidth="1"/>
    <col min="7175" max="7175" width="20.85546875" style="433" customWidth="1"/>
    <col min="7176" max="7176" width="18.140625" style="433" customWidth="1"/>
    <col min="7177" max="7177" width="12.140625" style="433" customWidth="1"/>
    <col min="7178" max="7178" width="12.5703125" style="433" customWidth="1"/>
    <col min="7179" max="7179" width="12.42578125" style="433" customWidth="1"/>
    <col min="7180" max="7181" width="3.28515625" style="433" bestFit="1" customWidth="1"/>
    <col min="7182" max="7182" width="4.42578125" style="433" bestFit="1" customWidth="1"/>
    <col min="7183" max="7185" width="8.42578125" style="433" bestFit="1" customWidth="1"/>
    <col min="7186" max="7187" width="3.28515625" style="433" bestFit="1" customWidth="1"/>
    <col min="7188" max="7188" width="4.42578125" style="433" bestFit="1" customWidth="1"/>
    <col min="7189" max="7190" width="8.42578125" style="433" bestFit="1" customWidth="1"/>
    <col min="7191" max="7191" width="9.5703125" style="433" bestFit="1" customWidth="1"/>
    <col min="7192" max="7193" width="3.28515625" style="433" bestFit="1" customWidth="1"/>
    <col min="7194" max="7194" width="4.42578125" style="433" bestFit="1" customWidth="1"/>
    <col min="7195" max="7197" width="8.42578125" style="433" bestFit="1" customWidth="1"/>
    <col min="7198" max="7199" width="3.28515625" style="433" bestFit="1" customWidth="1"/>
    <col min="7200" max="7200" width="4.42578125" style="433" bestFit="1" customWidth="1"/>
    <col min="7201" max="7203" width="8.42578125" style="433" bestFit="1" customWidth="1"/>
    <col min="7204" max="7204" width="10.28515625" style="433" customWidth="1"/>
    <col min="7205" max="7205" width="9.42578125" style="433" customWidth="1"/>
    <col min="7206" max="7206" width="9.28515625" style="433" bestFit="1" customWidth="1"/>
    <col min="7207" max="7207" width="9.5703125" style="433" customWidth="1"/>
    <col min="7208" max="7208" width="8.140625" style="433" customWidth="1"/>
    <col min="7209" max="7209" width="6" style="433" customWidth="1"/>
    <col min="7210" max="7210" width="12.7109375" style="433" customWidth="1"/>
    <col min="7211" max="7211" width="12.85546875" style="433" customWidth="1"/>
    <col min="7212" max="7212" width="15.28515625" style="433" customWidth="1"/>
    <col min="7213" max="7213" width="5.7109375" style="433" bestFit="1" customWidth="1"/>
    <col min="7214" max="7214" width="6.140625" style="433" bestFit="1" customWidth="1"/>
    <col min="7215" max="7215" width="7.5703125" style="433" bestFit="1" customWidth="1"/>
    <col min="7216" max="7217" width="12.7109375" style="433" bestFit="1" customWidth="1"/>
    <col min="7218" max="7424" width="11.42578125" style="433"/>
    <col min="7425" max="7425" width="6.42578125" style="433" customWidth="1"/>
    <col min="7426" max="7426" width="11.140625" style="433" bestFit="1" customWidth="1"/>
    <col min="7427" max="7427" width="19.140625" style="433" bestFit="1" customWidth="1"/>
    <col min="7428" max="7428" width="22.42578125" style="433" customWidth="1"/>
    <col min="7429" max="7429" width="9" style="433" customWidth="1"/>
    <col min="7430" max="7430" width="12.5703125" style="433" customWidth="1"/>
    <col min="7431" max="7431" width="20.85546875" style="433" customWidth="1"/>
    <col min="7432" max="7432" width="18.140625" style="433" customWidth="1"/>
    <col min="7433" max="7433" width="12.140625" style="433" customWidth="1"/>
    <col min="7434" max="7434" width="12.5703125" style="433" customWidth="1"/>
    <col min="7435" max="7435" width="12.42578125" style="433" customWidth="1"/>
    <col min="7436" max="7437" width="3.28515625" style="433" bestFit="1" customWidth="1"/>
    <col min="7438" max="7438" width="4.42578125" style="433" bestFit="1" customWidth="1"/>
    <col min="7439" max="7441" width="8.42578125" style="433" bestFit="1" customWidth="1"/>
    <col min="7442" max="7443" width="3.28515625" style="433" bestFit="1" customWidth="1"/>
    <col min="7444" max="7444" width="4.42578125" style="433" bestFit="1" customWidth="1"/>
    <col min="7445" max="7446" width="8.42578125" style="433" bestFit="1" customWidth="1"/>
    <col min="7447" max="7447" width="9.5703125" style="433" bestFit="1" customWidth="1"/>
    <col min="7448" max="7449" width="3.28515625" style="433" bestFit="1" customWidth="1"/>
    <col min="7450" max="7450" width="4.42578125" style="433" bestFit="1" customWidth="1"/>
    <col min="7451" max="7453" width="8.42578125" style="433" bestFit="1" customWidth="1"/>
    <col min="7454" max="7455" width="3.28515625" style="433" bestFit="1" customWidth="1"/>
    <col min="7456" max="7456" width="4.42578125" style="433" bestFit="1" customWidth="1"/>
    <col min="7457" max="7459" width="8.42578125" style="433" bestFit="1" customWidth="1"/>
    <col min="7460" max="7460" width="10.28515625" style="433" customWidth="1"/>
    <col min="7461" max="7461" width="9.42578125" style="433" customWidth="1"/>
    <col min="7462" max="7462" width="9.28515625" style="433" bestFit="1" customWidth="1"/>
    <col min="7463" max="7463" width="9.5703125" style="433" customWidth="1"/>
    <col min="7464" max="7464" width="8.140625" style="433" customWidth="1"/>
    <col min="7465" max="7465" width="6" style="433" customWidth="1"/>
    <col min="7466" max="7466" width="12.7109375" style="433" customWidth="1"/>
    <col min="7467" max="7467" width="12.85546875" style="433" customWidth="1"/>
    <col min="7468" max="7468" width="15.28515625" style="433" customWidth="1"/>
    <col min="7469" max="7469" width="5.7109375" style="433" bestFit="1" customWidth="1"/>
    <col min="7470" max="7470" width="6.140625" style="433" bestFit="1" customWidth="1"/>
    <col min="7471" max="7471" width="7.5703125" style="433" bestFit="1" customWidth="1"/>
    <col min="7472" max="7473" width="12.7109375" style="433" bestFit="1" customWidth="1"/>
    <col min="7474" max="7680" width="11.42578125" style="433"/>
    <col min="7681" max="7681" width="6.42578125" style="433" customWidth="1"/>
    <col min="7682" max="7682" width="11.140625" style="433" bestFit="1" customWidth="1"/>
    <col min="7683" max="7683" width="19.140625" style="433" bestFit="1" customWidth="1"/>
    <col min="7684" max="7684" width="22.42578125" style="433" customWidth="1"/>
    <col min="7685" max="7685" width="9" style="433" customWidth="1"/>
    <col min="7686" max="7686" width="12.5703125" style="433" customWidth="1"/>
    <col min="7687" max="7687" width="20.85546875" style="433" customWidth="1"/>
    <col min="7688" max="7688" width="18.140625" style="433" customWidth="1"/>
    <col min="7689" max="7689" width="12.140625" style="433" customWidth="1"/>
    <col min="7690" max="7690" width="12.5703125" style="433" customWidth="1"/>
    <col min="7691" max="7691" width="12.42578125" style="433" customWidth="1"/>
    <col min="7692" max="7693" width="3.28515625" style="433" bestFit="1" customWidth="1"/>
    <col min="7694" max="7694" width="4.42578125" style="433" bestFit="1" customWidth="1"/>
    <col min="7695" max="7697" width="8.42578125" style="433" bestFit="1" customWidth="1"/>
    <col min="7698" max="7699" width="3.28515625" style="433" bestFit="1" customWidth="1"/>
    <col min="7700" max="7700" width="4.42578125" style="433" bestFit="1" customWidth="1"/>
    <col min="7701" max="7702" width="8.42578125" style="433" bestFit="1" customWidth="1"/>
    <col min="7703" max="7703" width="9.5703125" style="433" bestFit="1" customWidth="1"/>
    <col min="7704" max="7705" width="3.28515625" style="433" bestFit="1" customWidth="1"/>
    <col min="7706" max="7706" width="4.42578125" style="433" bestFit="1" customWidth="1"/>
    <col min="7707" max="7709" width="8.42578125" style="433" bestFit="1" customWidth="1"/>
    <col min="7710" max="7711" width="3.28515625" style="433" bestFit="1" customWidth="1"/>
    <col min="7712" max="7712" width="4.42578125" style="433" bestFit="1" customWidth="1"/>
    <col min="7713" max="7715" width="8.42578125" style="433" bestFit="1" customWidth="1"/>
    <col min="7716" max="7716" width="10.28515625" style="433" customWidth="1"/>
    <col min="7717" max="7717" width="9.42578125" style="433" customWidth="1"/>
    <col min="7718" max="7718" width="9.28515625" style="433" bestFit="1" customWidth="1"/>
    <col min="7719" max="7719" width="9.5703125" style="433" customWidth="1"/>
    <col min="7720" max="7720" width="8.140625" style="433" customWidth="1"/>
    <col min="7721" max="7721" width="6" style="433" customWidth="1"/>
    <col min="7722" max="7722" width="12.7109375" style="433" customWidth="1"/>
    <col min="7723" max="7723" width="12.85546875" style="433" customWidth="1"/>
    <col min="7724" max="7724" width="15.28515625" style="433" customWidth="1"/>
    <col min="7725" max="7725" width="5.7109375" style="433" bestFit="1" customWidth="1"/>
    <col min="7726" max="7726" width="6.140625" style="433" bestFit="1" customWidth="1"/>
    <col min="7727" max="7727" width="7.5703125" style="433" bestFit="1" customWidth="1"/>
    <col min="7728" max="7729" width="12.7109375" style="433" bestFit="1" customWidth="1"/>
    <col min="7730" max="7936" width="11.42578125" style="433"/>
    <col min="7937" max="7937" width="6.42578125" style="433" customWidth="1"/>
    <col min="7938" max="7938" width="11.140625" style="433" bestFit="1" customWidth="1"/>
    <col min="7939" max="7939" width="19.140625" style="433" bestFit="1" customWidth="1"/>
    <col min="7940" max="7940" width="22.42578125" style="433" customWidth="1"/>
    <col min="7941" max="7941" width="9" style="433" customWidth="1"/>
    <col min="7942" max="7942" width="12.5703125" style="433" customWidth="1"/>
    <col min="7943" max="7943" width="20.85546875" style="433" customWidth="1"/>
    <col min="7944" max="7944" width="18.140625" style="433" customWidth="1"/>
    <col min="7945" max="7945" width="12.140625" style="433" customWidth="1"/>
    <col min="7946" max="7946" width="12.5703125" style="433" customWidth="1"/>
    <col min="7947" max="7947" width="12.42578125" style="433" customWidth="1"/>
    <col min="7948" max="7949" width="3.28515625" style="433" bestFit="1" customWidth="1"/>
    <col min="7950" max="7950" width="4.42578125" style="433" bestFit="1" customWidth="1"/>
    <col min="7951" max="7953" width="8.42578125" style="433" bestFit="1" customWidth="1"/>
    <col min="7954" max="7955" width="3.28515625" style="433" bestFit="1" customWidth="1"/>
    <col min="7956" max="7956" width="4.42578125" style="433" bestFit="1" customWidth="1"/>
    <col min="7957" max="7958" width="8.42578125" style="433" bestFit="1" customWidth="1"/>
    <col min="7959" max="7959" width="9.5703125" style="433" bestFit="1" customWidth="1"/>
    <col min="7960" max="7961" width="3.28515625" style="433" bestFit="1" customWidth="1"/>
    <col min="7962" max="7962" width="4.42578125" style="433" bestFit="1" customWidth="1"/>
    <col min="7963" max="7965" width="8.42578125" style="433" bestFit="1" customWidth="1"/>
    <col min="7966" max="7967" width="3.28515625" style="433" bestFit="1" customWidth="1"/>
    <col min="7968" max="7968" width="4.42578125" style="433" bestFit="1" customWidth="1"/>
    <col min="7969" max="7971" width="8.42578125" style="433" bestFit="1" customWidth="1"/>
    <col min="7972" max="7972" width="10.28515625" style="433" customWidth="1"/>
    <col min="7973" max="7973" width="9.42578125" style="433" customWidth="1"/>
    <col min="7974" max="7974" width="9.28515625" style="433" bestFit="1" customWidth="1"/>
    <col min="7975" max="7975" width="9.5703125" style="433" customWidth="1"/>
    <col min="7976" max="7976" width="8.140625" style="433" customWidth="1"/>
    <col min="7977" max="7977" width="6" style="433" customWidth="1"/>
    <col min="7978" max="7978" width="12.7109375" style="433" customWidth="1"/>
    <col min="7979" max="7979" width="12.85546875" style="433" customWidth="1"/>
    <col min="7980" max="7980" width="15.28515625" style="433" customWidth="1"/>
    <col min="7981" max="7981" width="5.7109375" style="433" bestFit="1" customWidth="1"/>
    <col min="7982" max="7982" width="6.140625" style="433" bestFit="1" customWidth="1"/>
    <col min="7983" max="7983" width="7.5703125" style="433" bestFit="1" customWidth="1"/>
    <col min="7984" max="7985" width="12.7109375" style="433" bestFit="1" customWidth="1"/>
    <col min="7986" max="8192" width="11.42578125" style="433"/>
    <col min="8193" max="8193" width="6.42578125" style="433" customWidth="1"/>
    <col min="8194" max="8194" width="11.140625" style="433" bestFit="1" customWidth="1"/>
    <col min="8195" max="8195" width="19.140625" style="433" bestFit="1" customWidth="1"/>
    <col min="8196" max="8196" width="22.42578125" style="433" customWidth="1"/>
    <col min="8197" max="8197" width="9" style="433" customWidth="1"/>
    <col min="8198" max="8198" width="12.5703125" style="433" customWidth="1"/>
    <col min="8199" max="8199" width="20.85546875" style="433" customWidth="1"/>
    <col min="8200" max="8200" width="18.140625" style="433" customWidth="1"/>
    <col min="8201" max="8201" width="12.140625" style="433" customWidth="1"/>
    <col min="8202" max="8202" width="12.5703125" style="433" customWidth="1"/>
    <col min="8203" max="8203" width="12.42578125" style="433" customWidth="1"/>
    <col min="8204" max="8205" width="3.28515625" style="433" bestFit="1" customWidth="1"/>
    <col min="8206" max="8206" width="4.42578125" style="433" bestFit="1" customWidth="1"/>
    <col min="8207" max="8209" width="8.42578125" style="433" bestFit="1" customWidth="1"/>
    <col min="8210" max="8211" width="3.28515625" style="433" bestFit="1" customWidth="1"/>
    <col min="8212" max="8212" width="4.42578125" style="433" bestFit="1" customWidth="1"/>
    <col min="8213" max="8214" width="8.42578125" style="433" bestFit="1" customWidth="1"/>
    <col min="8215" max="8215" width="9.5703125" style="433" bestFit="1" customWidth="1"/>
    <col min="8216" max="8217" width="3.28515625" style="433" bestFit="1" customWidth="1"/>
    <col min="8218" max="8218" width="4.42578125" style="433" bestFit="1" customWidth="1"/>
    <col min="8219" max="8221" width="8.42578125" style="433" bestFit="1" customWidth="1"/>
    <col min="8222" max="8223" width="3.28515625" style="433" bestFit="1" customWidth="1"/>
    <col min="8224" max="8224" width="4.42578125" style="433" bestFit="1" customWidth="1"/>
    <col min="8225" max="8227" width="8.42578125" style="433" bestFit="1" customWidth="1"/>
    <col min="8228" max="8228" width="10.28515625" style="433" customWidth="1"/>
    <col min="8229" max="8229" width="9.42578125" style="433" customWidth="1"/>
    <col min="8230" max="8230" width="9.28515625" style="433" bestFit="1" customWidth="1"/>
    <col min="8231" max="8231" width="9.5703125" style="433" customWidth="1"/>
    <col min="8232" max="8232" width="8.140625" style="433" customWidth="1"/>
    <col min="8233" max="8233" width="6" style="433" customWidth="1"/>
    <col min="8234" max="8234" width="12.7109375" style="433" customWidth="1"/>
    <col min="8235" max="8235" width="12.85546875" style="433" customWidth="1"/>
    <col min="8236" max="8236" width="15.28515625" style="433" customWidth="1"/>
    <col min="8237" max="8237" width="5.7109375" style="433" bestFit="1" customWidth="1"/>
    <col min="8238" max="8238" width="6.140625" style="433" bestFit="1" customWidth="1"/>
    <col min="8239" max="8239" width="7.5703125" style="433" bestFit="1" customWidth="1"/>
    <col min="8240" max="8241" width="12.7109375" style="433" bestFit="1" customWidth="1"/>
    <col min="8242" max="8448" width="11.42578125" style="433"/>
    <col min="8449" max="8449" width="6.42578125" style="433" customWidth="1"/>
    <col min="8450" max="8450" width="11.140625" style="433" bestFit="1" customWidth="1"/>
    <col min="8451" max="8451" width="19.140625" style="433" bestFit="1" customWidth="1"/>
    <col min="8452" max="8452" width="22.42578125" style="433" customWidth="1"/>
    <col min="8453" max="8453" width="9" style="433" customWidth="1"/>
    <col min="8454" max="8454" width="12.5703125" style="433" customWidth="1"/>
    <col min="8455" max="8455" width="20.85546875" style="433" customWidth="1"/>
    <col min="8456" max="8456" width="18.140625" style="433" customWidth="1"/>
    <col min="8457" max="8457" width="12.140625" style="433" customWidth="1"/>
    <col min="8458" max="8458" width="12.5703125" style="433" customWidth="1"/>
    <col min="8459" max="8459" width="12.42578125" style="433" customWidth="1"/>
    <col min="8460" max="8461" width="3.28515625" style="433" bestFit="1" customWidth="1"/>
    <col min="8462" max="8462" width="4.42578125" style="433" bestFit="1" customWidth="1"/>
    <col min="8463" max="8465" width="8.42578125" style="433" bestFit="1" customWidth="1"/>
    <col min="8466" max="8467" width="3.28515625" style="433" bestFit="1" customWidth="1"/>
    <col min="8468" max="8468" width="4.42578125" style="433" bestFit="1" customWidth="1"/>
    <col min="8469" max="8470" width="8.42578125" style="433" bestFit="1" customWidth="1"/>
    <col min="8471" max="8471" width="9.5703125" style="433" bestFit="1" customWidth="1"/>
    <col min="8472" max="8473" width="3.28515625" style="433" bestFit="1" customWidth="1"/>
    <col min="8474" max="8474" width="4.42578125" style="433" bestFit="1" customWidth="1"/>
    <col min="8475" max="8477" width="8.42578125" style="433" bestFit="1" customWidth="1"/>
    <col min="8478" max="8479" width="3.28515625" style="433" bestFit="1" customWidth="1"/>
    <col min="8480" max="8480" width="4.42578125" style="433" bestFit="1" customWidth="1"/>
    <col min="8481" max="8483" width="8.42578125" style="433" bestFit="1" customWidth="1"/>
    <col min="8484" max="8484" width="10.28515625" style="433" customWidth="1"/>
    <col min="8485" max="8485" width="9.42578125" style="433" customWidth="1"/>
    <col min="8486" max="8486" width="9.28515625" style="433" bestFit="1" customWidth="1"/>
    <col min="8487" max="8487" width="9.5703125" style="433" customWidth="1"/>
    <col min="8488" max="8488" width="8.140625" style="433" customWidth="1"/>
    <col min="8489" max="8489" width="6" style="433" customWidth="1"/>
    <col min="8490" max="8490" width="12.7109375" style="433" customWidth="1"/>
    <col min="8491" max="8491" width="12.85546875" style="433" customWidth="1"/>
    <col min="8492" max="8492" width="15.28515625" style="433" customWidth="1"/>
    <col min="8493" max="8493" width="5.7109375" style="433" bestFit="1" customWidth="1"/>
    <col min="8494" max="8494" width="6.140625" style="433" bestFit="1" customWidth="1"/>
    <col min="8495" max="8495" width="7.5703125" style="433" bestFit="1" customWidth="1"/>
    <col min="8496" max="8497" width="12.7109375" style="433" bestFit="1" customWidth="1"/>
    <col min="8498" max="8704" width="11.42578125" style="433"/>
    <col min="8705" max="8705" width="6.42578125" style="433" customWidth="1"/>
    <col min="8706" max="8706" width="11.140625" style="433" bestFit="1" customWidth="1"/>
    <col min="8707" max="8707" width="19.140625" style="433" bestFit="1" customWidth="1"/>
    <col min="8708" max="8708" width="22.42578125" style="433" customWidth="1"/>
    <col min="8709" max="8709" width="9" style="433" customWidth="1"/>
    <col min="8710" max="8710" width="12.5703125" style="433" customWidth="1"/>
    <col min="8711" max="8711" width="20.85546875" style="433" customWidth="1"/>
    <col min="8712" max="8712" width="18.140625" style="433" customWidth="1"/>
    <col min="8713" max="8713" width="12.140625" style="433" customWidth="1"/>
    <col min="8714" max="8714" width="12.5703125" style="433" customWidth="1"/>
    <col min="8715" max="8715" width="12.42578125" style="433" customWidth="1"/>
    <col min="8716" max="8717" width="3.28515625" style="433" bestFit="1" customWidth="1"/>
    <col min="8718" max="8718" width="4.42578125" style="433" bestFit="1" customWidth="1"/>
    <col min="8719" max="8721" width="8.42578125" style="433" bestFit="1" customWidth="1"/>
    <col min="8722" max="8723" width="3.28515625" style="433" bestFit="1" customWidth="1"/>
    <col min="8724" max="8724" width="4.42578125" style="433" bestFit="1" customWidth="1"/>
    <col min="8725" max="8726" width="8.42578125" style="433" bestFit="1" customWidth="1"/>
    <col min="8727" max="8727" width="9.5703125" style="433" bestFit="1" customWidth="1"/>
    <col min="8728" max="8729" width="3.28515625" style="433" bestFit="1" customWidth="1"/>
    <col min="8730" max="8730" width="4.42578125" style="433" bestFit="1" customWidth="1"/>
    <col min="8731" max="8733" width="8.42578125" style="433" bestFit="1" customWidth="1"/>
    <col min="8734" max="8735" width="3.28515625" style="433" bestFit="1" customWidth="1"/>
    <col min="8736" max="8736" width="4.42578125" style="433" bestFit="1" customWidth="1"/>
    <col min="8737" max="8739" width="8.42578125" style="433" bestFit="1" customWidth="1"/>
    <col min="8740" max="8740" width="10.28515625" style="433" customWidth="1"/>
    <col min="8741" max="8741" width="9.42578125" style="433" customWidth="1"/>
    <col min="8742" max="8742" width="9.28515625" style="433" bestFit="1" customWidth="1"/>
    <col min="8743" max="8743" width="9.5703125" style="433" customWidth="1"/>
    <col min="8744" max="8744" width="8.140625" style="433" customWidth="1"/>
    <col min="8745" max="8745" width="6" style="433" customWidth="1"/>
    <col min="8746" max="8746" width="12.7109375" style="433" customWidth="1"/>
    <col min="8747" max="8747" width="12.85546875" style="433" customWidth="1"/>
    <col min="8748" max="8748" width="15.28515625" style="433" customWidth="1"/>
    <col min="8749" max="8749" width="5.7109375" style="433" bestFit="1" customWidth="1"/>
    <col min="8750" max="8750" width="6.140625" style="433" bestFit="1" customWidth="1"/>
    <col min="8751" max="8751" width="7.5703125" style="433" bestFit="1" customWidth="1"/>
    <col min="8752" max="8753" width="12.7109375" style="433" bestFit="1" customWidth="1"/>
    <col min="8754" max="8960" width="11.42578125" style="433"/>
    <col min="8961" max="8961" width="6.42578125" style="433" customWidth="1"/>
    <col min="8962" max="8962" width="11.140625" style="433" bestFit="1" customWidth="1"/>
    <col min="8963" max="8963" width="19.140625" style="433" bestFit="1" customWidth="1"/>
    <col min="8964" max="8964" width="22.42578125" style="433" customWidth="1"/>
    <col min="8965" max="8965" width="9" style="433" customWidth="1"/>
    <col min="8966" max="8966" width="12.5703125" style="433" customWidth="1"/>
    <col min="8967" max="8967" width="20.85546875" style="433" customWidth="1"/>
    <col min="8968" max="8968" width="18.140625" style="433" customWidth="1"/>
    <col min="8969" max="8969" width="12.140625" style="433" customWidth="1"/>
    <col min="8970" max="8970" width="12.5703125" style="433" customWidth="1"/>
    <col min="8971" max="8971" width="12.42578125" style="433" customWidth="1"/>
    <col min="8972" max="8973" width="3.28515625" style="433" bestFit="1" customWidth="1"/>
    <col min="8974" max="8974" width="4.42578125" style="433" bestFit="1" customWidth="1"/>
    <col min="8975" max="8977" width="8.42578125" style="433" bestFit="1" customWidth="1"/>
    <col min="8978" max="8979" width="3.28515625" style="433" bestFit="1" customWidth="1"/>
    <col min="8980" max="8980" width="4.42578125" style="433" bestFit="1" customWidth="1"/>
    <col min="8981" max="8982" width="8.42578125" style="433" bestFit="1" customWidth="1"/>
    <col min="8983" max="8983" width="9.5703125" style="433" bestFit="1" customWidth="1"/>
    <col min="8984" max="8985" width="3.28515625" style="433" bestFit="1" customWidth="1"/>
    <col min="8986" max="8986" width="4.42578125" style="433" bestFit="1" customWidth="1"/>
    <col min="8987" max="8989" width="8.42578125" style="433" bestFit="1" customWidth="1"/>
    <col min="8990" max="8991" width="3.28515625" style="433" bestFit="1" customWidth="1"/>
    <col min="8992" max="8992" width="4.42578125" style="433" bestFit="1" customWidth="1"/>
    <col min="8993" max="8995" width="8.42578125" style="433" bestFit="1" customWidth="1"/>
    <col min="8996" max="8996" width="10.28515625" style="433" customWidth="1"/>
    <col min="8997" max="8997" width="9.42578125" style="433" customWidth="1"/>
    <col min="8998" max="8998" width="9.28515625" style="433" bestFit="1" customWidth="1"/>
    <col min="8999" max="8999" width="9.5703125" style="433" customWidth="1"/>
    <col min="9000" max="9000" width="8.140625" style="433" customWidth="1"/>
    <col min="9001" max="9001" width="6" style="433" customWidth="1"/>
    <col min="9002" max="9002" width="12.7109375" style="433" customWidth="1"/>
    <col min="9003" max="9003" width="12.85546875" style="433" customWidth="1"/>
    <col min="9004" max="9004" width="15.28515625" style="433" customWidth="1"/>
    <col min="9005" max="9005" width="5.7109375" style="433" bestFit="1" customWidth="1"/>
    <col min="9006" max="9006" width="6.140625" style="433" bestFit="1" customWidth="1"/>
    <col min="9007" max="9007" width="7.5703125" style="433" bestFit="1" customWidth="1"/>
    <col min="9008" max="9009" width="12.7109375" style="433" bestFit="1" customWidth="1"/>
    <col min="9010" max="9216" width="11.42578125" style="433"/>
    <col min="9217" max="9217" width="6.42578125" style="433" customWidth="1"/>
    <col min="9218" max="9218" width="11.140625" style="433" bestFit="1" customWidth="1"/>
    <col min="9219" max="9219" width="19.140625" style="433" bestFit="1" customWidth="1"/>
    <col min="9220" max="9220" width="22.42578125" style="433" customWidth="1"/>
    <col min="9221" max="9221" width="9" style="433" customWidth="1"/>
    <col min="9222" max="9222" width="12.5703125" style="433" customWidth="1"/>
    <col min="9223" max="9223" width="20.85546875" style="433" customWidth="1"/>
    <col min="9224" max="9224" width="18.140625" style="433" customWidth="1"/>
    <col min="9225" max="9225" width="12.140625" style="433" customWidth="1"/>
    <col min="9226" max="9226" width="12.5703125" style="433" customWidth="1"/>
    <col min="9227" max="9227" width="12.42578125" style="433" customWidth="1"/>
    <col min="9228" max="9229" width="3.28515625" style="433" bestFit="1" customWidth="1"/>
    <col min="9230" max="9230" width="4.42578125" style="433" bestFit="1" customWidth="1"/>
    <col min="9231" max="9233" width="8.42578125" style="433" bestFit="1" customWidth="1"/>
    <col min="9234" max="9235" width="3.28515625" style="433" bestFit="1" customWidth="1"/>
    <col min="9236" max="9236" width="4.42578125" style="433" bestFit="1" customWidth="1"/>
    <col min="9237" max="9238" width="8.42578125" style="433" bestFit="1" customWidth="1"/>
    <col min="9239" max="9239" width="9.5703125" style="433" bestFit="1" customWidth="1"/>
    <col min="9240" max="9241" width="3.28515625" style="433" bestFit="1" customWidth="1"/>
    <col min="9242" max="9242" width="4.42578125" style="433" bestFit="1" customWidth="1"/>
    <col min="9243" max="9245" width="8.42578125" style="433" bestFit="1" customWidth="1"/>
    <col min="9246" max="9247" width="3.28515625" style="433" bestFit="1" customWidth="1"/>
    <col min="9248" max="9248" width="4.42578125" style="433" bestFit="1" customWidth="1"/>
    <col min="9249" max="9251" width="8.42578125" style="433" bestFit="1" customWidth="1"/>
    <col min="9252" max="9252" width="10.28515625" style="433" customWidth="1"/>
    <col min="9253" max="9253" width="9.42578125" style="433" customWidth="1"/>
    <col min="9254" max="9254" width="9.28515625" style="433" bestFit="1" customWidth="1"/>
    <col min="9255" max="9255" width="9.5703125" style="433" customWidth="1"/>
    <col min="9256" max="9256" width="8.140625" style="433" customWidth="1"/>
    <col min="9257" max="9257" width="6" style="433" customWidth="1"/>
    <col min="9258" max="9258" width="12.7109375" style="433" customWidth="1"/>
    <col min="9259" max="9259" width="12.85546875" style="433" customWidth="1"/>
    <col min="9260" max="9260" width="15.28515625" style="433" customWidth="1"/>
    <col min="9261" max="9261" width="5.7109375" style="433" bestFit="1" customWidth="1"/>
    <col min="9262" max="9262" width="6.140625" style="433" bestFit="1" customWidth="1"/>
    <col min="9263" max="9263" width="7.5703125" style="433" bestFit="1" customWidth="1"/>
    <col min="9264" max="9265" width="12.7109375" style="433" bestFit="1" customWidth="1"/>
    <col min="9266" max="9472" width="11.42578125" style="433"/>
    <col min="9473" max="9473" width="6.42578125" style="433" customWidth="1"/>
    <col min="9474" max="9474" width="11.140625" style="433" bestFit="1" customWidth="1"/>
    <col min="9475" max="9475" width="19.140625" style="433" bestFit="1" customWidth="1"/>
    <col min="9476" max="9476" width="22.42578125" style="433" customWidth="1"/>
    <col min="9477" max="9477" width="9" style="433" customWidth="1"/>
    <col min="9478" max="9478" width="12.5703125" style="433" customWidth="1"/>
    <col min="9479" max="9479" width="20.85546875" style="433" customWidth="1"/>
    <col min="9480" max="9480" width="18.140625" style="433" customWidth="1"/>
    <col min="9481" max="9481" width="12.140625" style="433" customWidth="1"/>
    <col min="9482" max="9482" width="12.5703125" style="433" customWidth="1"/>
    <col min="9483" max="9483" width="12.42578125" style="433" customWidth="1"/>
    <col min="9484" max="9485" width="3.28515625" style="433" bestFit="1" customWidth="1"/>
    <col min="9486" max="9486" width="4.42578125" style="433" bestFit="1" customWidth="1"/>
    <col min="9487" max="9489" width="8.42578125" style="433" bestFit="1" customWidth="1"/>
    <col min="9490" max="9491" width="3.28515625" style="433" bestFit="1" customWidth="1"/>
    <col min="9492" max="9492" width="4.42578125" style="433" bestFit="1" customWidth="1"/>
    <col min="9493" max="9494" width="8.42578125" style="433" bestFit="1" customWidth="1"/>
    <col min="9495" max="9495" width="9.5703125" style="433" bestFit="1" customWidth="1"/>
    <col min="9496" max="9497" width="3.28515625" style="433" bestFit="1" customWidth="1"/>
    <col min="9498" max="9498" width="4.42578125" style="433" bestFit="1" customWidth="1"/>
    <col min="9499" max="9501" width="8.42578125" style="433" bestFit="1" customWidth="1"/>
    <col min="9502" max="9503" width="3.28515625" style="433" bestFit="1" customWidth="1"/>
    <col min="9504" max="9504" width="4.42578125" style="433" bestFit="1" customWidth="1"/>
    <col min="9505" max="9507" width="8.42578125" style="433" bestFit="1" customWidth="1"/>
    <col min="9508" max="9508" width="10.28515625" style="433" customWidth="1"/>
    <col min="9509" max="9509" width="9.42578125" style="433" customWidth="1"/>
    <col min="9510" max="9510" width="9.28515625" style="433" bestFit="1" customWidth="1"/>
    <col min="9511" max="9511" width="9.5703125" style="433" customWidth="1"/>
    <col min="9512" max="9512" width="8.140625" style="433" customWidth="1"/>
    <col min="9513" max="9513" width="6" style="433" customWidth="1"/>
    <col min="9514" max="9514" width="12.7109375" style="433" customWidth="1"/>
    <col min="9515" max="9515" width="12.85546875" style="433" customWidth="1"/>
    <col min="9516" max="9516" width="15.28515625" style="433" customWidth="1"/>
    <col min="9517" max="9517" width="5.7109375" style="433" bestFit="1" customWidth="1"/>
    <col min="9518" max="9518" width="6.140625" style="433" bestFit="1" customWidth="1"/>
    <col min="9519" max="9519" width="7.5703125" style="433" bestFit="1" customWidth="1"/>
    <col min="9520" max="9521" width="12.7109375" style="433" bestFit="1" customWidth="1"/>
    <col min="9522" max="9728" width="11.42578125" style="433"/>
    <col min="9729" max="9729" width="6.42578125" style="433" customWidth="1"/>
    <col min="9730" max="9730" width="11.140625" style="433" bestFit="1" customWidth="1"/>
    <col min="9731" max="9731" width="19.140625" style="433" bestFit="1" customWidth="1"/>
    <col min="9732" max="9732" width="22.42578125" style="433" customWidth="1"/>
    <col min="9733" max="9733" width="9" style="433" customWidth="1"/>
    <col min="9734" max="9734" width="12.5703125" style="433" customWidth="1"/>
    <col min="9735" max="9735" width="20.85546875" style="433" customWidth="1"/>
    <col min="9736" max="9736" width="18.140625" style="433" customWidth="1"/>
    <col min="9737" max="9737" width="12.140625" style="433" customWidth="1"/>
    <col min="9738" max="9738" width="12.5703125" style="433" customWidth="1"/>
    <col min="9739" max="9739" width="12.42578125" style="433" customWidth="1"/>
    <col min="9740" max="9741" width="3.28515625" style="433" bestFit="1" customWidth="1"/>
    <col min="9742" max="9742" width="4.42578125" style="433" bestFit="1" customWidth="1"/>
    <col min="9743" max="9745" width="8.42578125" style="433" bestFit="1" customWidth="1"/>
    <col min="9746" max="9747" width="3.28515625" style="433" bestFit="1" customWidth="1"/>
    <col min="9748" max="9748" width="4.42578125" style="433" bestFit="1" customWidth="1"/>
    <col min="9749" max="9750" width="8.42578125" style="433" bestFit="1" customWidth="1"/>
    <col min="9751" max="9751" width="9.5703125" style="433" bestFit="1" customWidth="1"/>
    <col min="9752" max="9753" width="3.28515625" style="433" bestFit="1" customWidth="1"/>
    <col min="9754" max="9754" width="4.42578125" style="433" bestFit="1" customWidth="1"/>
    <col min="9755" max="9757" width="8.42578125" style="433" bestFit="1" customWidth="1"/>
    <col min="9758" max="9759" width="3.28515625" style="433" bestFit="1" customWidth="1"/>
    <col min="9760" max="9760" width="4.42578125" style="433" bestFit="1" customWidth="1"/>
    <col min="9761" max="9763" width="8.42578125" style="433" bestFit="1" customWidth="1"/>
    <col min="9764" max="9764" width="10.28515625" style="433" customWidth="1"/>
    <col min="9765" max="9765" width="9.42578125" style="433" customWidth="1"/>
    <col min="9766" max="9766" width="9.28515625" style="433" bestFit="1" customWidth="1"/>
    <col min="9767" max="9767" width="9.5703125" style="433" customWidth="1"/>
    <col min="9768" max="9768" width="8.140625" style="433" customWidth="1"/>
    <col min="9769" max="9769" width="6" style="433" customWidth="1"/>
    <col min="9770" max="9770" width="12.7109375" style="433" customWidth="1"/>
    <col min="9771" max="9771" width="12.85546875" style="433" customWidth="1"/>
    <col min="9772" max="9772" width="15.28515625" style="433" customWidth="1"/>
    <col min="9773" max="9773" width="5.7109375" style="433" bestFit="1" customWidth="1"/>
    <col min="9774" max="9774" width="6.140625" style="433" bestFit="1" customWidth="1"/>
    <col min="9775" max="9775" width="7.5703125" style="433" bestFit="1" customWidth="1"/>
    <col min="9776" max="9777" width="12.7109375" style="433" bestFit="1" customWidth="1"/>
    <col min="9778" max="9984" width="11.42578125" style="433"/>
    <col min="9985" max="9985" width="6.42578125" style="433" customWidth="1"/>
    <col min="9986" max="9986" width="11.140625" style="433" bestFit="1" customWidth="1"/>
    <col min="9987" max="9987" width="19.140625" style="433" bestFit="1" customWidth="1"/>
    <col min="9988" max="9988" width="22.42578125" style="433" customWidth="1"/>
    <col min="9989" max="9989" width="9" style="433" customWidth="1"/>
    <col min="9990" max="9990" width="12.5703125" style="433" customWidth="1"/>
    <col min="9991" max="9991" width="20.85546875" style="433" customWidth="1"/>
    <col min="9992" max="9992" width="18.140625" style="433" customWidth="1"/>
    <col min="9993" max="9993" width="12.140625" style="433" customWidth="1"/>
    <col min="9994" max="9994" width="12.5703125" style="433" customWidth="1"/>
    <col min="9995" max="9995" width="12.42578125" style="433" customWidth="1"/>
    <col min="9996" max="9997" width="3.28515625" style="433" bestFit="1" customWidth="1"/>
    <col min="9998" max="9998" width="4.42578125" style="433" bestFit="1" customWidth="1"/>
    <col min="9999" max="10001" width="8.42578125" style="433" bestFit="1" customWidth="1"/>
    <col min="10002" max="10003" width="3.28515625" style="433" bestFit="1" customWidth="1"/>
    <col min="10004" max="10004" width="4.42578125" style="433" bestFit="1" customWidth="1"/>
    <col min="10005" max="10006" width="8.42578125" style="433" bestFit="1" customWidth="1"/>
    <col min="10007" max="10007" width="9.5703125" style="433" bestFit="1" customWidth="1"/>
    <col min="10008" max="10009" width="3.28515625" style="433" bestFit="1" customWidth="1"/>
    <col min="10010" max="10010" width="4.42578125" style="433" bestFit="1" customWidth="1"/>
    <col min="10011" max="10013" width="8.42578125" style="433" bestFit="1" customWidth="1"/>
    <col min="10014" max="10015" width="3.28515625" style="433" bestFit="1" customWidth="1"/>
    <col min="10016" max="10016" width="4.42578125" style="433" bestFit="1" customWidth="1"/>
    <col min="10017" max="10019" width="8.42578125" style="433" bestFit="1" customWidth="1"/>
    <col min="10020" max="10020" width="10.28515625" style="433" customWidth="1"/>
    <col min="10021" max="10021" width="9.42578125" style="433" customWidth="1"/>
    <col min="10022" max="10022" width="9.28515625" style="433" bestFit="1" customWidth="1"/>
    <col min="10023" max="10023" width="9.5703125" style="433" customWidth="1"/>
    <col min="10024" max="10024" width="8.140625" style="433" customWidth="1"/>
    <col min="10025" max="10025" width="6" style="433" customWidth="1"/>
    <col min="10026" max="10026" width="12.7109375" style="433" customWidth="1"/>
    <col min="10027" max="10027" width="12.85546875" style="433" customWidth="1"/>
    <col min="10028" max="10028" width="15.28515625" style="433" customWidth="1"/>
    <col min="10029" max="10029" width="5.7109375" style="433" bestFit="1" customWidth="1"/>
    <col min="10030" max="10030" width="6.140625" style="433" bestFit="1" customWidth="1"/>
    <col min="10031" max="10031" width="7.5703125" style="433" bestFit="1" customWidth="1"/>
    <col min="10032" max="10033" width="12.7109375" style="433" bestFit="1" customWidth="1"/>
    <col min="10034" max="10240" width="11.42578125" style="433"/>
    <col min="10241" max="10241" width="6.42578125" style="433" customWidth="1"/>
    <col min="10242" max="10242" width="11.140625" style="433" bestFit="1" customWidth="1"/>
    <col min="10243" max="10243" width="19.140625" style="433" bestFit="1" customWidth="1"/>
    <col min="10244" max="10244" width="22.42578125" style="433" customWidth="1"/>
    <col min="10245" max="10245" width="9" style="433" customWidth="1"/>
    <col min="10246" max="10246" width="12.5703125" style="433" customWidth="1"/>
    <col min="10247" max="10247" width="20.85546875" style="433" customWidth="1"/>
    <col min="10248" max="10248" width="18.140625" style="433" customWidth="1"/>
    <col min="10249" max="10249" width="12.140625" style="433" customWidth="1"/>
    <col min="10250" max="10250" width="12.5703125" style="433" customWidth="1"/>
    <col min="10251" max="10251" width="12.42578125" style="433" customWidth="1"/>
    <col min="10252" max="10253" width="3.28515625" style="433" bestFit="1" customWidth="1"/>
    <col min="10254" max="10254" width="4.42578125" style="433" bestFit="1" customWidth="1"/>
    <col min="10255" max="10257" width="8.42578125" style="433" bestFit="1" customWidth="1"/>
    <col min="10258" max="10259" width="3.28515625" style="433" bestFit="1" customWidth="1"/>
    <col min="10260" max="10260" width="4.42578125" style="433" bestFit="1" customWidth="1"/>
    <col min="10261" max="10262" width="8.42578125" style="433" bestFit="1" customWidth="1"/>
    <col min="10263" max="10263" width="9.5703125" style="433" bestFit="1" customWidth="1"/>
    <col min="10264" max="10265" width="3.28515625" style="433" bestFit="1" customWidth="1"/>
    <col min="10266" max="10266" width="4.42578125" style="433" bestFit="1" customWidth="1"/>
    <col min="10267" max="10269" width="8.42578125" style="433" bestFit="1" customWidth="1"/>
    <col min="10270" max="10271" width="3.28515625" style="433" bestFit="1" customWidth="1"/>
    <col min="10272" max="10272" width="4.42578125" style="433" bestFit="1" customWidth="1"/>
    <col min="10273" max="10275" width="8.42578125" style="433" bestFit="1" customWidth="1"/>
    <col min="10276" max="10276" width="10.28515625" style="433" customWidth="1"/>
    <col min="10277" max="10277" width="9.42578125" style="433" customWidth="1"/>
    <col min="10278" max="10278" width="9.28515625" style="433" bestFit="1" customWidth="1"/>
    <col min="10279" max="10279" width="9.5703125" style="433" customWidth="1"/>
    <col min="10280" max="10280" width="8.140625" style="433" customWidth="1"/>
    <col min="10281" max="10281" width="6" style="433" customWidth="1"/>
    <col min="10282" max="10282" width="12.7109375" style="433" customWidth="1"/>
    <col min="10283" max="10283" width="12.85546875" style="433" customWidth="1"/>
    <col min="10284" max="10284" width="15.28515625" style="433" customWidth="1"/>
    <col min="10285" max="10285" width="5.7109375" style="433" bestFit="1" customWidth="1"/>
    <col min="10286" max="10286" width="6.140625" style="433" bestFit="1" customWidth="1"/>
    <col min="10287" max="10287" width="7.5703125" style="433" bestFit="1" customWidth="1"/>
    <col min="10288" max="10289" width="12.7109375" style="433" bestFit="1" customWidth="1"/>
    <col min="10290" max="10496" width="11.42578125" style="433"/>
    <col min="10497" max="10497" width="6.42578125" style="433" customWidth="1"/>
    <col min="10498" max="10498" width="11.140625" style="433" bestFit="1" customWidth="1"/>
    <col min="10499" max="10499" width="19.140625" style="433" bestFit="1" customWidth="1"/>
    <col min="10500" max="10500" width="22.42578125" style="433" customWidth="1"/>
    <col min="10501" max="10501" width="9" style="433" customWidth="1"/>
    <col min="10502" max="10502" width="12.5703125" style="433" customWidth="1"/>
    <col min="10503" max="10503" width="20.85546875" style="433" customWidth="1"/>
    <col min="10504" max="10504" width="18.140625" style="433" customWidth="1"/>
    <col min="10505" max="10505" width="12.140625" style="433" customWidth="1"/>
    <col min="10506" max="10506" width="12.5703125" style="433" customWidth="1"/>
    <col min="10507" max="10507" width="12.42578125" style="433" customWidth="1"/>
    <col min="10508" max="10509" width="3.28515625" style="433" bestFit="1" customWidth="1"/>
    <col min="10510" max="10510" width="4.42578125" style="433" bestFit="1" customWidth="1"/>
    <col min="10511" max="10513" width="8.42578125" style="433" bestFit="1" customWidth="1"/>
    <col min="10514" max="10515" width="3.28515625" style="433" bestFit="1" customWidth="1"/>
    <col min="10516" max="10516" width="4.42578125" style="433" bestFit="1" customWidth="1"/>
    <col min="10517" max="10518" width="8.42578125" style="433" bestFit="1" customWidth="1"/>
    <col min="10519" max="10519" width="9.5703125" style="433" bestFit="1" customWidth="1"/>
    <col min="10520" max="10521" width="3.28515625" style="433" bestFit="1" customWidth="1"/>
    <col min="10522" max="10522" width="4.42578125" style="433" bestFit="1" customWidth="1"/>
    <col min="10523" max="10525" width="8.42578125" style="433" bestFit="1" customWidth="1"/>
    <col min="10526" max="10527" width="3.28515625" style="433" bestFit="1" customWidth="1"/>
    <col min="10528" max="10528" width="4.42578125" style="433" bestFit="1" customWidth="1"/>
    <col min="10529" max="10531" width="8.42578125" style="433" bestFit="1" customWidth="1"/>
    <col min="10532" max="10532" width="10.28515625" style="433" customWidth="1"/>
    <col min="10533" max="10533" width="9.42578125" style="433" customWidth="1"/>
    <col min="10534" max="10534" width="9.28515625" style="433" bestFit="1" customWidth="1"/>
    <col min="10535" max="10535" width="9.5703125" style="433" customWidth="1"/>
    <col min="10536" max="10536" width="8.140625" style="433" customWidth="1"/>
    <col min="10537" max="10537" width="6" style="433" customWidth="1"/>
    <col min="10538" max="10538" width="12.7109375" style="433" customWidth="1"/>
    <col min="10539" max="10539" width="12.85546875" style="433" customWidth="1"/>
    <col min="10540" max="10540" width="15.28515625" style="433" customWidth="1"/>
    <col min="10541" max="10541" width="5.7109375" style="433" bestFit="1" customWidth="1"/>
    <col min="10542" max="10542" width="6.140625" style="433" bestFit="1" customWidth="1"/>
    <col min="10543" max="10543" width="7.5703125" style="433" bestFit="1" customWidth="1"/>
    <col min="10544" max="10545" width="12.7109375" style="433" bestFit="1" customWidth="1"/>
    <col min="10546" max="10752" width="11.42578125" style="433"/>
    <col min="10753" max="10753" width="6.42578125" style="433" customWidth="1"/>
    <col min="10754" max="10754" width="11.140625" style="433" bestFit="1" customWidth="1"/>
    <col min="10755" max="10755" width="19.140625" style="433" bestFit="1" customWidth="1"/>
    <col min="10756" max="10756" width="22.42578125" style="433" customWidth="1"/>
    <col min="10757" max="10757" width="9" style="433" customWidth="1"/>
    <col min="10758" max="10758" width="12.5703125" style="433" customWidth="1"/>
    <col min="10759" max="10759" width="20.85546875" style="433" customWidth="1"/>
    <col min="10760" max="10760" width="18.140625" style="433" customWidth="1"/>
    <col min="10761" max="10761" width="12.140625" style="433" customWidth="1"/>
    <col min="10762" max="10762" width="12.5703125" style="433" customWidth="1"/>
    <col min="10763" max="10763" width="12.42578125" style="433" customWidth="1"/>
    <col min="10764" max="10765" width="3.28515625" style="433" bestFit="1" customWidth="1"/>
    <col min="10766" max="10766" width="4.42578125" style="433" bestFit="1" customWidth="1"/>
    <col min="10767" max="10769" width="8.42578125" style="433" bestFit="1" customWidth="1"/>
    <col min="10770" max="10771" width="3.28515625" style="433" bestFit="1" customWidth="1"/>
    <col min="10772" max="10772" width="4.42578125" style="433" bestFit="1" customWidth="1"/>
    <col min="10773" max="10774" width="8.42578125" style="433" bestFit="1" customWidth="1"/>
    <col min="10775" max="10775" width="9.5703125" style="433" bestFit="1" customWidth="1"/>
    <col min="10776" max="10777" width="3.28515625" style="433" bestFit="1" customWidth="1"/>
    <col min="10778" max="10778" width="4.42578125" style="433" bestFit="1" customWidth="1"/>
    <col min="10779" max="10781" width="8.42578125" style="433" bestFit="1" customWidth="1"/>
    <col min="10782" max="10783" width="3.28515625" style="433" bestFit="1" customWidth="1"/>
    <col min="10784" max="10784" width="4.42578125" style="433" bestFit="1" customWidth="1"/>
    <col min="10785" max="10787" width="8.42578125" style="433" bestFit="1" customWidth="1"/>
    <col min="10788" max="10788" width="10.28515625" style="433" customWidth="1"/>
    <col min="10789" max="10789" width="9.42578125" style="433" customWidth="1"/>
    <col min="10790" max="10790" width="9.28515625" style="433" bestFit="1" customWidth="1"/>
    <col min="10791" max="10791" width="9.5703125" style="433" customWidth="1"/>
    <col min="10792" max="10792" width="8.140625" style="433" customWidth="1"/>
    <col min="10793" max="10793" width="6" style="433" customWidth="1"/>
    <col min="10794" max="10794" width="12.7109375" style="433" customWidth="1"/>
    <col min="10795" max="10795" width="12.85546875" style="433" customWidth="1"/>
    <col min="10796" max="10796" width="15.28515625" style="433" customWidth="1"/>
    <col min="10797" max="10797" width="5.7109375" style="433" bestFit="1" customWidth="1"/>
    <col min="10798" max="10798" width="6.140625" style="433" bestFit="1" customWidth="1"/>
    <col min="10799" max="10799" width="7.5703125" style="433" bestFit="1" customWidth="1"/>
    <col min="10800" max="10801" width="12.7109375" style="433" bestFit="1" customWidth="1"/>
    <col min="10802" max="11008" width="11.42578125" style="433"/>
    <col min="11009" max="11009" width="6.42578125" style="433" customWidth="1"/>
    <col min="11010" max="11010" width="11.140625" style="433" bestFit="1" customWidth="1"/>
    <col min="11011" max="11011" width="19.140625" style="433" bestFit="1" customWidth="1"/>
    <col min="11012" max="11012" width="22.42578125" style="433" customWidth="1"/>
    <col min="11013" max="11013" width="9" style="433" customWidth="1"/>
    <col min="11014" max="11014" width="12.5703125" style="433" customWidth="1"/>
    <col min="11015" max="11015" width="20.85546875" style="433" customWidth="1"/>
    <col min="11016" max="11016" width="18.140625" style="433" customWidth="1"/>
    <col min="11017" max="11017" width="12.140625" style="433" customWidth="1"/>
    <col min="11018" max="11018" width="12.5703125" style="433" customWidth="1"/>
    <col min="11019" max="11019" width="12.42578125" style="433" customWidth="1"/>
    <col min="11020" max="11021" width="3.28515625" style="433" bestFit="1" customWidth="1"/>
    <col min="11022" max="11022" width="4.42578125" style="433" bestFit="1" customWidth="1"/>
    <col min="11023" max="11025" width="8.42578125" style="433" bestFit="1" customWidth="1"/>
    <col min="11026" max="11027" width="3.28515625" style="433" bestFit="1" customWidth="1"/>
    <col min="11028" max="11028" width="4.42578125" style="433" bestFit="1" customWidth="1"/>
    <col min="11029" max="11030" width="8.42578125" style="433" bestFit="1" customWidth="1"/>
    <col min="11031" max="11031" width="9.5703125" style="433" bestFit="1" customWidth="1"/>
    <col min="11032" max="11033" width="3.28515625" style="433" bestFit="1" customWidth="1"/>
    <col min="11034" max="11034" width="4.42578125" style="433" bestFit="1" customWidth="1"/>
    <col min="11035" max="11037" width="8.42578125" style="433" bestFit="1" customWidth="1"/>
    <col min="11038" max="11039" width="3.28515625" style="433" bestFit="1" customWidth="1"/>
    <col min="11040" max="11040" width="4.42578125" style="433" bestFit="1" customWidth="1"/>
    <col min="11041" max="11043" width="8.42578125" style="433" bestFit="1" customWidth="1"/>
    <col min="11044" max="11044" width="10.28515625" style="433" customWidth="1"/>
    <col min="11045" max="11045" width="9.42578125" style="433" customWidth="1"/>
    <col min="11046" max="11046" width="9.28515625" style="433" bestFit="1" customWidth="1"/>
    <col min="11047" max="11047" width="9.5703125" style="433" customWidth="1"/>
    <col min="11048" max="11048" width="8.140625" style="433" customWidth="1"/>
    <col min="11049" max="11049" width="6" style="433" customWidth="1"/>
    <col min="11050" max="11050" width="12.7109375" style="433" customWidth="1"/>
    <col min="11051" max="11051" width="12.85546875" style="433" customWidth="1"/>
    <col min="11052" max="11052" width="15.28515625" style="433" customWidth="1"/>
    <col min="11053" max="11053" width="5.7109375" style="433" bestFit="1" customWidth="1"/>
    <col min="11054" max="11054" width="6.140625" style="433" bestFit="1" customWidth="1"/>
    <col min="11055" max="11055" width="7.5703125" style="433" bestFit="1" customWidth="1"/>
    <col min="11056" max="11057" width="12.7109375" style="433" bestFit="1" customWidth="1"/>
    <col min="11058" max="11264" width="11.42578125" style="433"/>
    <col min="11265" max="11265" width="6.42578125" style="433" customWidth="1"/>
    <col min="11266" max="11266" width="11.140625" style="433" bestFit="1" customWidth="1"/>
    <col min="11267" max="11267" width="19.140625" style="433" bestFit="1" customWidth="1"/>
    <col min="11268" max="11268" width="22.42578125" style="433" customWidth="1"/>
    <col min="11269" max="11269" width="9" style="433" customWidth="1"/>
    <col min="11270" max="11270" width="12.5703125" style="433" customWidth="1"/>
    <col min="11271" max="11271" width="20.85546875" style="433" customWidth="1"/>
    <col min="11272" max="11272" width="18.140625" style="433" customWidth="1"/>
    <col min="11273" max="11273" width="12.140625" style="433" customWidth="1"/>
    <col min="11274" max="11274" width="12.5703125" style="433" customWidth="1"/>
    <col min="11275" max="11275" width="12.42578125" style="433" customWidth="1"/>
    <col min="11276" max="11277" width="3.28515625" style="433" bestFit="1" customWidth="1"/>
    <col min="11278" max="11278" width="4.42578125" style="433" bestFit="1" customWidth="1"/>
    <col min="11279" max="11281" width="8.42578125" style="433" bestFit="1" customWidth="1"/>
    <col min="11282" max="11283" width="3.28515625" style="433" bestFit="1" customWidth="1"/>
    <col min="11284" max="11284" width="4.42578125" style="433" bestFit="1" customWidth="1"/>
    <col min="11285" max="11286" width="8.42578125" style="433" bestFit="1" customWidth="1"/>
    <col min="11287" max="11287" width="9.5703125" style="433" bestFit="1" customWidth="1"/>
    <col min="11288" max="11289" width="3.28515625" style="433" bestFit="1" customWidth="1"/>
    <col min="11290" max="11290" width="4.42578125" style="433" bestFit="1" customWidth="1"/>
    <col min="11291" max="11293" width="8.42578125" style="433" bestFit="1" customWidth="1"/>
    <col min="11294" max="11295" width="3.28515625" style="433" bestFit="1" customWidth="1"/>
    <col min="11296" max="11296" width="4.42578125" style="433" bestFit="1" customWidth="1"/>
    <col min="11297" max="11299" width="8.42578125" style="433" bestFit="1" customWidth="1"/>
    <col min="11300" max="11300" width="10.28515625" style="433" customWidth="1"/>
    <col min="11301" max="11301" width="9.42578125" style="433" customWidth="1"/>
    <col min="11302" max="11302" width="9.28515625" style="433" bestFit="1" customWidth="1"/>
    <col min="11303" max="11303" width="9.5703125" style="433" customWidth="1"/>
    <col min="11304" max="11304" width="8.140625" style="433" customWidth="1"/>
    <col min="11305" max="11305" width="6" style="433" customWidth="1"/>
    <col min="11306" max="11306" width="12.7109375" style="433" customWidth="1"/>
    <col min="11307" max="11307" width="12.85546875" style="433" customWidth="1"/>
    <col min="11308" max="11308" width="15.28515625" style="433" customWidth="1"/>
    <col min="11309" max="11309" width="5.7109375" style="433" bestFit="1" customWidth="1"/>
    <col min="11310" max="11310" width="6.140625" style="433" bestFit="1" customWidth="1"/>
    <col min="11311" max="11311" width="7.5703125" style="433" bestFit="1" customWidth="1"/>
    <col min="11312" max="11313" width="12.7109375" style="433" bestFit="1" customWidth="1"/>
    <col min="11314" max="11520" width="11.42578125" style="433"/>
    <col min="11521" max="11521" width="6.42578125" style="433" customWidth="1"/>
    <col min="11522" max="11522" width="11.140625" style="433" bestFit="1" customWidth="1"/>
    <col min="11523" max="11523" width="19.140625" style="433" bestFit="1" customWidth="1"/>
    <col min="11524" max="11524" width="22.42578125" style="433" customWidth="1"/>
    <col min="11525" max="11525" width="9" style="433" customWidth="1"/>
    <col min="11526" max="11526" width="12.5703125" style="433" customWidth="1"/>
    <col min="11527" max="11527" width="20.85546875" style="433" customWidth="1"/>
    <col min="11528" max="11528" width="18.140625" style="433" customWidth="1"/>
    <col min="11529" max="11529" width="12.140625" style="433" customWidth="1"/>
    <col min="11530" max="11530" width="12.5703125" style="433" customWidth="1"/>
    <col min="11531" max="11531" width="12.42578125" style="433" customWidth="1"/>
    <col min="11532" max="11533" width="3.28515625" style="433" bestFit="1" customWidth="1"/>
    <col min="11534" max="11534" width="4.42578125" style="433" bestFit="1" customWidth="1"/>
    <col min="11535" max="11537" width="8.42578125" style="433" bestFit="1" customWidth="1"/>
    <col min="11538" max="11539" width="3.28515625" style="433" bestFit="1" customWidth="1"/>
    <col min="11540" max="11540" width="4.42578125" style="433" bestFit="1" customWidth="1"/>
    <col min="11541" max="11542" width="8.42578125" style="433" bestFit="1" customWidth="1"/>
    <col min="11543" max="11543" width="9.5703125" style="433" bestFit="1" customWidth="1"/>
    <col min="11544" max="11545" width="3.28515625" style="433" bestFit="1" customWidth="1"/>
    <col min="11546" max="11546" width="4.42578125" style="433" bestFit="1" customWidth="1"/>
    <col min="11547" max="11549" width="8.42578125" style="433" bestFit="1" customWidth="1"/>
    <col min="11550" max="11551" width="3.28515625" style="433" bestFit="1" customWidth="1"/>
    <col min="11552" max="11552" width="4.42578125" style="433" bestFit="1" customWidth="1"/>
    <col min="11553" max="11555" width="8.42578125" style="433" bestFit="1" customWidth="1"/>
    <col min="11556" max="11556" width="10.28515625" style="433" customWidth="1"/>
    <col min="11557" max="11557" width="9.42578125" style="433" customWidth="1"/>
    <col min="11558" max="11558" width="9.28515625" style="433" bestFit="1" customWidth="1"/>
    <col min="11559" max="11559" width="9.5703125" style="433" customWidth="1"/>
    <col min="11560" max="11560" width="8.140625" style="433" customWidth="1"/>
    <col min="11561" max="11561" width="6" style="433" customWidth="1"/>
    <col min="11562" max="11562" width="12.7109375" style="433" customWidth="1"/>
    <col min="11563" max="11563" width="12.85546875" style="433" customWidth="1"/>
    <col min="11564" max="11564" width="15.28515625" style="433" customWidth="1"/>
    <col min="11565" max="11565" width="5.7109375" style="433" bestFit="1" customWidth="1"/>
    <col min="11566" max="11566" width="6.140625" style="433" bestFit="1" customWidth="1"/>
    <col min="11567" max="11567" width="7.5703125" style="433" bestFit="1" customWidth="1"/>
    <col min="11568" max="11569" width="12.7109375" style="433" bestFit="1" customWidth="1"/>
    <col min="11570" max="11776" width="11.42578125" style="433"/>
    <col min="11777" max="11777" width="6.42578125" style="433" customWidth="1"/>
    <col min="11778" max="11778" width="11.140625" style="433" bestFit="1" customWidth="1"/>
    <col min="11779" max="11779" width="19.140625" style="433" bestFit="1" customWidth="1"/>
    <col min="11780" max="11780" width="22.42578125" style="433" customWidth="1"/>
    <col min="11781" max="11781" width="9" style="433" customWidth="1"/>
    <col min="11782" max="11782" width="12.5703125" style="433" customWidth="1"/>
    <col min="11783" max="11783" width="20.85546875" style="433" customWidth="1"/>
    <col min="11784" max="11784" width="18.140625" style="433" customWidth="1"/>
    <col min="11785" max="11785" width="12.140625" style="433" customWidth="1"/>
    <col min="11786" max="11786" width="12.5703125" style="433" customWidth="1"/>
    <col min="11787" max="11787" width="12.42578125" style="433" customWidth="1"/>
    <col min="11788" max="11789" width="3.28515625" style="433" bestFit="1" customWidth="1"/>
    <col min="11790" max="11790" width="4.42578125" style="433" bestFit="1" customWidth="1"/>
    <col min="11791" max="11793" width="8.42578125" style="433" bestFit="1" customWidth="1"/>
    <col min="11794" max="11795" width="3.28515625" style="433" bestFit="1" customWidth="1"/>
    <col min="11796" max="11796" width="4.42578125" style="433" bestFit="1" customWidth="1"/>
    <col min="11797" max="11798" width="8.42578125" style="433" bestFit="1" customWidth="1"/>
    <col min="11799" max="11799" width="9.5703125" style="433" bestFit="1" customWidth="1"/>
    <col min="11800" max="11801" width="3.28515625" style="433" bestFit="1" customWidth="1"/>
    <col min="11802" max="11802" width="4.42578125" style="433" bestFit="1" customWidth="1"/>
    <col min="11803" max="11805" width="8.42578125" style="433" bestFit="1" customWidth="1"/>
    <col min="11806" max="11807" width="3.28515625" style="433" bestFit="1" customWidth="1"/>
    <col min="11808" max="11808" width="4.42578125" style="433" bestFit="1" customWidth="1"/>
    <col min="11809" max="11811" width="8.42578125" style="433" bestFit="1" customWidth="1"/>
    <col min="11812" max="11812" width="10.28515625" style="433" customWidth="1"/>
    <col min="11813" max="11813" width="9.42578125" style="433" customWidth="1"/>
    <col min="11814" max="11814" width="9.28515625" style="433" bestFit="1" customWidth="1"/>
    <col min="11815" max="11815" width="9.5703125" style="433" customWidth="1"/>
    <col min="11816" max="11816" width="8.140625" style="433" customWidth="1"/>
    <col min="11817" max="11817" width="6" style="433" customWidth="1"/>
    <col min="11818" max="11818" width="12.7109375" style="433" customWidth="1"/>
    <col min="11819" max="11819" width="12.85546875" style="433" customWidth="1"/>
    <col min="11820" max="11820" width="15.28515625" style="433" customWidth="1"/>
    <col min="11821" max="11821" width="5.7109375" style="433" bestFit="1" customWidth="1"/>
    <col min="11822" max="11822" width="6.140625" style="433" bestFit="1" customWidth="1"/>
    <col min="11823" max="11823" width="7.5703125" style="433" bestFit="1" customWidth="1"/>
    <col min="11824" max="11825" width="12.7109375" style="433" bestFit="1" customWidth="1"/>
    <col min="11826" max="12032" width="11.42578125" style="433"/>
    <col min="12033" max="12033" width="6.42578125" style="433" customWidth="1"/>
    <col min="12034" max="12034" width="11.140625" style="433" bestFit="1" customWidth="1"/>
    <col min="12035" max="12035" width="19.140625" style="433" bestFit="1" customWidth="1"/>
    <col min="12036" max="12036" width="22.42578125" style="433" customWidth="1"/>
    <col min="12037" max="12037" width="9" style="433" customWidth="1"/>
    <col min="12038" max="12038" width="12.5703125" style="433" customWidth="1"/>
    <col min="12039" max="12039" width="20.85546875" style="433" customWidth="1"/>
    <col min="12040" max="12040" width="18.140625" style="433" customWidth="1"/>
    <col min="12041" max="12041" width="12.140625" style="433" customWidth="1"/>
    <col min="12042" max="12042" width="12.5703125" style="433" customWidth="1"/>
    <col min="12043" max="12043" width="12.42578125" style="433" customWidth="1"/>
    <col min="12044" max="12045" width="3.28515625" style="433" bestFit="1" customWidth="1"/>
    <col min="12046" max="12046" width="4.42578125" style="433" bestFit="1" customWidth="1"/>
    <col min="12047" max="12049" width="8.42578125" style="433" bestFit="1" customWidth="1"/>
    <col min="12050" max="12051" width="3.28515625" style="433" bestFit="1" customWidth="1"/>
    <col min="12052" max="12052" width="4.42578125" style="433" bestFit="1" customWidth="1"/>
    <col min="12053" max="12054" width="8.42578125" style="433" bestFit="1" customWidth="1"/>
    <col min="12055" max="12055" width="9.5703125" style="433" bestFit="1" customWidth="1"/>
    <col min="12056" max="12057" width="3.28515625" style="433" bestFit="1" customWidth="1"/>
    <col min="12058" max="12058" width="4.42578125" style="433" bestFit="1" customWidth="1"/>
    <col min="12059" max="12061" width="8.42578125" style="433" bestFit="1" customWidth="1"/>
    <col min="12062" max="12063" width="3.28515625" style="433" bestFit="1" customWidth="1"/>
    <col min="12064" max="12064" width="4.42578125" style="433" bestFit="1" customWidth="1"/>
    <col min="12065" max="12067" width="8.42578125" style="433" bestFit="1" customWidth="1"/>
    <col min="12068" max="12068" width="10.28515625" style="433" customWidth="1"/>
    <col min="12069" max="12069" width="9.42578125" style="433" customWidth="1"/>
    <col min="12070" max="12070" width="9.28515625" style="433" bestFit="1" customWidth="1"/>
    <col min="12071" max="12071" width="9.5703125" style="433" customWidth="1"/>
    <col min="12072" max="12072" width="8.140625" style="433" customWidth="1"/>
    <col min="12073" max="12073" width="6" style="433" customWidth="1"/>
    <col min="12074" max="12074" width="12.7109375" style="433" customWidth="1"/>
    <col min="12075" max="12075" width="12.85546875" style="433" customWidth="1"/>
    <col min="12076" max="12076" width="15.28515625" style="433" customWidth="1"/>
    <col min="12077" max="12077" width="5.7109375" style="433" bestFit="1" customWidth="1"/>
    <col min="12078" max="12078" width="6.140625" style="433" bestFit="1" customWidth="1"/>
    <col min="12079" max="12079" width="7.5703125" style="433" bestFit="1" customWidth="1"/>
    <col min="12080" max="12081" width="12.7109375" style="433" bestFit="1" customWidth="1"/>
    <col min="12082" max="12288" width="11.42578125" style="433"/>
    <col min="12289" max="12289" width="6.42578125" style="433" customWidth="1"/>
    <col min="12290" max="12290" width="11.140625" style="433" bestFit="1" customWidth="1"/>
    <col min="12291" max="12291" width="19.140625" style="433" bestFit="1" customWidth="1"/>
    <col min="12292" max="12292" width="22.42578125" style="433" customWidth="1"/>
    <col min="12293" max="12293" width="9" style="433" customWidth="1"/>
    <col min="12294" max="12294" width="12.5703125" style="433" customWidth="1"/>
    <col min="12295" max="12295" width="20.85546875" style="433" customWidth="1"/>
    <col min="12296" max="12296" width="18.140625" style="433" customWidth="1"/>
    <col min="12297" max="12297" width="12.140625" style="433" customWidth="1"/>
    <col min="12298" max="12298" width="12.5703125" style="433" customWidth="1"/>
    <col min="12299" max="12299" width="12.42578125" style="433" customWidth="1"/>
    <col min="12300" max="12301" width="3.28515625" style="433" bestFit="1" customWidth="1"/>
    <col min="12302" max="12302" width="4.42578125" style="433" bestFit="1" customWidth="1"/>
    <col min="12303" max="12305" width="8.42578125" style="433" bestFit="1" customWidth="1"/>
    <col min="12306" max="12307" width="3.28515625" style="433" bestFit="1" customWidth="1"/>
    <col min="12308" max="12308" width="4.42578125" style="433" bestFit="1" customWidth="1"/>
    <col min="12309" max="12310" width="8.42578125" style="433" bestFit="1" customWidth="1"/>
    <col min="12311" max="12311" width="9.5703125" style="433" bestFit="1" customWidth="1"/>
    <col min="12312" max="12313" width="3.28515625" style="433" bestFit="1" customWidth="1"/>
    <col min="12314" max="12314" width="4.42578125" style="433" bestFit="1" customWidth="1"/>
    <col min="12315" max="12317" width="8.42578125" style="433" bestFit="1" customWidth="1"/>
    <col min="12318" max="12319" width="3.28515625" style="433" bestFit="1" customWidth="1"/>
    <col min="12320" max="12320" width="4.42578125" style="433" bestFit="1" customWidth="1"/>
    <col min="12321" max="12323" width="8.42578125" style="433" bestFit="1" customWidth="1"/>
    <col min="12324" max="12324" width="10.28515625" style="433" customWidth="1"/>
    <col min="12325" max="12325" width="9.42578125" style="433" customWidth="1"/>
    <col min="12326" max="12326" width="9.28515625" style="433" bestFit="1" customWidth="1"/>
    <col min="12327" max="12327" width="9.5703125" style="433" customWidth="1"/>
    <col min="12328" max="12328" width="8.140625" style="433" customWidth="1"/>
    <col min="12329" max="12329" width="6" style="433" customWidth="1"/>
    <col min="12330" max="12330" width="12.7109375" style="433" customWidth="1"/>
    <col min="12331" max="12331" width="12.85546875" style="433" customWidth="1"/>
    <col min="12332" max="12332" width="15.28515625" style="433" customWidth="1"/>
    <col min="12333" max="12333" width="5.7109375" style="433" bestFit="1" customWidth="1"/>
    <col min="12334" max="12334" width="6.140625" style="433" bestFit="1" customWidth="1"/>
    <col min="12335" max="12335" width="7.5703125" style="433" bestFit="1" customWidth="1"/>
    <col min="12336" max="12337" width="12.7109375" style="433" bestFit="1" customWidth="1"/>
    <col min="12338" max="12544" width="11.42578125" style="433"/>
    <col min="12545" max="12545" width="6.42578125" style="433" customWidth="1"/>
    <col min="12546" max="12546" width="11.140625" style="433" bestFit="1" customWidth="1"/>
    <col min="12547" max="12547" width="19.140625" style="433" bestFit="1" customWidth="1"/>
    <col min="12548" max="12548" width="22.42578125" style="433" customWidth="1"/>
    <col min="12549" max="12549" width="9" style="433" customWidth="1"/>
    <col min="12550" max="12550" width="12.5703125" style="433" customWidth="1"/>
    <col min="12551" max="12551" width="20.85546875" style="433" customWidth="1"/>
    <col min="12552" max="12552" width="18.140625" style="433" customWidth="1"/>
    <col min="12553" max="12553" width="12.140625" style="433" customWidth="1"/>
    <col min="12554" max="12554" width="12.5703125" style="433" customWidth="1"/>
    <col min="12555" max="12555" width="12.42578125" style="433" customWidth="1"/>
    <col min="12556" max="12557" width="3.28515625" style="433" bestFit="1" customWidth="1"/>
    <col min="12558" max="12558" width="4.42578125" style="433" bestFit="1" customWidth="1"/>
    <col min="12559" max="12561" width="8.42578125" style="433" bestFit="1" customWidth="1"/>
    <col min="12562" max="12563" width="3.28515625" style="433" bestFit="1" customWidth="1"/>
    <col min="12564" max="12564" width="4.42578125" style="433" bestFit="1" customWidth="1"/>
    <col min="12565" max="12566" width="8.42578125" style="433" bestFit="1" customWidth="1"/>
    <col min="12567" max="12567" width="9.5703125" style="433" bestFit="1" customWidth="1"/>
    <col min="12568" max="12569" width="3.28515625" style="433" bestFit="1" customWidth="1"/>
    <col min="12570" max="12570" width="4.42578125" style="433" bestFit="1" customWidth="1"/>
    <col min="12571" max="12573" width="8.42578125" style="433" bestFit="1" customWidth="1"/>
    <col min="12574" max="12575" width="3.28515625" style="433" bestFit="1" customWidth="1"/>
    <col min="12576" max="12576" width="4.42578125" style="433" bestFit="1" customWidth="1"/>
    <col min="12577" max="12579" width="8.42578125" style="433" bestFit="1" customWidth="1"/>
    <col min="12580" max="12580" width="10.28515625" style="433" customWidth="1"/>
    <col min="12581" max="12581" width="9.42578125" style="433" customWidth="1"/>
    <col min="12582" max="12582" width="9.28515625" style="433" bestFit="1" customWidth="1"/>
    <col min="12583" max="12583" width="9.5703125" style="433" customWidth="1"/>
    <col min="12584" max="12584" width="8.140625" style="433" customWidth="1"/>
    <col min="12585" max="12585" width="6" style="433" customWidth="1"/>
    <col min="12586" max="12586" width="12.7109375" style="433" customWidth="1"/>
    <col min="12587" max="12587" width="12.85546875" style="433" customWidth="1"/>
    <col min="12588" max="12588" width="15.28515625" style="433" customWidth="1"/>
    <col min="12589" max="12589" width="5.7109375" style="433" bestFit="1" customWidth="1"/>
    <col min="12590" max="12590" width="6.140625" style="433" bestFit="1" customWidth="1"/>
    <col min="12591" max="12591" width="7.5703125" style="433" bestFit="1" customWidth="1"/>
    <col min="12592" max="12593" width="12.7109375" style="433" bestFit="1" customWidth="1"/>
    <col min="12594" max="12800" width="11.42578125" style="433"/>
    <col min="12801" max="12801" width="6.42578125" style="433" customWidth="1"/>
    <col min="12802" max="12802" width="11.140625" style="433" bestFit="1" customWidth="1"/>
    <col min="12803" max="12803" width="19.140625" style="433" bestFit="1" customWidth="1"/>
    <col min="12804" max="12804" width="22.42578125" style="433" customWidth="1"/>
    <col min="12805" max="12805" width="9" style="433" customWidth="1"/>
    <col min="12806" max="12806" width="12.5703125" style="433" customWidth="1"/>
    <col min="12807" max="12807" width="20.85546875" style="433" customWidth="1"/>
    <col min="12808" max="12808" width="18.140625" style="433" customWidth="1"/>
    <col min="12809" max="12809" width="12.140625" style="433" customWidth="1"/>
    <col min="12810" max="12810" width="12.5703125" style="433" customWidth="1"/>
    <col min="12811" max="12811" width="12.42578125" style="433" customWidth="1"/>
    <col min="12812" max="12813" width="3.28515625" style="433" bestFit="1" customWidth="1"/>
    <col min="12814" max="12814" width="4.42578125" style="433" bestFit="1" customWidth="1"/>
    <col min="12815" max="12817" width="8.42578125" style="433" bestFit="1" customWidth="1"/>
    <col min="12818" max="12819" width="3.28515625" style="433" bestFit="1" customWidth="1"/>
    <col min="12820" max="12820" width="4.42578125" style="433" bestFit="1" customWidth="1"/>
    <col min="12821" max="12822" width="8.42578125" style="433" bestFit="1" customWidth="1"/>
    <col min="12823" max="12823" width="9.5703125" style="433" bestFit="1" customWidth="1"/>
    <col min="12824" max="12825" width="3.28515625" style="433" bestFit="1" customWidth="1"/>
    <col min="12826" max="12826" width="4.42578125" style="433" bestFit="1" customWidth="1"/>
    <col min="12827" max="12829" width="8.42578125" style="433" bestFit="1" customWidth="1"/>
    <col min="12830" max="12831" width="3.28515625" style="433" bestFit="1" customWidth="1"/>
    <col min="12832" max="12832" width="4.42578125" style="433" bestFit="1" customWidth="1"/>
    <col min="12833" max="12835" width="8.42578125" style="433" bestFit="1" customWidth="1"/>
    <col min="12836" max="12836" width="10.28515625" style="433" customWidth="1"/>
    <col min="12837" max="12837" width="9.42578125" style="433" customWidth="1"/>
    <col min="12838" max="12838" width="9.28515625" style="433" bestFit="1" customWidth="1"/>
    <col min="12839" max="12839" width="9.5703125" style="433" customWidth="1"/>
    <col min="12840" max="12840" width="8.140625" style="433" customWidth="1"/>
    <col min="12841" max="12841" width="6" style="433" customWidth="1"/>
    <col min="12842" max="12842" width="12.7109375" style="433" customWidth="1"/>
    <col min="12843" max="12843" width="12.85546875" style="433" customWidth="1"/>
    <col min="12844" max="12844" width="15.28515625" style="433" customWidth="1"/>
    <col min="12845" max="12845" width="5.7109375" style="433" bestFit="1" customWidth="1"/>
    <col min="12846" max="12846" width="6.140625" style="433" bestFit="1" customWidth="1"/>
    <col min="12847" max="12847" width="7.5703125" style="433" bestFit="1" customWidth="1"/>
    <col min="12848" max="12849" width="12.7109375" style="433" bestFit="1" customWidth="1"/>
    <col min="12850" max="13056" width="11.42578125" style="433"/>
    <col min="13057" max="13057" width="6.42578125" style="433" customWidth="1"/>
    <col min="13058" max="13058" width="11.140625" style="433" bestFit="1" customWidth="1"/>
    <col min="13059" max="13059" width="19.140625" style="433" bestFit="1" customWidth="1"/>
    <col min="13060" max="13060" width="22.42578125" style="433" customWidth="1"/>
    <col min="13061" max="13061" width="9" style="433" customWidth="1"/>
    <col min="13062" max="13062" width="12.5703125" style="433" customWidth="1"/>
    <col min="13063" max="13063" width="20.85546875" style="433" customWidth="1"/>
    <col min="13064" max="13064" width="18.140625" style="433" customWidth="1"/>
    <col min="13065" max="13065" width="12.140625" style="433" customWidth="1"/>
    <col min="13066" max="13066" width="12.5703125" style="433" customWidth="1"/>
    <col min="13067" max="13067" width="12.42578125" style="433" customWidth="1"/>
    <col min="13068" max="13069" width="3.28515625" style="433" bestFit="1" customWidth="1"/>
    <col min="13070" max="13070" width="4.42578125" style="433" bestFit="1" customWidth="1"/>
    <col min="13071" max="13073" width="8.42578125" style="433" bestFit="1" customWidth="1"/>
    <col min="13074" max="13075" width="3.28515625" style="433" bestFit="1" customWidth="1"/>
    <col min="13076" max="13076" width="4.42578125" style="433" bestFit="1" customWidth="1"/>
    <col min="13077" max="13078" width="8.42578125" style="433" bestFit="1" customWidth="1"/>
    <col min="13079" max="13079" width="9.5703125" style="433" bestFit="1" customWidth="1"/>
    <col min="13080" max="13081" width="3.28515625" style="433" bestFit="1" customWidth="1"/>
    <col min="13082" max="13082" width="4.42578125" style="433" bestFit="1" customWidth="1"/>
    <col min="13083" max="13085" width="8.42578125" style="433" bestFit="1" customWidth="1"/>
    <col min="13086" max="13087" width="3.28515625" style="433" bestFit="1" customWidth="1"/>
    <col min="13088" max="13088" width="4.42578125" style="433" bestFit="1" customWidth="1"/>
    <col min="13089" max="13091" width="8.42578125" style="433" bestFit="1" customWidth="1"/>
    <col min="13092" max="13092" width="10.28515625" style="433" customWidth="1"/>
    <col min="13093" max="13093" width="9.42578125" style="433" customWidth="1"/>
    <col min="13094" max="13094" width="9.28515625" style="433" bestFit="1" customWidth="1"/>
    <col min="13095" max="13095" width="9.5703125" style="433" customWidth="1"/>
    <col min="13096" max="13096" width="8.140625" style="433" customWidth="1"/>
    <col min="13097" max="13097" width="6" style="433" customWidth="1"/>
    <col min="13098" max="13098" width="12.7109375" style="433" customWidth="1"/>
    <col min="13099" max="13099" width="12.85546875" style="433" customWidth="1"/>
    <col min="13100" max="13100" width="15.28515625" style="433" customWidth="1"/>
    <col min="13101" max="13101" width="5.7109375" style="433" bestFit="1" customWidth="1"/>
    <col min="13102" max="13102" width="6.140625" style="433" bestFit="1" customWidth="1"/>
    <col min="13103" max="13103" width="7.5703125" style="433" bestFit="1" customWidth="1"/>
    <col min="13104" max="13105" width="12.7109375" style="433" bestFit="1" customWidth="1"/>
    <col min="13106" max="13312" width="11.42578125" style="433"/>
    <col min="13313" max="13313" width="6.42578125" style="433" customWidth="1"/>
    <col min="13314" max="13314" width="11.140625" style="433" bestFit="1" customWidth="1"/>
    <col min="13315" max="13315" width="19.140625" style="433" bestFit="1" customWidth="1"/>
    <col min="13316" max="13316" width="22.42578125" style="433" customWidth="1"/>
    <col min="13317" max="13317" width="9" style="433" customWidth="1"/>
    <col min="13318" max="13318" width="12.5703125" style="433" customWidth="1"/>
    <col min="13319" max="13319" width="20.85546875" style="433" customWidth="1"/>
    <col min="13320" max="13320" width="18.140625" style="433" customWidth="1"/>
    <col min="13321" max="13321" width="12.140625" style="433" customWidth="1"/>
    <col min="13322" max="13322" width="12.5703125" style="433" customWidth="1"/>
    <col min="13323" max="13323" width="12.42578125" style="433" customWidth="1"/>
    <col min="13324" max="13325" width="3.28515625" style="433" bestFit="1" customWidth="1"/>
    <col min="13326" max="13326" width="4.42578125" style="433" bestFit="1" customWidth="1"/>
    <col min="13327" max="13329" width="8.42578125" style="433" bestFit="1" customWidth="1"/>
    <col min="13330" max="13331" width="3.28515625" style="433" bestFit="1" customWidth="1"/>
    <col min="13332" max="13332" width="4.42578125" style="433" bestFit="1" customWidth="1"/>
    <col min="13333" max="13334" width="8.42578125" style="433" bestFit="1" customWidth="1"/>
    <col min="13335" max="13335" width="9.5703125" style="433" bestFit="1" customWidth="1"/>
    <col min="13336" max="13337" width="3.28515625" style="433" bestFit="1" customWidth="1"/>
    <col min="13338" max="13338" width="4.42578125" style="433" bestFit="1" customWidth="1"/>
    <col min="13339" max="13341" width="8.42578125" style="433" bestFit="1" customWidth="1"/>
    <col min="13342" max="13343" width="3.28515625" style="433" bestFit="1" customWidth="1"/>
    <col min="13344" max="13344" width="4.42578125" style="433" bestFit="1" customWidth="1"/>
    <col min="13345" max="13347" width="8.42578125" style="433" bestFit="1" customWidth="1"/>
    <col min="13348" max="13348" width="10.28515625" style="433" customWidth="1"/>
    <col min="13349" max="13349" width="9.42578125" style="433" customWidth="1"/>
    <col min="13350" max="13350" width="9.28515625" style="433" bestFit="1" customWidth="1"/>
    <col min="13351" max="13351" width="9.5703125" style="433" customWidth="1"/>
    <col min="13352" max="13352" width="8.140625" style="433" customWidth="1"/>
    <col min="13353" max="13353" width="6" style="433" customWidth="1"/>
    <col min="13354" max="13354" width="12.7109375" style="433" customWidth="1"/>
    <col min="13355" max="13355" width="12.85546875" style="433" customWidth="1"/>
    <col min="13356" max="13356" width="15.28515625" style="433" customWidth="1"/>
    <col min="13357" max="13357" width="5.7109375" style="433" bestFit="1" customWidth="1"/>
    <col min="13358" max="13358" width="6.140625" style="433" bestFit="1" customWidth="1"/>
    <col min="13359" max="13359" width="7.5703125" style="433" bestFit="1" customWidth="1"/>
    <col min="13360" max="13361" width="12.7109375" style="433" bestFit="1" customWidth="1"/>
    <col min="13362" max="13568" width="11.42578125" style="433"/>
    <col min="13569" max="13569" width="6.42578125" style="433" customWidth="1"/>
    <col min="13570" max="13570" width="11.140625" style="433" bestFit="1" customWidth="1"/>
    <col min="13571" max="13571" width="19.140625" style="433" bestFit="1" customWidth="1"/>
    <col min="13572" max="13572" width="22.42578125" style="433" customWidth="1"/>
    <col min="13573" max="13573" width="9" style="433" customWidth="1"/>
    <col min="13574" max="13574" width="12.5703125" style="433" customWidth="1"/>
    <col min="13575" max="13575" width="20.85546875" style="433" customWidth="1"/>
    <col min="13576" max="13576" width="18.140625" style="433" customWidth="1"/>
    <col min="13577" max="13577" width="12.140625" style="433" customWidth="1"/>
    <col min="13578" max="13578" width="12.5703125" style="433" customWidth="1"/>
    <col min="13579" max="13579" width="12.42578125" style="433" customWidth="1"/>
    <col min="13580" max="13581" width="3.28515625" style="433" bestFit="1" customWidth="1"/>
    <col min="13582" max="13582" width="4.42578125" style="433" bestFit="1" customWidth="1"/>
    <col min="13583" max="13585" width="8.42578125" style="433" bestFit="1" customWidth="1"/>
    <col min="13586" max="13587" width="3.28515625" style="433" bestFit="1" customWidth="1"/>
    <col min="13588" max="13588" width="4.42578125" style="433" bestFit="1" customWidth="1"/>
    <col min="13589" max="13590" width="8.42578125" style="433" bestFit="1" customWidth="1"/>
    <col min="13591" max="13591" width="9.5703125" style="433" bestFit="1" customWidth="1"/>
    <col min="13592" max="13593" width="3.28515625" style="433" bestFit="1" customWidth="1"/>
    <col min="13594" max="13594" width="4.42578125" style="433" bestFit="1" customWidth="1"/>
    <col min="13595" max="13597" width="8.42578125" style="433" bestFit="1" customWidth="1"/>
    <col min="13598" max="13599" width="3.28515625" style="433" bestFit="1" customWidth="1"/>
    <col min="13600" max="13600" width="4.42578125" style="433" bestFit="1" customWidth="1"/>
    <col min="13601" max="13603" width="8.42578125" style="433" bestFit="1" customWidth="1"/>
    <col min="13604" max="13604" width="10.28515625" style="433" customWidth="1"/>
    <col min="13605" max="13605" width="9.42578125" style="433" customWidth="1"/>
    <col min="13606" max="13606" width="9.28515625" style="433" bestFit="1" customWidth="1"/>
    <col min="13607" max="13607" width="9.5703125" style="433" customWidth="1"/>
    <col min="13608" max="13608" width="8.140625" style="433" customWidth="1"/>
    <col min="13609" max="13609" width="6" style="433" customWidth="1"/>
    <col min="13610" max="13610" width="12.7109375" style="433" customWidth="1"/>
    <col min="13611" max="13611" width="12.85546875" style="433" customWidth="1"/>
    <col min="13612" max="13612" width="15.28515625" style="433" customWidth="1"/>
    <col min="13613" max="13613" width="5.7109375" style="433" bestFit="1" customWidth="1"/>
    <col min="13614" max="13614" width="6.140625" style="433" bestFit="1" customWidth="1"/>
    <col min="13615" max="13615" width="7.5703125" style="433" bestFit="1" customWidth="1"/>
    <col min="13616" max="13617" width="12.7109375" style="433" bestFit="1" customWidth="1"/>
    <col min="13618" max="13824" width="11.42578125" style="433"/>
    <col min="13825" max="13825" width="6.42578125" style="433" customWidth="1"/>
    <col min="13826" max="13826" width="11.140625" style="433" bestFit="1" customWidth="1"/>
    <col min="13827" max="13827" width="19.140625" style="433" bestFit="1" customWidth="1"/>
    <col min="13828" max="13828" width="22.42578125" style="433" customWidth="1"/>
    <col min="13829" max="13829" width="9" style="433" customWidth="1"/>
    <col min="13830" max="13830" width="12.5703125" style="433" customWidth="1"/>
    <col min="13831" max="13831" width="20.85546875" style="433" customWidth="1"/>
    <col min="13832" max="13832" width="18.140625" style="433" customWidth="1"/>
    <col min="13833" max="13833" width="12.140625" style="433" customWidth="1"/>
    <col min="13834" max="13834" width="12.5703125" style="433" customWidth="1"/>
    <col min="13835" max="13835" width="12.42578125" style="433" customWidth="1"/>
    <col min="13836" max="13837" width="3.28515625" style="433" bestFit="1" customWidth="1"/>
    <col min="13838" max="13838" width="4.42578125" style="433" bestFit="1" customWidth="1"/>
    <col min="13839" max="13841" width="8.42578125" style="433" bestFit="1" customWidth="1"/>
    <col min="13842" max="13843" width="3.28515625" style="433" bestFit="1" customWidth="1"/>
    <col min="13844" max="13844" width="4.42578125" style="433" bestFit="1" customWidth="1"/>
    <col min="13845" max="13846" width="8.42578125" style="433" bestFit="1" customWidth="1"/>
    <col min="13847" max="13847" width="9.5703125" style="433" bestFit="1" customWidth="1"/>
    <col min="13848" max="13849" width="3.28515625" style="433" bestFit="1" customWidth="1"/>
    <col min="13850" max="13850" width="4.42578125" style="433" bestFit="1" customWidth="1"/>
    <col min="13851" max="13853" width="8.42578125" style="433" bestFit="1" customWidth="1"/>
    <col min="13854" max="13855" width="3.28515625" style="433" bestFit="1" customWidth="1"/>
    <col min="13856" max="13856" width="4.42578125" style="433" bestFit="1" customWidth="1"/>
    <col min="13857" max="13859" width="8.42578125" style="433" bestFit="1" customWidth="1"/>
    <col min="13860" max="13860" width="10.28515625" style="433" customWidth="1"/>
    <col min="13861" max="13861" width="9.42578125" style="433" customWidth="1"/>
    <col min="13862" max="13862" width="9.28515625" style="433" bestFit="1" customWidth="1"/>
    <col min="13863" max="13863" width="9.5703125" style="433" customWidth="1"/>
    <col min="13864" max="13864" width="8.140625" style="433" customWidth="1"/>
    <col min="13865" max="13865" width="6" style="433" customWidth="1"/>
    <col min="13866" max="13866" width="12.7109375" style="433" customWidth="1"/>
    <col min="13867" max="13867" width="12.85546875" style="433" customWidth="1"/>
    <col min="13868" max="13868" width="15.28515625" style="433" customWidth="1"/>
    <col min="13869" max="13869" width="5.7109375" style="433" bestFit="1" customWidth="1"/>
    <col min="13870" max="13870" width="6.140625" style="433" bestFit="1" customWidth="1"/>
    <col min="13871" max="13871" width="7.5703125" style="433" bestFit="1" customWidth="1"/>
    <col min="13872" max="13873" width="12.7109375" style="433" bestFit="1" customWidth="1"/>
    <col min="13874" max="14080" width="11.42578125" style="433"/>
    <col min="14081" max="14081" width="6.42578125" style="433" customWidth="1"/>
    <col min="14082" max="14082" width="11.140625" style="433" bestFit="1" customWidth="1"/>
    <col min="14083" max="14083" width="19.140625" style="433" bestFit="1" customWidth="1"/>
    <col min="14084" max="14084" width="22.42578125" style="433" customWidth="1"/>
    <col min="14085" max="14085" width="9" style="433" customWidth="1"/>
    <col min="14086" max="14086" width="12.5703125" style="433" customWidth="1"/>
    <col min="14087" max="14087" width="20.85546875" style="433" customWidth="1"/>
    <col min="14088" max="14088" width="18.140625" style="433" customWidth="1"/>
    <col min="14089" max="14089" width="12.140625" style="433" customWidth="1"/>
    <col min="14090" max="14090" width="12.5703125" style="433" customWidth="1"/>
    <col min="14091" max="14091" width="12.42578125" style="433" customWidth="1"/>
    <col min="14092" max="14093" width="3.28515625" style="433" bestFit="1" customWidth="1"/>
    <col min="14094" max="14094" width="4.42578125" style="433" bestFit="1" customWidth="1"/>
    <col min="14095" max="14097" width="8.42578125" style="433" bestFit="1" customWidth="1"/>
    <col min="14098" max="14099" width="3.28515625" style="433" bestFit="1" customWidth="1"/>
    <col min="14100" max="14100" width="4.42578125" style="433" bestFit="1" customWidth="1"/>
    <col min="14101" max="14102" width="8.42578125" style="433" bestFit="1" customWidth="1"/>
    <col min="14103" max="14103" width="9.5703125" style="433" bestFit="1" customWidth="1"/>
    <col min="14104" max="14105" width="3.28515625" style="433" bestFit="1" customWidth="1"/>
    <col min="14106" max="14106" width="4.42578125" style="433" bestFit="1" customWidth="1"/>
    <col min="14107" max="14109" width="8.42578125" style="433" bestFit="1" customWidth="1"/>
    <col min="14110" max="14111" width="3.28515625" style="433" bestFit="1" customWidth="1"/>
    <col min="14112" max="14112" width="4.42578125" style="433" bestFit="1" customWidth="1"/>
    <col min="14113" max="14115" width="8.42578125" style="433" bestFit="1" customWidth="1"/>
    <col min="14116" max="14116" width="10.28515625" style="433" customWidth="1"/>
    <col min="14117" max="14117" width="9.42578125" style="433" customWidth="1"/>
    <col min="14118" max="14118" width="9.28515625" style="433" bestFit="1" customWidth="1"/>
    <col min="14119" max="14119" width="9.5703125" style="433" customWidth="1"/>
    <col min="14120" max="14120" width="8.140625" style="433" customWidth="1"/>
    <col min="14121" max="14121" width="6" style="433" customWidth="1"/>
    <col min="14122" max="14122" width="12.7109375" style="433" customWidth="1"/>
    <col min="14123" max="14123" width="12.85546875" style="433" customWidth="1"/>
    <col min="14124" max="14124" width="15.28515625" style="433" customWidth="1"/>
    <col min="14125" max="14125" width="5.7109375" style="433" bestFit="1" customWidth="1"/>
    <col min="14126" max="14126" width="6.140625" style="433" bestFit="1" customWidth="1"/>
    <col min="14127" max="14127" width="7.5703125" style="433" bestFit="1" customWidth="1"/>
    <col min="14128" max="14129" width="12.7109375" style="433" bestFit="1" customWidth="1"/>
    <col min="14130" max="14336" width="11.42578125" style="433"/>
    <col min="14337" max="14337" width="6.42578125" style="433" customWidth="1"/>
    <col min="14338" max="14338" width="11.140625" style="433" bestFit="1" customWidth="1"/>
    <col min="14339" max="14339" width="19.140625" style="433" bestFit="1" customWidth="1"/>
    <col min="14340" max="14340" width="22.42578125" style="433" customWidth="1"/>
    <col min="14341" max="14341" width="9" style="433" customWidth="1"/>
    <col min="14342" max="14342" width="12.5703125" style="433" customWidth="1"/>
    <col min="14343" max="14343" width="20.85546875" style="433" customWidth="1"/>
    <col min="14344" max="14344" width="18.140625" style="433" customWidth="1"/>
    <col min="14345" max="14345" width="12.140625" style="433" customWidth="1"/>
    <col min="14346" max="14346" width="12.5703125" style="433" customWidth="1"/>
    <col min="14347" max="14347" width="12.42578125" style="433" customWidth="1"/>
    <col min="14348" max="14349" width="3.28515625" style="433" bestFit="1" customWidth="1"/>
    <col min="14350" max="14350" width="4.42578125" style="433" bestFit="1" customWidth="1"/>
    <col min="14351" max="14353" width="8.42578125" style="433" bestFit="1" customWidth="1"/>
    <col min="14354" max="14355" width="3.28515625" style="433" bestFit="1" customWidth="1"/>
    <col min="14356" max="14356" width="4.42578125" style="433" bestFit="1" customWidth="1"/>
    <col min="14357" max="14358" width="8.42578125" style="433" bestFit="1" customWidth="1"/>
    <col min="14359" max="14359" width="9.5703125" style="433" bestFit="1" customWidth="1"/>
    <col min="14360" max="14361" width="3.28515625" style="433" bestFit="1" customWidth="1"/>
    <col min="14362" max="14362" width="4.42578125" style="433" bestFit="1" customWidth="1"/>
    <col min="14363" max="14365" width="8.42578125" style="433" bestFit="1" customWidth="1"/>
    <col min="14366" max="14367" width="3.28515625" style="433" bestFit="1" customWidth="1"/>
    <col min="14368" max="14368" width="4.42578125" style="433" bestFit="1" customWidth="1"/>
    <col min="14369" max="14371" width="8.42578125" style="433" bestFit="1" customWidth="1"/>
    <col min="14372" max="14372" width="10.28515625" style="433" customWidth="1"/>
    <col min="14373" max="14373" width="9.42578125" style="433" customWidth="1"/>
    <col min="14374" max="14374" width="9.28515625" style="433" bestFit="1" customWidth="1"/>
    <col min="14375" max="14375" width="9.5703125" style="433" customWidth="1"/>
    <col min="14376" max="14376" width="8.140625" style="433" customWidth="1"/>
    <col min="14377" max="14377" width="6" style="433" customWidth="1"/>
    <col min="14378" max="14378" width="12.7109375" style="433" customWidth="1"/>
    <col min="14379" max="14379" width="12.85546875" style="433" customWidth="1"/>
    <col min="14380" max="14380" width="15.28515625" style="433" customWidth="1"/>
    <col min="14381" max="14381" width="5.7109375" style="433" bestFit="1" customWidth="1"/>
    <col min="14382" max="14382" width="6.140625" style="433" bestFit="1" customWidth="1"/>
    <col min="14383" max="14383" width="7.5703125" style="433" bestFit="1" customWidth="1"/>
    <col min="14384" max="14385" width="12.7109375" style="433" bestFit="1" customWidth="1"/>
    <col min="14386" max="14592" width="11.42578125" style="433"/>
    <col min="14593" max="14593" width="6.42578125" style="433" customWidth="1"/>
    <col min="14594" max="14594" width="11.140625" style="433" bestFit="1" customWidth="1"/>
    <col min="14595" max="14595" width="19.140625" style="433" bestFit="1" customWidth="1"/>
    <col min="14596" max="14596" width="22.42578125" style="433" customWidth="1"/>
    <col min="14597" max="14597" width="9" style="433" customWidth="1"/>
    <col min="14598" max="14598" width="12.5703125" style="433" customWidth="1"/>
    <col min="14599" max="14599" width="20.85546875" style="433" customWidth="1"/>
    <col min="14600" max="14600" width="18.140625" style="433" customWidth="1"/>
    <col min="14601" max="14601" width="12.140625" style="433" customWidth="1"/>
    <col min="14602" max="14602" width="12.5703125" style="433" customWidth="1"/>
    <col min="14603" max="14603" width="12.42578125" style="433" customWidth="1"/>
    <col min="14604" max="14605" width="3.28515625" style="433" bestFit="1" customWidth="1"/>
    <col min="14606" max="14606" width="4.42578125" style="433" bestFit="1" customWidth="1"/>
    <col min="14607" max="14609" width="8.42578125" style="433" bestFit="1" customWidth="1"/>
    <col min="14610" max="14611" width="3.28515625" style="433" bestFit="1" customWidth="1"/>
    <col min="14612" max="14612" width="4.42578125" style="433" bestFit="1" customWidth="1"/>
    <col min="14613" max="14614" width="8.42578125" style="433" bestFit="1" customWidth="1"/>
    <col min="14615" max="14615" width="9.5703125" style="433" bestFit="1" customWidth="1"/>
    <col min="14616" max="14617" width="3.28515625" style="433" bestFit="1" customWidth="1"/>
    <col min="14618" max="14618" width="4.42578125" style="433" bestFit="1" customWidth="1"/>
    <col min="14619" max="14621" width="8.42578125" style="433" bestFit="1" customWidth="1"/>
    <col min="14622" max="14623" width="3.28515625" style="433" bestFit="1" customWidth="1"/>
    <col min="14624" max="14624" width="4.42578125" style="433" bestFit="1" customWidth="1"/>
    <col min="14625" max="14627" width="8.42578125" style="433" bestFit="1" customWidth="1"/>
    <col min="14628" max="14628" width="10.28515625" style="433" customWidth="1"/>
    <col min="14629" max="14629" width="9.42578125" style="433" customWidth="1"/>
    <col min="14630" max="14630" width="9.28515625" style="433" bestFit="1" customWidth="1"/>
    <col min="14631" max="14631" width="9.5703125" style="433" customWidth="1"/>
    <col min="14632" max="14632" width="8.140625" style="433" customWidth="1"/>
    <col min="14633" max="14633" width="6" style="433" customWidth="1"/>
    <col min="14634" max="14634" width="12.7109375" style="433" customWidth="1"/>
    <col min="14635" max="14635" width="12.85546875" style="433" customWidth="1"/>
    <col min="14636" max="14636" width="15.28515625" style="433" customWidth="1"/>
    <col min="14637" max="14637" width="5.7109375" style="433" bestFit="1" customWidth="1"/>
    <col min="14638" max="14638" width="6.140625" style="433" bestFit="1" customWidth="1"/>
    <col min="14639" max="14639" width="7.5703125" style="433" bestFit="1" customWidth="1"/>
    <col min="14640" max="14641" width="12.7109375" style="433" bestFit="1" customWidth="1"/>
    <col min="14642" max="14848" width="11.42578125" style="433"/>
    <col min="14849" max="14849" width="6.42578125" style="433" customWidth="1"/>
    <col min="14850" max="14850" width="11.140625" style="433" bestFit="1" customWidth="1"/>
    <col min="14851" max="14851" width="19.140625" style="433" bestFit="1" customWidth="1"/>
    <col min="14852" max="14852" width="22.42578125" style="433" customWidth="1"/>
    <col min="14853" max="14853" width="9" style="433" customWidth="1"/>
    <col min="14854" max="14854" width="12.5703125" style="433" customWidth="1"/>
    <col min="14855" max="14855" width="20.85546875" style="433" customWidth="1"/>
    <col min="14856" max="14856" width="18.140625" style="433" customWidth="1"/>
    <col min="14857" max="14857" width="12.140625" style="433" customWidth="1"/>
    <col min="14858" max="14858" width="12.5703125" style="433" customWidth="1"/>
    <col min="14859" max="14859" width="12.42578125" style="433" customWidth="1"/>
    <col min="14860" max="14861" width="3.28515625" style="433" bestFit="1" customWidth="1"/>
    <col min="14862" max="14862" width="4.42578125" style="433" bestFit="1" customWidth="1"/>
    <col min="14863" max="14865" width="8.42578125" style="433" bestFit="1" customWidth="1"/>
    <col min="14866" max="14867" width="3.28515625" style="433" bestFit="1" customWidth="1"/>
    <col min="14868" max="14868" width="4.42578125" style="433" bestFit="1" customWidth="1"/>
    <col min="14869" max="14870" width="8.42578125" style="433" bestFit="1" customWidth="1"/>
    <col min="14871" max="14871" width="9.5703125" style="433" bestFit="1" customWidth="1"/>
    <col min="14872" max="14873" width="3.28515625" style="433" bestFit="1" customWidth="1"/>
    <col min="14874" max="14874" width="4.42578125" style="433" bestFit="1" customWidth="1"/>
    <col min="14875" max="14877" width="8.42578125" style="433" bestFit="1" customWidth="1"/>
    <col min="14878" max="14879" width="3.28515625" style="433" bestFit="1" customWidth="1"/>
    <col min="14880" max="14880" width="4.42578125" style="433" bestFit="1" customWidth="1"/>
    <col min="14881" max="14883" width="8.42578125" style="433" bestFit="1" customWidth="1"/>
    <col min="14884" max="14884" width="10.28515625" style="433" customWidth="1"/>
    <col min="14885" max="14885" width="9.42578125" style="433" customWidth="1"/>
    <col min="14886" max="14886" width="9.28515625" style="433" bestFit="1" customWidth="1"/>
    <col min="14887" max="14887" width="9.5703125" style="433" customWidth="1"/>
    <col min="14888" max="14888" width="8.140625" style="433" customWidth="1"/>
    <col min="14889" max="14889" width="6" style="433" customWidth="1"/>
    <col min="14890" max="14890" width="12.7109375" style="433" customWidth="1"/>
    <col min="14891" max="14891" width="12.85546875" style="433" customWidth="1"/>
    <col min="14892" max="14892" width="15.28515625" style="433" customWidth="1"/>
    <col min="14893" max="14893" width="5.7109375" style="433" bestFit="1" customWidth="1"/>
    <col min="14894" max="14894" width="6.140625" style="433" bestFit="1" customWidth="1"/>
    <col min="14895" max="14895" width="7.5703125" style="433" bestFit="1" customWidth="1"/>
    <col min="14896" max="14897" width="12.7109375" style="433" bestFit="1" customWidth="1"/>
    <col min="14898" max="15104" width="11.42578125" style="433"/>
    <col min="15105" max="15105" width="6.42578125" style="433" customWidth="1"/>
    <col min="15106" max="15106" width="11.140625" style="433" bestFit="1" customWidth="1"/>
    <col min="15107" max="15107" width="19.140625" style="433" bestFit="1" customWidth="1"/>
    <col min="15108" max="15108" width="22.42578125" style="433" customWidth="1"/>
    <col min="15109" max="15109" width="9" style="433" customWidth="1"/>
    <col min="15110" max="15110" width="12.5703125" style="433" customWidth="1"/>
    <col min="15111" max="15111" width="20.85546875" style="433" customWidth="1"/>
    <col min="15112" max="15112" width="18.140625" style="433" customWidth="1"/>
    <col min="15113" max="15113" width="12.140625" style="433" customWidth="1"/>
    <col min="15114" max="15114" width="12.5703125" style="433" customWidth="1"/>
    <col min="15115" max="15115" width="12.42578125" style="433" customWidth="1"/>
    <col min="15116" max="15117" width="3.28515625" style="433" bestFit="1" customWidth="1"/>
    <col min="15118" max="15118" width="4.42578125" style="433" bestFit="1" customWidth="1"/>
    <col min="15119" max="15121" width="8.42578125" style="433" bestFit="1" customWidth="1"/>
    <col min="15122" max="15123" width="3.28515625" style="433" bestFit="1" customWidth="1"/>
    <col min="15124" max="15124" width="4.42578125" style="433" bestFit="1" customWidth="1"/>
    <col min="15125" max="15126" width="8.42578125" style="433" bestFit="1" customWidth="1"/>
    <col min="15127" max="15127" width="9.5703125" style="433" bestFit="1" customWidth="1"/>
    <col min="15128" max="15129" width="3.28515625" style="433" bestFit="1" customWidth="1"/>
    <col min="15130" max="15130" width="4.42578125" style="433" bestFit="1" customWidth="1"/>
    <col min="15131" max="15133" width="8.42578125" style="433" bestFit="1" customWidth="1"/>
    <col min="15134" max="15135" width="3.28515625" style="433" bestFit="1" customWidth="1"/>
    <col min="15136" max="15136" width="4.42578125" style="433" bestFit="1" customWidth="1"/>
    <col min="15137" max="15139" width="8.42578125" style="433" bestFit="1" customWidth="1"/>
    <col min="15140" max="15140" width="10.28515625" style="433" customWidth="1"/>
    <col min="15141" max="15141" width="9.42578125" style="433" customWidth="1"/>
    <col min="15142" max="15142" width="9.28515625" style="433" bestFit="1" customWidth="1"/>
    <col min="15143" max="15143" width="9.5703125" style="433" customWidth="1"/>
    <col min="15144" max="15144" width="8.140625" style="433" customWidth="1"/>
    <col min="15145" max="15145" width="6" style="433" customWidth="1"/>
    <col min="15146" max="15146" width="12.7109375" style="433" customWidth="1"/>
    <col min="15147" max="15147" width="12.85546875" style="433" customWidth="1"/>
    <col min="15148" max="15148" width="15.28515625" style="433" customWidth="1"/>
    <col min="15149" max="15149" width="5.7109375" style="433" bestFit="1" customWidth="1"/>
    <col min="15150" max="15150" width="6.140625" style="433" bestFit="1" customWidth="1"/>
    <col min="15151" max="15151" width="7.5703125" style="433" bestFit="1" customWidth="1"/>
    <col min="15152" max="15153" width="12.7109375" style="433" bestFit="1" customWidth="1"/>
    <col min="15154" max="15360" width="11.42578125" style="433"/>
    <col min="15361" max="15361" width="6.42578125" style="433" customWidth="1"/>
    <col min="15362" max="15362" width="11.140625" style="433" bestFit="1" customWidth="1"/>
    <col min="15363" max="15363" width="19.140625" style="433" bestFit="1" customWidth="1"/>
    <col min="15364" max="15364" width="22.42578125" style="433" customWidth="1"/>
    <col min="15365" max="15365" width="9" style="433" customWidth="1"/>
    <col min="15366" max="15366" width="12.5703125" style="433" customWidth="1"/>
    <col min="15367" max="15367" width="20.85546875" style="433" customWidth="1"/>
    <col min="15368" max="15368" width="18.140625" style="433" customWidth="1"/>
    <col min="15369" max="15369" width="12.140625" style="433" customWidth="1"/>
    <col min="15370" max="15370" width="12.5703125" style="433" customWidth="1"/>
    <col min="15371" max="15371" width="12.42578125" style="433" customWidth="1"/>
    <col min="15372" max="15373" width="3.28515625" style="433" bestFit="1" customWidth="1"/>
    <col min="15374" max="15374" width="4.42578125" style="433" bestFit="1" customWidth="1"/>
    <col min="15375" max="15377" width="8.42578125" style="433" bestFit="1" customWidth="1"/>
    <col min="15378" max="15379" width="3.28515625" style="433" bestFit="1" customWidth="1"/>
    <col min="15380" max="15380" width="4.42578125" style="433" bestFit="1" customWidth="1"/>
    <col min="15381" max="15382" width="8.42578125" style="433" bestFit="1" customWidth="1"/>
    <col min="15383" max="15383" width="9.5703125" style="433" bestFit="1" customWidth="1"/>
    <col min="15384" max="15385" width="3.28515625" style="433" bestFit="1" customWidth="1"/>
    <col min="15386" max="15386" width="4.42578125" style="433" bestFit="1" customWidth="1"/>
    <col min="15387" max="15389" width="8.42578125" style="433" bestFit="1" customWidth="1"/>
    <col min="15390" max="15391" width="3.28515625" style="433" bestFit="1" customWidth="1"/>
    <col min="15392" max="15392" width="4.42578125" style="433" bestFit="1" customWidth="1"/>
    <col min="15393" max="15395" width="8.42578125" style="433" bestFit="1" customWidth="1"/>
    <col min="15396" max="15396" width="10.28515625" style="433" customWidth="1"/>
    <col min="15397" max="15397" width="9.42578125" style="433" customWidth="1"/>
    <col min="15398" max="15398" width="9.28515625" style="433" bestFit="1" customWidth="1"/>
    <col min="15399" max="15399" width="9.5703125" style="433" customWidth="1"/>
    <col min="15400" max="15400" width="8.140625" style="433" customWidth="1"/>
    <col min="15401" max="15401" width="6" style="433" customWidth="1"/>
    <col min="15402" max="15402" width="12.7109375" style="433" customWidth="1"/>
    <col min="15403" max="15403" width="12.85546875" style="433" customWidth="1"/>
    <col min="15404" max="15404" width="15.28515625" style="433" customWidth="1"/>
    <col min="15405" max="15405" width="5.7109375" style="433" bestFit="1" customWidth="1"/>
    <col min="15406" max="15406" width="6.140625" style="433" bestFit="1" customWidth="1"/>
    <col min="15407" max="15407" width="7.5703125" style="433" bestFit="1" customWidth="1"/>
    <col min="15408" max="15409" width="12.7109375" style="433" bestFit="1" customWidth="1"/>
    <col min="15410" max="15616" width="11.42578125" style="433"/>
    <col min="15617" max="15617" width="6.42578125" style="433" customWidth="1"/>
    <col min="15618" max="15618" width="11.140625" style="433" bestFit="1" customWidth="1"/>
    <col min="15619" max="15619" width="19.140625" style="433" bestFit="1" customWidth="1"/>
    <col min="15620" max="15620" width="22.42578125" style="433" customWidth="1"/>
    <col min="15621" max="15621" width="9" style="433" customWidth="1"/>
    <col min="15622" max="15622" width="12.5703125" style="433" customWidth="1"/>
    <col min="15623" max="15623" width="20.85546875" style="433" customWidth="1"/>
    <col min="15624" max="15624" width="18.140625" style="433" customWidth="1"/>
    <col min="15625" max="15625" width="12.140625" style="433" customWidth="1"/>
    <col min="15626" max="15626" width="12.5703125" style="433" customWidth="1"/>
    <col min="15627" max="15627" width="12.42578125" style="433" customWidth="1"/>
    <col min="15628" max="15629" width="3.28515625" style="433" bestFit="1" customWidth="1"/>
    <col min="15630" max="15630" width="4.42578125" style="433" bestFit="1" customWidth="1"/>
    <col min="15631" max="15633" width="8.42578125" style="433" bestFit="1" customWidth="1"/>
    <col min="15634" max="15635" width="3.28515625" style="433" bestFit="1" customWidth="1"/>
    <col min="15636" max="15636" width="4.42578125" style="433" bestFit="1" customWidth="1"/>
    <col min="15637" max="15638" width="8.42578125" style="433" bestFit="1" customWidth="1"/>
    <col min="15639" max="15639" width="9.5703125" style="433" bestFit="1" customWidth="1"/>
    <col min="15640" max="15641" width="3.28515625" style="433" bestFit="1" customWidth="1"/>
    <col min="15642" max="15642" width="4.42578125" style="433" bestFit="1" customWidth="1"/>
    <col min="15643" max="15645" width="8.42578125" style="433" bestFit="1" customWidth="1"/>
    <col min="15646" max="15647" width="3.28515625" style="433" bestFit="1" customWidth="1"/>
    <col min="15648" max="15648" width="4.42578125" style="433" bestFit="1" customWidth="1"/>
    <col min="15649" max="15651" width="8.42578125" style="433" bestFit="1" customWidth="1"/>
    <col min="15652" max="15652" width="10.28515625" style="433" customWidth="1"/>
    <col min="15653" max="15653" width="9.42578125" style="433" customWidth="1"/>
    <col min="15654" max="15654" width="9.28515625" style="433" bestFit="1" customWidth="1"/>
    <col min="15655" max="15655" width="9.5703125" style="433" customWidth="1"/>
    <col min="15656" max="15656" width="8.140625" style="433" customWidth="1"/>
    <col min="15657" max="15657" width="6" style="433" customWidth="1"/>
    <col min="15658" max="15658" width="12.7109375" style="433" customWidth="1"/>
    <col min="15659" max="15659" width="12.85546875" style="433" customWidth="1"/>
    <col min="15660" max="15660" width="15.28515625" style="433" customWidth="1"/>
    <col min="15661" max="15661" width="5.7109375" style="433" bestFit="1" customWidth="1"/>
    <col min="15662" max="15662" width="6.140625" style="433" bestFit="1" customWidth="1"/>
    <col min="15663" max="15663" width="7.5703125" style="433" bestFit="1" customWidth="1"/>
    <col min="15664" max="15665" width="12.7109375" style="433" bestFit="1" customWidth="1"/>
    <col min="15666" max="15872" width="11.42578125" style="433"/>
    <col min="15873" max="15873" width="6.42578125" style="433" customWidth="1"/>
    <col min="15874" max="15874" width="11.140625" style="433" bestFit="1" customWidth="1"/>
    <col min="15875" max="15875" width="19.140625" style="433" bestFit="1" customWidth="1"/>
    <col min="15876" max="15876" width="22.42578125" style="433" customWidth="1"/>
    <col min="15877" max="15877" width="9" style="433" customWidth="1"/>
    <col min="15878" max="15878" width="12.5703125" style="433" customWidth="1"/>
    <col min="15879" max="15879" width="20.85546875" style="433" customWidth="1"/>
    <col min="15880" max="15880" width="18.140625" style="433" customWidth="1"/>
    <col min="15881" max="15881" width="12.140625" style="433" customWidth="1"/>
    <col min="15882" max="15882" width="12.5703125" style="433" customWidth="1"/>
    <col min="15883" max="15883" width="12.42578125" style="433" customWidth="1"/>
    <col min="15884" max="15885" width="3.28515625" style="433" bestFit="1" customWidth="1"/>
    <col min="15886" max="15886" width="4.42578125" style="433" bestFit="1" customWidth="1"/>
    <col min="15887" max="15889" width="8.42578125" style="433" bestFit="1" customWidth="1"/>
    <col min="15890" max="15891" width="3.28515625" style="433" bestFit="1" customWidth="1"/>
    <col min="15892" max="15892" width="4.42578125" style="433" bestFit="1" customWidth="1"/>
    <col min="15893" max="15894" width="8.42578125" style="433" bestFit="1" customWidth="1"/>
    <col min="15895" max="15895" width="9.5703125" style="433" bestFit="1" customWidth="1"/>
    <col min="15896" max="15897" width="3.28515625" style="433" bestFit="1" customWidth="1"/>
    <col min="15898" max="15898" width="4.42578125" style="433" bestFit="1" customWidth="1"/>
    <col min="15899" max="15901" width="8.42578125" style="433" bestFit="1" customWidth="1"/>
    <col min="15902" max="15903" width="3.28515625" style="433" bestFit="1" customWidth="1"/>
    <col min="15904" max="15904" width="4.42578125" style="433" bestFit="1" customWidth="1"/>
    <col min="15905" max="15907" width="8.42578125" style="433" bestFit="1" customWidth="1"/>
    <col min="15908" max="15908" width="10.28515625" style="433" customWidth="1"/>
    <col min="15909" max="15909" width="9.42578125" style="433" customWidth="1"/>
    <col min="15910" max="15910" width="9.28515625" style="433" bestFit="1" customWidth="1"/>
    <col min="15911" max="15911" width="9.5703125" style="433" customWidth="1"/>
    <col min="15912" max="15912" width="8.140625" style="433" customWidth="1"/>
    <col min="15913" max="15913" width="6" style="433" customWidth="1"/>
    <col min="15914" max="15914" width="12.7109375" style="433" customWidth="1"/>
    <col min="15915" max="15915" width="12.85546875" style="433" customWidth="1"/>
    <col min="15916" max="15916" width="15.28515625" style="433" customWidth="1"/>
    <col min="15917" max="15917" width="5.7109375" style="433" bestFit="1" customWidth="1"/>
    <col min="15918" max="15918" width="6.140625" style="433" bestFit="1" customWidth="1"/>
    <col min="15919" max="15919" width="7.5703125" style="433" bestFit="1" customWidth="1"/>
    <col min="15920" max="15921" width="12.7109375" style="433" bestFit="1" customWidth="1"/>
    <col min="15922" max="16128" width="11.42578125" style="433"/>
    <col min="16129" max="16129" width="6.42578125" style="433" customWidth="1"/>
    <col min="16130" max="16130" width="11.140625" style="433" bestFit="1" customWidth="1"/>
    <col min="16131" max="16131" width="19.140625" style="433" bestFit="1" customWidth="1"/>
    <col min="16132" max="16132" width="22.42578125" style="433" customWidth="1"/>
    <col min="16133" max="16133" width="9" style="433" customWidth="1"/>
    <col min="16134" max="16134" width="12.5703125" style="433" customWidth="1"/>
    <col min="16135" max="16135" width="20.85546875" style="433" customWidth="1"/>
    <col min="16136" max="16136" width="18.140625" style="433" customWidth="1"/>
    <col min="16137" max="16137" width="12.140625" style="433" customWidth="1"/>
    <col min="16138" max="16138" width="12.5703125" style="433" customWidth="1"/>
    <col min="16139" max="16139" width="12.42578125" style="433" customWidth="1"/>
    <col min="16140" max="16141" width="3.28515625" style="433" bestFit="1" customWidth="1"/>
    <col min="16142" max="16142" width="4.42578125" style="433" bestFit="1" customWidth="1"/>
    <col min="16143" max="16145" width="8.42578125" style="433" bestFit="1" customWidth="1"/>
    <col min="16146" max="16147" width="3.28515625" style="433" bestFit="1" customWidth="1"/>
    <col min="16148" max="16148" width="4.42578125" style="433" bestFit="1" customWidth="1"/>
    <col min="16149" max="16150" width="8.42578125" style="433" bestFit="1" customWidth="1"/>
    <col min="16151" max="16151" width="9.5703125" style="433" bestFit="1" customWidth="1"/>
    <col min="16152" max="16153" width="3.28515625" style="433" bestFit="1" customWidth="1"/>
    <col min="16154" max="16154" width="4.42578125" style="433" bestFit="1" customWidth="1"/>
    <col min="16155" max="16157" width="8.42578125" style="433" bestFit="1" customWidth="1"/>
    <col min="16158" max="16159" width="3.28515625" style="433" bestFit="1" customWidth="1"/>
    <col min="16160" max="16160" width="4.42578125" style="433" bestFit="1" customWidth="1"/>
    <col min="16161" max="16163" width="8.42578125" style="433" bestFit="1" customWidth="1"/>
    <col min="16164" max="16164" width="10.28515625" style="433" customWidth="1"/>
    <col min="16165" max="16165" width="9.42578125" style="433" customWidth="1"/>
    <col min="16166" max="16166" width="9.28515625" style="433" bestFit="1" customWidth="1"/>
    <col min="16167" max="16167" width="9.5703125" style="433" customWidth="1"/>
    <col min="16168" max="16168" width="8.140625" style="433" customWidth="1"/>
    <col min="16169" max="16169" width="6" style="433" customWidth="1"/>
    <col min="16170" max="16170" width="12.7109375" style="433" customWidth="1"/>
    <col min="16171" max="16171" width="12.85546875" style="433" customWidth="1"/>
    <col min="16172" max="16172" width="15.28515625" style="433" customWidth="1"/>
    <col min="16173" max="16173" width="5.7109375" style="433" bestFit="1" customWidth="1"/>
    <col min="16174" max="16174" width="6.140625" style="433" bestFit="1" customWidth="1"/>
    <col min="16175" max="16175" width="7.5703125" style="433" bestFit="1" customWidth="1"/>
    <col min="16176" max="16177" width="12.7109375" style="433" bestFit="1" customWidth="1"/>
    <col min="16178" max="16384" width="11.42578125" style="433"/>
  </cols>
  <sheetData>
    <row r="1" spans="1:72">
      <c r="A1" s="871" t="s">
        <v>0</v>
      </c>
      <c r="B1" s="871"/>
      <c r="C1" s="871"/>
      <c r="D1" s="871"/>
      <c r="E1" s="871"/>
      <c r="F1" s="871"/>
      <c r="G1" s="871"/>
      <c r="H1" s="871"/>
      <c r="I1" s="871"/>
      <c r="J1" s="871"/>
      <c r="K1" s="871"/>
      <c r="L1" s="871"/>
      <c r="M1" s="871"/>
      <c r="N1" s="871"/>
      <c r="O1" s="871"/>
      <c r="P1" s="871"/>
      <c r="Q1" s="871"/>
      <c r="R1" s="871"/>
      <c r="S1" s="871"/>
      <c r="T1" s="871"/>
      <c r="U1" s="871"/>
      <c r="V1" s="871"/>
      <c r="W1" s="871"/>
      <c r="X1" s="871"/>
      <c r="Y1" s="871"/>
      <c r="Z1" s="871"/>
      <c r="AA1" s="871"/>
      <c r="AB1" s="871"/>
      <c r="AC1" s="871"/>
      <c r="AD1" s="871"/>
      <c r="AE1" s="871"/>
      <c r="AF1" s="871"/>
      <c r="AG1" s="871"/>
      <c r="AH1" s="871"/>
      <c r="AI1" s="871"/>
      <c r="AJ1" s="871"/>
      <c r="AK1" s="871"/>
      <c r="AL1" s="871"/>
      <c r="AM1" s="871"/>
      <c r="AN1" s="871"/>
      <c r="AO1" s="871"/>
      <c r="AP1" s="871"/>
      <c r="AQ1" s="871"/>
      <c r="AR1" s="871"/>
    </row>
    <row r="2" spans="1:72">
      <c r="A2" s="871" t="s">
        <v>1</v>
      </c>
      <c r="B2" s="871"/>
      <c r="C2" s="871"/>
      <c r="D2" s="871"/>
      <c r="E2" s="871"/>
      <c r="F2" s="871"/>
      <c r="G2" s="871"/>
      <c r="H2" s="871"/>
      <c r="I2" s="871"/>
      <c r="J2" s="871"/>
      <c r="K2" s="871"/>
      <c r="L2" s="871"/>
      <c r="M2" s="871"/>
      <c r="N2" s="871"/>
      <c r="O2" s="871"/>
      <c r="P2" s="871"/>
      <c r="Q2" s="871"/>
      <c r="R2" s="871"/>
      <c r="S2" s="871"/>
      <c r="T2" s="871"/>
      <c r="U2" s="871"/>
      <c r="V2" s="871"/>
      <c r="W2" s="871"/>
      <c r="X2" s="871"/>
      <c r="Y2" s="871"/>
      <c r="Z2" s="871"/>
      <c r="AA2" s="871"/>
      <c r="AB2" s="871"/>
      <c r="AC2" s="871"/>
      <c r="AD2" s="871"/>
      <c r="AE2" s="871"/>
      <c r="AF2" s="871"/>
      <c r="AG2" s="871"/>
      <c r="AH2" s="871"/>
      <c r="AI2" s="871"/>
      <c r="AJ2" s="871"/>
      <c r="AK2" s="871"/>
      <c r="AL2" s="871"/>
      <c r="AM2" s="871"/>
      <c r="AN2" s="871"/>
      <c r="AO2" s="871"/>
      <c r="AP2" s="871"/>
      <c r="AQ2" s="871"/>
      <c r="AR2" s="871"/>
    </row>
    <row r="3" spans="1:72" ht="15" customHeight="1">
      <c r="A3" s="434"/>
      <c r="B3" s="434"/>
      <c r="C3" s="434"/>
      <c r="D3" s="1219" t="s">
        <v>2052</v>
      </c>
      <c r="E3" s="1219"/>
      <c r="F3" s="1219"/>
      <c r="G3" s="575"/>
      <c r="H3" s="575"/>
      <c r="I3" s="575"/>
      <c r="J3" s="575"/>
      <c r="K3" s="575"/>
      <c r="L3" s="575"/>
      <c r="M3" s="575"/>
      <c r="N3" s="575"/>
      <c r="O3" s="575"/>
      <c r="P3" s="575"/>
      <c r="Q3" s="575"/>
      <c r="R3" s="575"/>
      <c r="S3" s="575"/>
      <c r="T3" s="575"/>
      <c r="U3" s="575"/>
      <c r="V3" s="575"/>
      <c r="W3" s="575"/>
      <c r="X3" s="575"/>
      <c r="Y3" s="575"/>
      <c r="Z3" s="575"/>
      <c r="AA3" s="575"/>
      <c r="AB3" s="575"/>
      <c r="AC3" s="575"/>
      <c r="AD3" s="575"/>
      <c r="AE3" s="575"/>
      <c r="AF3" s="575"/>
      <c r="AG3" s="575"/>
      <c r="AH3" s="575"/>
      <c r="AI3" s="575"/>
      <c r="AJ3" s="575"/>
      <c r="AK3" s="575"/>
      <c r="AL3" s="575"/>
      <c r="AM3" s="575"/>
      <c r="AN3" s="575"/>
      <c r="AO3" s="575"/>
      <c r="AP3" s="575"/>
      <c r="AQ3" s="575"/>
      <c r="AR3" s="575"/>
    </row>
    <row r="4" spans="1:72">
      <c r="A4" s="434"/>
      <c r="B4" s="434"/>
      <c r="C4" s="434"/>
      <c r="D4" s="575" t="s">
        <v>2053</v>
      </c>
      <c r="E4" s="575"/>
      <c r="F4" s="575"/>
      <c r="G4" s="575"/>
      <c r="H4" s="575"/>
      <c r="I4" s="575"/>
      <c r="J4" s="575"/>
      <c r="K4" s="575"/>
      <c r="L4" s="575"/>
      <c r="M4" s="575"/>
      <c r="N4" s="575"/>
      <c r="O4" s="575"/>
      <c r="P4" s="575"/>
      <c r="Q4" s="575"/>
      <c r="R4" s="575"/>
      <c r="S4" s="575"/>
      <c r="T4" s="575"/>
      <c r="U4" s="575"/>
      <c r="V4" s="575"/>
      <c r="W4" s="575"/>
      <c r="X4" s="575"/>
      <c r="Y4" s="575"/>
      <c r="Z4" s="575"/>
      <c r="AA4" s="575"/>
      <c r="AB4" s="575"/>
      <c r="AC4" s="575"/>
      <c r="AD4" s="575"/>
      <c r="AE4" s="575"/>
      <c r="AF4" s="575"/>
      <c r="AG4" s="575"/>
      <c r="AH4" s="575"/>
      <c r="AI4" s="575"/>
      <c r="AJ4" s="575"/>
      <c r="AK4" s="575"/>
      <c r="AL4" s="575"/>
      <c r="AM4" s="575"/>
      <c r="AN4" s="575"/>
      <c r="AO4" s="575"/>
      <c r="AP4" s="575"/>
      <c r="AQ4" s="575"/>
      <c r="AR4" s="575"/>
    </row>
    <row r="5" spans="1:72">
      <c r="A5" s="434"/>
      <c r="B5" s="434"/>
      <c r="C5" s="434"/>
      <c r="D5" s="575" t="s">
        <v>2054</v>
      </c>
      <c r="E5" s="575"/>
      <c r="F5" s="575"/>
      <c r="G5" s="434"/>
      <c r="H5" s="434"/>
      <c r="I5" s="434"/>
      <c r="J5" s="434"/>
      <c r="K5" s="436"/>
      <c r="L5" s="436"/>
      <c r="M5" s="436"/>
      <c r="N5" s="436"/>
      <c r="O5" s="436"/>
      <c r="P5" s="436"/>
      <c r="Q5" s="436"/>
      <c r="R5" s="436"/>
      <c r="S5" s="436"/>
      <c r="T5" s="436"/>
      <c r="U5" s="436"/>
      <c r="V5" s="436"/>
      <c r="W5" s="436"/>
      <c r="X5" s="436"/>
      <c r="Y5" s="436"/>
      <c r="Z5" s="436"/>
      <c r="AA5" s="436"/>
      <c r="AB5" s="436"/>
      <c r="AC5" s="436"/>
      <c r="AD5" s="436"/>
      <c r="AE5" s="436"/>
      <c r="AF5" s="436"/>
      <c r="AG5" s="436"/>
      <c r="AH5" s="436"/>
      <c r="AI5" s="436"/>
      <c r="AJ5" s="436"/>
      <c r="AK5" s="436"/>
      <c r="AL5" s="436"/>
      <c r="AM5" s="436"/>
      <c r="AN5" s="436"/>
      <c r="AO5" s="436"/>
      <c r="AP5" s="436"/>
      <c r="AQ5" s="436"/>
      <c r="AR5" s="436"/>
      <c r="AT5" s="437"/>
      <c r="AU5" s="437"/>
      <c r="AV5" s="437"/>
      <c r="AW5" s="437"/>
      <c r="AX5" s="437"/>
      <c r="AY5" s="437"/>
      <c r="AZ5" s="437"/>
      <c r="BA5" s="437"/>
      <c r="BB5" s="437"/>
      <c r="BC5" s="437"/>
      <c r="BD5" s="437"/>
      <c r="BE5" s="437"/>
      <c r="BF5" s="437"/>
      <c r="BG5" s="437"/>
      <c r="BH5" s="437"/>
      <c r="BI5" s="437"/>
      <c r="BJ5" s="437"/>
      <c r="BK5" s="437"/>
      <c r="BL5" s="437"/>
      <c r="BM5" s="437"/>
      <c r="BN5" s="437"/>
      <c r="BO5" s="437"/>
      <c r="BP5" s="437"/>
      <c r="BQ5" s="437"/>
      <c r="BR5" s="437"/>
      <c r="BS5" s="437"/>
      <c r="BT5" s="437"/>
    </row>
    <row r="6" spans="1:72" s="243" customFormat="1" ht="15.75" customHeight="1">
      <c r="A6" s="872" t="s">
        <v>5</v>
      </c>
      <c r="B6" s="872"/>
      <c r="C6" s="872"/>
      <c r="D6" s="873" t="s">
        <v>6</v>
      </c>
      <c r="E6" s="874" t="s">
        <v>7</v>
      </c>
      <c r="F6" s="872" t="s">
        <v>8</v>
      </c>
      <c r="G6" s="872" t="s">
        <v>9</v>
      </c>
      <c r="H6" s="872" t="s">
        <v>10</v>
      </c>
      <c r="I6" s="872" t="s">
        <v>11</v>
      </c>
      <c r="J6" s="872" t="s">
        <v>12</v>
      </c>
      <c r="K6" s="872" t="s">
        <v>13</v>
      </c>
      <c r="L6" s="876" t="s">
        <v>14</v>
      </c>
      <c r="M6" s="877"/>
      <c r="N6" s="877"/>
      <c r="O6" s="877"/>
      <c r="P6" s="877"/>
      <c r="Q6" s="877"/>
      <c r="R6" s="877"/>
      <c r="S6" s="877"/>
      <c r="T6" s="877"/>
      <c r="U6" s="877"/>
      <c r="V6" s="877"/>
      <c r="W6" s="877"/>
      <c r="X6" s="877"/>
      <c r="Y6" s="877"/>
      <c r="Z6" s="877"/>
      <c r="AA6" s="877"/>
      <c r="AB6" s="877"/>
      <c r="AC6" s="877"/>
      <c r="AD6" s="877"/>
      <c r="AE6" s="877"/>
      <c r="AF6" s="877"/>
      <c r="AG6" s="877"/>
      <c r="AH6" s="877"/>
      <c r="AI6" s="877"/>
      <c r="AJ6" s="878"/>
      <c r="AK6" s="872" t="s">
        <v>15</v>
      </c>
      <c r="AL6" s="872"/>
      <c r="AM6" s="872"/>
      <c r="AN6" s="872"/>
      <c r="AO6" s="872"/>
      <c r="AP6" s="872" t="s">
        <v>16</v>
      </c>
      <c r="AQ6" s="872" t="s">
        <v>17</v>
      </c>
      <c r="AR6" s="872" t="s">
        <v>18</v>
      </c>
    </row>
    <row r="7" spans="1:72" s="243" customFormat="1">
      <c r="A7" s="872" t="s">
        <v>20</v>
      </c>
      <c r="B7" s="901" t="s">
        <v>21</v>
      </c>
      <c r="C7" s="872" t="s">
        <v>22</v>
      </c>
      <c r="D7" s="873"/>
      <c r="E7" s="874"/>
      <c r="F7" s="872"/>
      <c r="G7" s="872"/>
      <c r="H7" s="872"/>
      <c r="I7" s="872"/>
      <c r="J7" s="872"/>
      <c r="K7" s="872"/>
      <c r="L7" s="875" t="s">
        <v>23</v>
      </c>
      <c r="M7" s="875"/>
      <c r="N7" s="875"/>
      <c r="O7" s="875"/>
      <c r="P7" s="875"/>
      <c r="Q7" s="875"/>
      <c r="R7" s="875" t="s">
        <v>24</v>
      </c>
      <c r="S7" s="875"/>
      <c r="T7" s="875"/>
      <c r="U7" s="875"/>
      <c r="V7" s="875"/>
      <c r="W7" s="875"/>
      <c r="X7" s="875" t="s">
        <v>25</v>
      </c>
      <c r="Y7" s="875"/>
      <c r="Z7" s="875"/>
      <c r="AA7" s="875"/>
      <c r="AB7" s="875"/>
      <c r="AC7" s="875"/>
      <c r="AD7" s="875" t="s">
        <v>26</v>
      </c>
      <c r="AE7" s="875"/>
      <c r="AF7" s="875"/>
      <c r="AG7" s="875"/>
      <c r="AH7" s="875"/>
      <c r="AI7" s="875"/>
      <c r="AJ7" s="874" t="s">
        <v>162</v>
      </c>
      <c r="AK7" s="872" t="s">
        <v>28</v>
      </c>
      <c r="AL7" s="872" t="s">
        <v>29</v>
      </c>
      <c r="AM7" s="872" t="s">
        <v>30</v>
      </c>
      <c r="AN7" s="872" t="s">
        <v>163</v>
      </c>
      <c r="AO7" s="872" t="s">
        <v>32</v>
      </c>
      <c r="AP7" s="872"/>
      <c r="AQ7" s="872"/>
      <c r="AR7" s="872"/>
    </row>
    <row r="8" spans="1:72" s="243" customFormat="1">
      <c r="A8" s="872"/>
      <c r="B8" s="901"/>
      <c r="C8" s="872"/>
      <c r="D8" s="873"/>
      <c r="E8" s="874"/>
      <c r="F8" s="872"/>
      <c r="G8" s="872"/>
      <c r="H8" s="872"/>
      <c r="I8" s="872"/>
      <c r="J8" s="872"/>
      <c r="K8" s="872"/>
      <c r="L8" s="875" t="s">
        <v>33</v>
      </c>
      <c r="M8" s="875"/>
      <c r="N8" s="875"/>
      <c r="O8" s="875" t="s">
        <v>34</v>
      </c>
      <c r="P8" s="875"/>
      <c r="Q8" s="875"/>
      <c r="R8" s="875" t="s">
        <v>33</v>
      </c>
      <c r="S8" s="875"/>
      <c r="T8" s="875"/>
      <c r="U8" s="875" t="s">
        <v>34</v>
      </c>
      <c r="V8" s="875"/>
      <c r="W8" s="875"/>
      <c r="X8" s="875" t="s">
        <v>33</v>
      </c>
      <c r="Y8" s="875"/>
      <c r="Z8" s="875"/>
      <c r="AA8" s="875" t="s">
        <v>34</v>
      </c>
      <c r="AB8" s="875"/>
      <c r="AC8" s="875"/>
      <c r="AD8" s="875" t="s">
        <v>33</v>
      </c>
      <c r="AE8" s="875"/>
      <c r="AF8" s="875"/>
      <c r="AG8" s="875" t="s">
        <v>34</v>
      </c>
      <c r="AH8" s="875"/>
      <c r="AI8" s="875"/>
      <c r="AJ8" s="874"/>
      <c r="AK8" s="872"/>
      <c r="AL8" s="872"/>
      <c r="AM8" s="872"/>
      <c r="AN8" s="872"/>
      <c r="AO8" s="872"/>
      <c r="AP8" s="872"/>
      <c r="AQ8" s="872"/>
      <c r="AR8" s="872"/>
    </row>
    <row r="9" spans="1:72" s="243" customFormat="1">
      <c r="A9" s="872"/>
      <c r="B9" s="901"/>
      <c r="C9" s="872"/>
      <c r="D9" s="873"/>
      <c r="E9" s="874"/>
      <c r="F9" s="872"/>
      <c r="G9" s="872"/>
      <c r="H9" s="872"/>
      <c r="I9" s="872"/>
      <c r="J9" s="872"/>
      <c r="K9" s="872"/>
      <c r="L9" s="244" t="s">
        <v>35</v>
      </c>
      <c r="M9" s="244" t="s">
        <v>36</v>
      </c>
      <c r="N9" s="244" t="s">
        <v>37</v>
      </c>
      <c r="O9" s="244" t="s">
        <v>35</v>
      </c>
      <c r="P9" s="244" t="s">
        <v>36</v>
      </c>
      <c r="Q9" s="244" t="s">
        <v>37</v>
      </c>
      <c r="R9" s="244" t="s">
        <v>38</v>
      </c>
      <c r="S9" s="244" t="s">
        <v>37</v>
      </c>
      <c r="T9" s="244" t="s">
        <v>39</v>
      </c>
      <c r="U9" s="244" t="s">
        <v>38</v>
      </c>
      <c r="V9" s="244" t="s">
        <v>37</v>
      </c>
      <c r="W9" s="244" t="s">
        <v>39</v>
      </c>
      <c r="X9" s="244" t="s">
        <v>39</v>
      </c>
      <c r="Y9" s="244" t="s">
        <v>38</v>
      </c>
      <c r="Z9" s="244" t="s">
        <v>40</v>
      </c>
      <c r="AA9" s="244" t="s">
        <v>39</v>
      </c>
      <c r="AB9" s="244" t="s">
        <v>38</v>
      </c>
      <c r="AC9" s="244" t="s">
        <v>40</v>
      </c>
      <c r="AD9" s="244" t="s">
        <v>41</v>
      </c>
      <c r="AE9" s="244" t="s">
        <v>42</v>
      </c>
      <c r="AF9" s="244" t="s">
        <v>43</v>
      </c>
      <c r="AG9" s="244" t="s">
        <v>41</v>
      </c>
      <c r="AH9" s="244" t="s">
        <v>42</v>
      </c>
      <c r="AI9" s="244" t="s">
        <v>43</v>
      </c>
      <c r="AJ9" s="874"/>
      <c r="AK9" s="872"/>
      <c r="AL9" s="872"/>
      <c r="AM9" s="872"/>
      <c r="AN9" s="872"/>
      <c r="AO9" s="872"/>
      <c r="AP9" s="872"/>
      <c r="AQ9" s="872"/>
      <c r="AR9" s="872"/>
    </row>
    <row r="10" spans="1:72" ht="31.5">
      <c r="A10" s="439" t="s">
        <v>1239</v>
      </c>
      <c r="B10" s="439" t="s">
        <v>2055</v>
      </c>
      <c r="C10" s="439" t="s">
        <v>2056</v>
      </c>
      <c r="D10" s="649" t="s">
        <v>2057</v>
      </c>
      <c r="E10" s="580"/>
      <c r="F10" s="439"/>
      <c r="G10" s="439"/>
      <c r="H10" s="439"/>
      <c r="I10" s="445">
        <v>0.1</v>
      </c>
      <c r="J10" s="439">
        <v>1</v>
      </c>
      <c r="K10" s="439"/>
      <c r="L10" s="650"/>
      <c r="M10" s="650"/>
      <c r="N10" s="650"/>
      <c r="O10" s="650"/>
      <c r="P10" s="650"/>
      <c r="Q10" s="650"/>
      <c r="R10" s="650"/>
      <c r="S10" s="650"/>
      <c r="T10" s="650"/>
      <c r="U10" s="650"/>
      <c r="V10" s="650"/>
      <c r="W10" s="650"/>
      <c r="X10" s="650"/>
      <c r="Y10" s="650"/>
      <c r="Z10" s="650"/>
      <c r="AA10" s="650"/>
      <c r="AB10" s="650"/>
      <c r="AC10" s="650"/>
      <c r="AD10" s="650">
        <v>1</v>
      </c>
      <c r="AE10" s="650">
        <v>1</v>
      </c>
      <c r="AF10" s="650">
        <v>1</v>
      </c>
      <c r="AG10" s="651">
        <f>AG11+AG12+AG13</f>
        <v>1000</v>
      </c>
      <c r="AH10" s="651">
        <f>AH11+AH12+AH13</f>
        <v>1000</v>
      </c>
      <c r="AI10" s="651">
        <f>AI11+AI12+AI13</f>
        <v>1000</v>
      </c>
      <c r="AJ10" s="442">
        <f>SUM(AJ11:AJ13)</f>
        <v>3000</v>
      </c>
      <c r="AK10" s="442">
        <f>SUM(AK11:AK13)</f>
        <v>3000</v>
      </c>
      <c r="AL10" s="439"/>
      <c r="AM10" s="439"/>
      <c r="AN10" s="439"/>
      <c r="AO10" s="439"/>
      <c r="AP10" s="439"/>
      <c r="AQ10" s="439"/>
      <c r="AR10" s="439"/>
      <c r="AV10" s="434"/>
      <c r="AW10" s="434"/>
      <c r="AX10" s="434"/>
    </row>
    <row r="11" spans="1:72" ht="94.5">
      <c r="A11" s="781" t="s">
        <v>2058</v>
      </c>
      <c r="B11" s="781" t="s">
        <v>2058</v>
      </c>
      <c r="C11" s="457" t="s">
        <v>2059</v>
      </c>
      <c r="D11" s="452" t="s">
        <v>2060</v>
      </c>
      <c r="E11" s="586" t="s">
        <v>2061</v>
      </c>
      <c r="F11" s="586" t="s">
        <v>1189</v>
      </c>
      <c r="G11" s="452" t="s">
        <v>2062</v>
      </c>
      <c r="H11" s="452" t="s">
        <v>2063</v>
      </c>
      <c r="I11" s="451">
        <v>33</v>
      </c>
      <c r="J11" s="457"/>
      <c r="K11" s="451">
        <v>33</v>
      </c>
      <c r="L11" s="652"/>
      <c r="M11" s="652"/>
      <c r="N11" s="652"/>
      <c r="O11" s="652"/>
      <c r="P11" s="652"/>
      <c r="Q11" s="652"/>
      <c r="R11" s="652"/>
      <c r="S11" s="652"/>
      <c r="T11" s="652"/>
      <c r="U11" s="652"/>
      <c r="V11" s="652"/>
      <c r="W11" s="652"/>
      <c r="X11" s="652"/>
      <c r="Y11" s="652"/>
      <c r="Z11" s="652"/>
      <c r="AA11" s="652"/>
      <c r="AB11" s="652"/>
      <c r="AC11" s="652"/>
      <c r="AD11" s="451">
        <v>1</v>
      </c>
      <c r="AE11" s="652"/>
      <c r="AF11" s="652"/>
      <c r="AG11" s="451">
        <v>1000</v>
      </c>
      <c r="AH11" s="652"/>
      <c r="AI11" s="652"/>
      <c r="AJ11" s="451">
        <v>1000</v>
      </c>
      <c r="AK11" s="451">
        <v>1000</v>
      </c>
      <c r="AL11" s="457"/>
      <c r="AM11" s="457"/>
      <c r="AN11" s="457"/>
      <c r="AO11" s="457"/>
      <c r="AP11" s="452" t="s">
        <v>561</v>
      </c>
      <c r="AQ11" s="452" t="s">
        <v>2064</v>
      </c>
      <c r="AR11" s="457"/>
      <c r="AV11" s="434"/>
      <c r="AW11" s="434"/>
      <c r="AX11" s="434"/>
    </row>
    <row r="12" spans="1:72" ht="94.5">
      <c r="A12" s="781" t="s">
        <v>2058</v>
      </c>
      <c r="B12" s="781" t="s">
        <v>2058</v>
      </c>
      <c r="C12" s="457" t="s">
        <v>2065</v>
      </c>
      <c r="D12" s="452" t="s">
        <v>2066</v>
      </c>
      <c r="E12" s="586" t="s">
        <v>2061</v>
      </c>
      <c r="F12" s="586" t="s">
        <v>1189</v>
      </c>
      <c r="G12" s="452" t="s">
        <v>2067</v>
      </c>
      <c r="H12" s="452" t="s">
        <v>2063</v>
      </c>
      <c r="I12" s="451">
        <v>33</v>
      </c>
      <c r="J12" s="457"/>
      <c r="K12" s="451">
        <v>33</v>
      </c>
      <c r="L12" s="652"/>
      <c r="M12" s="652"/>
      <c r="N12" s="652"/>
      <c r="O12" s="652"/>
      <c r="P12" s="652"/>
      <c r="Q12" s="652"/>
      <c r="R12" s="652"/>
      <c r="S12" s="652"/>
      <c r="T12" s="652"/>
      <c r="U12" s="652"/>
      <c r="V12" s="652"/>
      <c r="W12" s="652"/>
      <c r="X12" s="652"/>
      <c r="Y12" s="652"/>
      <c r="Z12" s="652"/>
      <c r="AA12" s="652"/>
      <c r="AB12" s="652"/>
      <c r="AC12" s="652"/>
      <c r="AD12" s="652"/>
      <c r="AE12" s="451">
        <v>1</v>
      </c>
      <c r="AF12" s="652"/>
      <c r="AG12" s="652"/>
      <c r="AH12" s="451">
        <v>1000</v>
      </c>
      <c r="AI12" s="652"/>
      <c r="AJ12" s="451">
        <v>1000</v>
      </c>
      <c r="AK12" s="451">
        <v>1000</v>
      </c>
      <c r="AL12" s="457"/>
      <c r="AM12" s="457"/>
      <c r="AN12" s="457"/>
      <c r="AO12" s="457"/>
      <c r="AP12" s="452" t="s">
        <v>561</v>
      </c>
      <c r="AQ12" s="452" t="s">
        <v>2064</v>
      </c>
      <c r="AR12" s="457"/>
      <c r="AV12" s="434"/>
      <c r="AW12" s="434"/>
      <c r="AX12" s="434"/>
    </row>
    <row r="13" spans="1:72" ht="78.75">
      <c r="A13" s="781" t="s">
        <v>2058</v>
      </c>
      <c r="B13" s="781" t="s">
        <v>2058</v>
      </c>
      <c r="C13" s="457" t="s">
        <v>2068</v>
      </c>
      <c r="D13" s="452" t="s">
        <v>2069</v>
      </c>
      <c r="E13" s="586" t="s">
        <v>2061</v>
      </c>
      <c r="F13" s="586" t="s">
        <v>1189</v>
      </c>
      <c r="G13" s="452" t="s">
        <v>2070</v>
      </c>
      <c r="H13" s="452" t="s">
        <v>2063</v>
      </c>
      <c r="I13" s="451">
        <v>34</v>
      </c>
      <c r="J13" s="457"/>
      <c r="K13" s="451">
        <v>34</v>
      </c>
      <c r="L13" s="652"/>
      <c r="M13" s="652"/>
      <c r="N13" s="652"/>
      <c r="O13" s="652"/>
      <c r="P13" s="652"/>
      <c r="Q13" s="652"/>
      <c r="R13" s="652"/>
      <c r="S13" s="652"/>
      <c r="T13" s="652"/>
      <c r="U13" s="652"/>
      <c r="V13" s="652"/>
      <c r="W13" s="652"/>
      <c r="X13" s="652"/>
      <c r="Y13" s="652"/>
      <c r="Z13" s="652"/>
      <c r="AA13" s="652"/>
      <c r="AB13" s="652"/>
      <c r="AC13" s="652"/>
      <c r="AD13" s="652"/>
      <c r="AE13" s="652"/>
      <c r="AF13" s="451">
        <v>1</v>
      </c>
      <c r="AG13" s="652"/>
      <c r="AH13" s="652"/>
      <c r="AI13" s="451">
        <v>1000</v>
      </c>
      <c r="AJ13" s="451">
        <v>1000</v>
      </c>
      <c r="AK13" s="451">
        <v>1000</v>
      </c>
      <c r="AL13" s="457"/>
      <c r="AM13" s="457"/>
      <c r="AN13" s="457"/>
      <c r="AO13" s="457"/>
      <c r="AP13" s="452" t="s">
        <v>561</v>
      </c>
      <c r="AQ13" s="452" t="s">
        <v>2064</v>
      </c>
      <c r="AR13" s="457"/>
      <c r="AV13" s="434"/>
      <c r="AW13" s="434"/>
      <c r="AX13" s="434"/>
    </row>
    <row r="14" spans="1:72" ht="31.5">
      <c r="A14" s="439" t="s">
        <v>1239</v>
      </c>
      <c r="B14" s="439" t="s">
        <v>2071</v>
      </c>
      <c r="C14" s="439" t="s">
        <v>2072</v>
      </c>
      <c r="D14" s="649" t="s">
        <v>2073</v>
      </c>
      <c r="E14" s="580"/>
      <c r="F14" s="439"/>
      <c r="G14" s="440"/>
      <c r="H14" s="440"/>
      <c r="I14" s="445">
        <v>0.06</v>
      </c>
      <c r="J14" s="439">
        <v>1</v>
      </c>
      <c r="K14" s="442"/>
      <c r="L14" s="505"/>
      <c r="M14" s="505"/>
      <c r="N14" s="505"/>
      <c r="O14" s="505"/>
      <c r="P14" s="505"/>
      <c r="Q14" s="505"/>
      <c r="R14" s="505"/>
      <c r="S14" s="505"/>
      <c r="T14" s="505">
        <v>1</v>
      </c>
      <c r="U14" s="505"/>
      <c r="V14" s="505"/>
      <c r="W14" s="505">
        <f>SUM(W15:W17)</f>
        <v>1000</v>
      </c>
      <c r="X14" s="505"/>
      <c r="Y14" s="505"/>
      <c r="Z14" s="505">
        <v>1</v>
      </c>
      <c r="AA14" s="505"/>
      <c r="AB14" s="505"/>
      <c r="AC14" s="505">
        <f>SUM(AC15:AC17)</f>
        <v>1000</v>
      </c>
      <c r="AD14" s="505"/>
      <c r="AE14" s="505"/>
      <c r="AF14" s="505"/>
      <c r="AG14" s="505"/>
      <c r="AH14" s="505"/>
      <c r="AI14" s="505"/>
      <c r="AJ14" s="442">
        <f>SUM(AJ15:AJ16)</f>
        <v>2000</v>
      </c>
      <c r="AK14" s="442">
        <f>SUM(AK15:AK16)</f>
        <v>2000</v>
      </c>
      <c r="AL14" s="505"/>
      <c r="AM14" s="505"/>
      <c r="AN14" s="505"/>
      <c r="AO14" s="505"/>
      <c r="AP14" s="439"/>
      <c r="AQ14" s="439"/>
      <c r="AR14" s="439"/>
      <c r="AV14" s="434"/>
      <c r="AW14" s="434"/>
      <c r="AX14" s="434"/>
    </row>
    <row r="15" spans="1:72" ht="63">
      <c r="A15" s="781" t="s">
        <v>2058</v>
      </c>
      <c r="B15" s="457" t="s">
        <v>2071</v>
      </c>
      <c r="C15" s="457" t="s">
        <v>2074</v>
      </c>
      <c r="D15" s="452" t="s">
        <v>2075</v>
      </c>
      <c r="E15" s="586" t="s">
        <v>2061</v>
      </c>
      <c r="F15" s="457" t="s">
        <v>942</v>
      </c>
      <c r="G15" s="460" t="s">
        <v>2076</v>
      </c>
      <c r="H15" s="460" t="s">
        <v>2077</v>
      </c>
      <c r="I15" s="451">
        <v>50</v>
      </c>
      <c r="J15" s="451"/>
      <c r="K15" s="451">
        <v>50</v>
      </c>
      <c r="L15" s="517"/>
      <c r="M15" s="517"/>
      <c r="N15" s="517"/>
      <c r="O15" s="517"/>
      <c r="P15" s="517"/>
      <c r="Q15" s="517"/>
      <c r="R15" s="517"/>
      <c r="S15" s="517"/>
      <c r="T15" s="451">
        <v>1</v>
      </c>
      <c r="U15" s="517"/>
      <c r="V15" s="517"/>
      <c r="W15" s="517">
        <v>1000</v>
      </c>
      <c r="X15" s="517"/>
      <c r="Y15" s="517"/>
      <c r="Z15" s="517"/>
      <c r="AA15" s="517"/>
      <c r="AB15" s="517"/>
      <c r="AC15" s="517"/>
      <c r="AD15" s="517"/>
      <c r="AE15" s="517"/>
      <c r="AF15" s="517"/>
      <c r="AG15" s="517"/>
      <c r="AH15" s="517"/>
      <c r="AI15" s="517"/>
      <c r="AJ15" s="451">
        <f>O15+P15+Q15+U15+V15+W15+AA15+AB15+AC15+AG15+AH15+AI15</f>
        <v>1000</v>
      </c>
      <c r="AK15" s="451">
        <v>1000</v>
      </c>
      <c r="AL15" s="517"/>
      <c r="AM15" s="517"/>
      <c r="AN15" s="517"/>
      <c r="AO15" s="517"/>
      <c r="AP15" s="452" t="s">
        <v>561</v>
      </c>
      <c r="AQ15" s="460" t="s">
        <v>2078</v>
      </c>
      <c r="AR15" s="457"/>
      <c r="AV15" s="434"/>
      <c r="AW15" s="434"/>
      <c r="AX15" s="434"/>
    </row>
    <row r="16" spans="1:72" ht="78.75">
      <c r="A16" s="781" t="s">
        <v>2058</v>
      </c>
      <c r="B16" s="457" t="s">
        <v>2071</v>
      </c>
      <c r="C16" s="457" t="s">
        <v>2079</v>
      </c>
      <c r="D16" s="452" t="s">
        <v>2080</v>
      </c>
      <c r="E16" s="586" t="s">
        <v>2061</v>
      </c>
      <c r="F16" s="457" t="s">
        <v>942</v>
      </c>
      <c r="G16" s="460" t="s">
        <v>2081</v>
      </c>
      <c r="H16" s="460" t="s">
        <v>2082</v>
      </c>
      <c r="I16" s="451">
        <v>50</v>
      </c>
      <c r="J16" s="451"/>
      <c r="K16" s="451">
        <v>50</v>
      </c>
      <c r="L16" s="517"/>
      <c r="M16" s="517"/>
      <c r="N16" s="517"/>
      <c r="O16" s="517"/>
      <c r="P16" s="517"/>
      <c r="Q16" s="517"/>
      <c r="R16" s="517"/>
      <c r="S16" s="517"/>
      <c r="T16" s="517"/>
      <c r="U16" s="517"/>
      <c r="V16" s="517"/>
      <c r="W16" s="517"/>
      <c r="X16" s="517"/>
      <c r="Y16" s="517"/>
      <c r="Z16" s="451">
        <v>1</v>
      </c>
      <c r="AA16" s="517"/>
      <c r="AB16" s="517"/>
      <c r="AC16" s="517">
        <v>1000</v>
      </c>
      <c r="AD16" s="517"/>
      <c r="AE16" s="517"/>
      <c r="AF16" s="517"/>
      <c r="AG16" s="517"/>
      <c r="AH16" s="517"/>
      <c r="AI16" s="517"/>
      <c r="AJ16" s="451">
        <f>O16+P16+Q16+U16+V16+W16+AA16+AB16+AC16+AG16+AH16+AI16</f>
        <v>1000</v>
      </c>
      <c r="AK16" s="451">
        <v>1000</v>
      </c>
      <c r="AL16" s="517"/>
      <c r="AM16" s="517"/>
      <c r="AN16" s="517"/>
      <c r="AO16" s="517"/>
      <c r="AP16" s="452" t="s">
        <v>561</v>
      </c>
      <c r="AQ16" s="460" t="s">
        <v>2078</v>
      </c>
      <c r="AR16" s="457"/>
      <c r="AV16" s="434"/>
      <c r="AW16" s="434"/>
      <c r="AX16" s="434"/>
    </row>
    <row r="17" spans="1:50" ht="63">
      <c r="A17" s="439" t="s">
        <v>1239</v>
      </c>
      <c r="B17" s="439" t="s">
        <v>2083</v>
      </c>
      <c r="C17" s="439" t="s">
        <v>2084</v>
      </c>
      <c r="D17" s="649" t="s">
        <v>2085</v>
      </c>
      <c r="E17" s="580"/>
      <c r="F17" s="439"/>
      <c r="G17" s="439"/>
      <c r="H17" s="439"/>
      <c r="I17" s="445">
        <v>0.03</v>
      </c>
      <c r="J17" s="439">
        <v>1</v>
      </c>
      <c r="K17" s="439"/>
      <c r="L17" s="650"/>
      <c r="M17" s="650"/>
      <c r="N17" s="650"/>
      <c r="O17" s="650"/>
      <c r="P17" s="650"/>
      <c r="Q17" s="650"/>
      <c r="R17" s="650"/>
      <c r="S17" s="650"/>
      <c r="T17" s="650"/>
      <c r="U17" s="650"/>
      <c r="V17" s="650"/>
      <c r="W17" s="650"/>
      <c r="X17" s="650"/>
      <c r="Y17" s="650"/>
      <c r="Z17" s="650"/>
      <c r="AA17" s="650"/>
      <c r="AB17" s="650"/>
      <c r="AC17" s="650"/>
      <c r="AD17" s="650"/>
      <c r="AE17" s="650"/>
      <c r="AF17" s="650">
        <v>1</v>
      </c>
      <c r="AG17" s="650"/>
      <c r="AH17" s="650"/>
      <c r="AI17" s="651">
        <v>1000</v>
      </c>
      <c r="AJ17" s="442" t="str">
        <f>AJ18</f>
        <v>1,000</v>
      </c>
      <c r="AK17" s="442">
        <f>AK18</f>
        <v>1000</v>
      </c>
      <c r="AL17" s="439"/>
      <c r="AM17" s="439"/>
      <c r="AN17" s="439"/>
      <c r="AO17" s="439"/>
      <c r="AP17" s="439"/>
      <c r="AQ17" s="439"/>
      <c r="AR17" s="439"/>
      <c r="AV17" s="434"/>
      <c r="AW17" s="434"/>
      <c r="AX17" s="434"/>
    </row>
    <row r="18" spans="1:50" ht="47.25">
      <c r="A18" s="781" t="s">
        <v>2058</v>
      </c>
      <c r="B18" s="457" t="s">
        <v>2083</v>
      </c>
      <c r="C18" s="457" t="s">
        <v>2086</v>
      </c>
      <c r="D18" s="452" t="s">
        <v>2087</v>
      </c>
      <c r="E18" s="586" t="s">
        <v>2061</v>
      </c>
      <c r="F18" s="460" t="s">
        <v>942</v>
      </c>
      <c r="G18" s="460" t="s">
        <v>2088</v>
      </c>
      <c r="H18" s="460" t="s">
        <v>2089</v>
      </c>
      <c r="I18" s="451">
        <v>100</v>
      </c>
      <c r="J18" s="451"/>
      <c r="K18" s="451">
        <v>100</v>
      </c>
      <c r="L18" s="652"/>
      <c r="M18" s="652"/>
      <c r="N18" s="652"/>
      <c r="O18" s="652"/>
      <c r="P18" s="652"/>
      <c r="Q18" s="652"/>
      <c r="R18" s="652"/>
      <c r="S18" s="652"/>
      <c r="T18" s="652"/>
      <c r="U18" s="652"/>
      <c r="V18" s="652"/>
      <c r="W18" s="652"/>
      <c r="X18" s="652"/>
      <c r="Y18" s="652"/>
      <c r="Z18" s="652"/>
      <c r="AA18" s="652"/>
      <c r="AB18" s="652"/>
      <c r="AC18" s="652"/>
      <c r="AD18" s="652"/>
      <c r="AE18" s="652"/>
      <c r="AF18" s="652">
        <v>1</v>
      </c>
      <c r="AG18" s="652"/>
      <c r="AH18" s="652"/>
      <c r="AI18" s="451">
        <v>1000</v>
      </c>
      <c r="AJ18" s="451" t="s">
        <v>2090</v>
      </c>
      <c r="AK18" s="451">
        <v>1000</v>
      </c>
      <c r="AL18" s="457"/>
      <c r="AM18" s="457"/>
      <c r="AN18" s="457"/>
      <c r="AO18" s="457"/>
      <c r="AP18" s="452" t="s">
        <v>561</v>
      </c>
      <c r="AQ18" s="460" t="s">
        <v>2091</v>
      </c>
      <c r="AR18" s="457"/>
      <c r="AV18" s="434"/>
      <c r="AW18" s="434"/>
      <c r="AX18" s="434"/>
    </row>
    <row r="19" spans="1:50" ht="31.5">
      <c r="A19" s="439" t="s">
        <v>2058</v>
      </c>
      <c r="B19" s="439" t="s">
        <v>2092</v>
      </c>
      <c r="C19" s="439" t="s">
        <v>2093</v>
      </c>
      <c r="D19" s="440" t="s">
        <v>2094</v>
      </c>
      <c r="E19" s="442"/>
      <c r="F19" s="580"/>
      <c r="G19" s="649"/>
      <c r="H19" s="649"/>
      <c r="I19" s="445">
        <v>0.24</v>
      </c>
      <c r="J19" s="439">
        <v>1</v>
      </c>
      <c r="K19" s="442"/>
      <c r="L19" s="505"/>
      <c r="M19" s="505"/>
      <c r="N19" s="505"/>
      <c r="O19" s="505"/>
      <c r="P19" s="505"/>
      <c r="Q19" s="505"/>
      <c r="R19" s="505"/>
      <c r="S19" s="505"/>
      <c r="T19" s="505"/>
      <c r="U19" s="505"/>
      <c r="V19" s="505"/>
      <c r="W19" s="505"/>
      <c r="X19" s="505"/>
      <c r="Y19" s="505"/>
      <c r="Z19" s="505">
        <v>2</v>
      </c>
      <c r="AA19" s="505"/>
      <c r="AB19" s="505"/>
      <c r="AC19" s="442">
        <f>SUM(AC20:AC21)</f>
        <v>6000</v>
      </c>
      <c r="AD19" s="442"/>
      <c r="AE19" s="442">
        <v>1</v>
      </c>
      <c r="AF19" s="442"/>
      <c r="AG19" s="442"/>
      <c r="AH19" s="442">
        <f>SUM(AH20:AH21)</f>
        <v>1000</v>
      </c>
      <c r="AI19" s="442"/>
      <c r="AJ19" s="442">
        <f>SUM(AJ20:AJ21)</f>
        <v>7000</v>
      </c>
      <c r="AK19" s="442">
        <f>SUM(AK20:AK21)</f>
        <v>7000</v>
      </c>
      <c r="AL19" s="505"/>
      <c r="AM19" s="505"/>
      <c r="AN19" s="505"/>
      <c r="AO19" s="505"/>
      <c r="AP19" s="649"/>
      <c r="AQ19" s="649"/>
      <c r="AR19" s="649"/>
      <c r="AS19" s="653"/>
      <c r="AT19" s="653"/>
      <c r="AU19" s="653"/>
      <c r="AV19" s="654"/>
      <c r="AW19" s="654"/>
      <c r="AX19" s="653"/>
    </row>
    <row r="20" spans="1:50" s="509" customFormat="1" ht="63">
      <c r="A20" s="781" t="s">
        <v>2058</v>
      </c>
      <c r="B20" s="781" t="s">
        <v>2092</v>
      </c>
      <c r="C20" s="781" t="s">
        <v>2095</v>
      </c>
      <c r="D20" s="460" t="s">
        <v>2096</v>
      </c>
      <c r="E20" s="451">
        <v>2</v>
      </c>
      <c r="F20" s="586" t="s">
        <v>2097</v>
      </c>
      <c r="G20" s="452" t="s">
        <v>2098</v>
      </c>
      <c r="H20" s="452" t="s">
        <v>2099</v>
      </c>
      <c r="I20" s="451">
        <f>+AJ20/AJ$19*100</f>
        <v>28.571428571428569</v>
      </c>
      <c r="J20" s="451"/>
      <c r="K20" s="451">
        <v>45</v>
      </c>
      <c r="L20" s="517"/>
      <c r="M20" s="517"/>
      <c r="N20" s="517"/>
      <c r="O20" s="517"/>
      <c r="P20" s="517"/>
      <c r="Q20" s="517"/>
      <c r="R20" s="517"/>
      <c r="S20" s="517"/>
      <c r="T20" s="517"/>
      <c r="U20" s="517"/>
      <c r="V20" s="517"/>
      <c r="W20" s="517"/>
      <c r="X20" s="517"/>
      <c r="Y20" s="517"/>
      <c r="Z20" s="517">
        <v>1</v>
      </c>
      <c r="AA20" s="517"/>
      <c r="AB20" s="517"/>
      <c r="AC20" s="517">
        <v>1000</v>
      </c>
      <c r="AD20" s="517"/>
      <c r="AE20" s="517">
        <v>1</v>
      </c>
      <c r="AF20" s="517"/>
      <c r="AG20" s="517"/>
      <c r="AH20" s="517">
        <v>1000</v>
      </c>
      <c r="AI20" s="517"/>
      <c r="AJ20" s="451">
        <f>O20+P20+Q20+U20+V20+W20+AA20+AB20+AC20+AG20+AH20+AI20</f>
        <v>2000</v>
      </c>
      <c r="AK20" s="655">
        <v>2000</v>
      </c>
      <c r="AL20" s="517"/>
      <c r="AM20" s="517"/>
      <c r="AN20" s="517"/>
      <c r="AO20" s="517"/>
      <c r="AP20" s="452" t="s">
        <v>2100</v>
      </c>
      <c r="AQ20" s="460" t="s">
        <v>2101</v>
      </c>
      <c r="AR20" s="452"/>
      <c r="AS20" s="653"/>
      <c r="AT20" s="653"/>
      <c r="AU20" s="653"/>
      <c r="AV20" s="654"/>
      <c r="AW20" s="654"/>
      <c r="AX20" s="653"/>
    </row>
    <row r="21" spans="1:50" ht="78.75">
      <c r="A21" s="781" t="s">
        <v>2058</v>
      </c>
      <c r="B21" s="781" t="s">
        <v>2092</v>
      </c>
      <c r="C21" s="781" t="s">
        <v>2102</v>
      </c>
      <c r="D21" s="782" t="s">
        <v>2103</v>
      </c>
      <c r="E21" s="451">
        <v>1</v>
      </c>
      <c r="F21" s="586" t="s">
        <v>2104</v>
      </c>
      <c r="G21" s="638" t="s">
        <v>2105</v>
      </c>
      <c r="H21" s="639" t="s">
        <v>2106</v>
      </c>
      <c r="I21" s="451">
        <f>+AJ21/AJ$19*100</f>
        <v>71.428571428571431</v>
      </c>
      <c r="J21" s="451"/>
      <c r="K21" s="451">
        <v>55</v>
      </c>
      <c r="L21" s="517"/>
      <c r="M21" s="517"/>
      <c r="N21" s="517"/>
      <c r="O21" s="517"/>
      <c r="P21" s="517"/>
      <c r="Q21" s="517"/>
      <c r="R21" s="517"/>
      <c r="S21" s="517"/>
      <c r="T21" s="517"/>
      <c r="U21" s="517"/>
      <c r="V21" s="517"/>
      <c r="W21" s="517"/>
      <c r="X21" s="517"/>
      <c r="Y21" s="517"/>
      <c r="Z21" s="517">
        <v>1</v>
      </c>
      <c r="AA21" s="517"/>
      <c r="AB21" s="517"/>
      <c r="AC21" s="517">
        <v>5000</v>
      </c>
      <c r="AD21" s="517"/>
      <c r="AE21" s="517"/>
      <c r="AF21" s="517"/>
      <c r="AG21" s="517"/>
      <c r="AH21" s="517"/>
      <c r="AI21" s="517"/>
      <c r="AJ21" s="451">
        <f>O21+P21+Q21+U21+V21+W21+AA21+AB21+AC21+AG21+AH21+AI21</f>
        <v>5000</v>
      </c>
      <c r="AK21" s="655">
        <v>5000</v>
      </c>
      <c r="AL21" s="517"/>
      <c r="AM21" s="517"/>
      <c r="AN21" s="517"/>
      <c r="AO21" s="517"/>
      <c r="AP21" s="452" t="s">
        <v>2100</v>
      </c>
      <c r="AQ21" s="460" t="s">
        <v>2107</v>
      </c>
      <c r="AR21" s="452"/>
      <c r="AS21" s="653"/>
      <c r="AT21" s="653"/>
      <c r="AU21" s="653"/>
      <c r="AV21" s="654"/>
      <c r="AW21" s="654"/>
      <c r="AX21" s="653"/>
    </row>
    <row r="22" spans="1:50" ht="47.25">
      <c r="A22" s="439" t="s">
        <v>2058</v>
      </c>
      <c r="B22" s="439" t="s">
        <v>2108</v>
      </c>
      <c r="C22" s="152" t="s">
        <v>2109</v>
      </c>
      <c r="D22" s="440" t="s">
        <v>2110</v>
      </c>
      <c r="E22" s="442"/>
      <c r="F22" s="580"/>
      <c r="G22" s="649"/>
      <c r="H22" s="649"/>
      <c r="I22" s="446">
        <v>0.76</v>
      </c>
      <c r="J22" s="442">
        <v>1</v>
      </c>
      <c r="K22" s="442"/>
      <c r="L22" s="505"/>
      <c r="M22" s="505"/>
      <c r="N22" s="505"/>
      <c r="O22" s="505"/>
      <c r="P22" s="505"/>
      <c r="Q22" s="505"/>
      <c r="R22" s="505"/>
      <c r="S22" s="505"/>
      <c r="T22" s="505"/>
      <c r="U22" s="505"/>
      <c r="V22" s="505"/>
      <c r="W22" s="505"/>
      <c r="X22" s="505"/>
      <c r="Y22" s="505"/>
      <c r="Z22" s="505"/>
      <c r="AA22" s="505"/>
      <c r="AB22" s="505"/>
      <c r="AC22" s="442">
        <f>SUM(AC23:AC25)</f>
        <v>14230</v>
      </c>
      <c r="AD22" s="442"/>
      <c r="AE22" s="442"/>
      <c r="AF22" s="442"/>
      <c r="AG22" s="442"/>
      <c r="AH22" s="442">
        <f>SUM(AH23:AH25)</f>
        <v>7980</v>
      </c>
      <c r="AI22" s="442"/>
      <c r="AJ22" s="442">
        <f>SUM(AJ23:AJ25)</f>
        <v>22210</v>
      </c>
      <c r="AK22" s="442">
        <f>SUM(AK23:AK25)</f>
        <v>22210</v>
      </c>
      <c r="AL22" s="505"/>
      <c r="AM22" s="505"/>
      <c r="AN22" s="505"/>
      <c r="AO22" s="505"/>
      <c r="AP22" s="649"/>
      <c r="AQ22" s="649"/>
      <c r="AR22" s="649"/>
      <c r="AS22" s="653"/>
      <c r="AT22" s="653"/>
      <c r="AU22" s="653"/>
      <c r="AV22" s="654"/>
      <c r="AW22" s="654"/>
      <c r="AX22" s="653"/>
    </row>
    <row r="23" spans="1:50" ht="63">
      <c r="A23" s="656" t="s">
        <v>2058</v>
      </c>
      <c r="B23" s="656" t="s">
        <v>2108</v>
      </c>
      <c r="C23" s="457" t="s">
        <v>2111</v>
      </c>
      <c r="D23" s="524" t="s">
        <v>2112</v>
      </c>
      <c r="E23" s="451">
        <v>1</v>
      </c>
      <c r="F23" s="586" t="s">
        <v>942</v>
      </c>
      <c r="G23" s="657" t="s">
        <v>2113</v>
      </c>
      <c r="H23" s="657" t="s">
        <v>2114</v>
      </c>
      <c r="I23" s="451">
        <f>+AJ23/AJ$22*100</f>
        <v>28.140477262494372</v>
      </c>
      <c r="J23" s="451"/>
      <c r="K23" s="451">
        <v>25</v>
      </c>
      <c r="L23" s="517"/>
      <c r="M23" s="517"/>
      <c r="N23" s="517"/>
      <c r="O23" s="517"/>
      <c r="P23" s="517"/>
      <c r="Q23" s="517"/>
      <c r="R23" s="517"/>
      <c r="S23" s="517"/>
      <c r="T23" s="517"/>
      <c r="U23" s="517"/>
      <c r="V23" s="517"/>
      <c r="W23" s="517"/>
      <c r="X23" s="517"/>
      <c r="Y23" s="517"/>
      <c r="Z23" s="517">
        <v>1</v>
      </c>
      <c r="AA23" s="517"/>
      <c r="AB23" s="517"/>
      <c r="AC23" s="517">
        <v>6250</v>
      </c>
      <c r="AD23" s="517"/>
      <c r="AE23" s="517"/>
      <c r="AF23" s="517"/>
      <c r="AG23" s="517"/>
      <c r="AH23" s="517"/>
      <c r="AI23" s="517"/>
      <c r="AJ23" s="451">
        <f>O23+P23+Q23+U23+V23+W23+AA23+AB23+AC23+AG23+AH23+AI23</f>
        <v>6250</v>
      </c>
      <c r="AK23" s="655">
        <v>6250</v>
      </c>
      <c r="AL23" s="517"/>
      <c r="AM23" s="517"/>
      <c r="AN23" s="517"/>
      <c r="AO23" s="517"/>
      <c r="AP23" s="452" t="s">
        <v>2100</v>
      </c>
      <c r="AQ23" s="460" t="s">
        <v>2115</v>
      </c>
      <c r="AR23" s="452"/>
      <c r="AS23" s="653"/>
      <c r="AT23" s="653"/>
      <c r="AU23" s="653"/>
      <c r="AV23" s="654"/>
      <c r="AW23" s="654"/>
      <c r="AX23" s="653"/>
    </row>
    <row r="24" spans="1:50" ht="78.75">
      <c r="A24" s="656" t="s">
        <v>2058</v>
      </c>
      <c r="B24" s="656" t="s">
        <v>2108</v>
      </c>
      <c r="C24" s="457" t="s">
        <v>2116</v>
      </c>
      <c r="D24" s="524" t="s">
        <v>2117</v>
      </c>
      <c r="E24" s="451">
        <v>5</v>
      </c>
      <c r="F24" s="586" t="s">
        <v>942</v>
      </c>
      <c r="G24" s="657" t="s">
        <v>2118</v>
      </c>
      <c r="H24" s="657" t="s">
        <v>2119</v>
      </c>
      <c r="I24" s="451">
        <f>+AJ24/AJ$22*100</f>
        <v>58.352093651508326</v>
      </c>
      <c r="J24" s="451"/>
      <c r="K24" s="451">
        <v>50</v>
      </c>
      <c r="L24" s="517"/>
      <c r="M24" s="517"/>
      <c r="N24" s="517"/>
      <c r="O24" s="517"/>
      <c r="P24" s="517"/>
      <c r="Q24" s="517"/>
      <c r="R24" s="517"/>
      <c r="S24" s="517"/>
      <c r="T24" s="517"/>
      <c r="U24" s="517"/>
      <c r="V24" s="517"/>
      <c r="W24" s="517"/>
      <c r="X24" s="517"/>
      <c r="Y24" s="517"/>
      <c r="Z24" s="517">
        <v>2</v>
      </c>
      <c r="AA24" s="517"/>
      <c r="AB24" s="517"/>
      <c r="AC24" s="517">
        <v>6480</v>
      </c>
      <c r="AD24" s="517"/>
      <c r="AE24" s="517">
        <v>3</v>
      </c>
      <c r="AF24" s="517"/>
      <c r="AG24" s="517"/>
      <c r="AH24" s="517">
        <v>6480</v>
      </c>
      <c r="AI24" s="517"/>
      <c r="AJ24" s="451">
        <f>O24+P24+Q24+U24+V24+W24+AA24+AB24+AC24+AG24+AH24+AI24</f>
        <v>12960</v>
      </c>
      <c r="AK24" s="658">
        <v>12960</v>
      </c>
      <c r="AL24" s="517"/>
      <c r="AM24" s="517"/>
      <c r="AN24" s="517"/>
      <c r="AO24" s="517"/>
      <c r="AP24" s="452" t="s">
        <v>2100</v>
      </c>
      <c r="AQ24" s="460" t="s">
        <v>2115</v>
      </c>
      <c r="AR24" s="452"/>
      <c r="AS24" s="653"/>
      <c r="AT24" s="653"/>
      <c r="AU24" s="653"/>
      <c r="AV24" s="654"/>
      <c r="AW24" s="654"/>
      <c r="AX24" s="653"/>
    </row>
    <row r="25" spans="1:50" ht="94.5">
      <c r="A25" s="656" t="s">
        <v>2058</v>
      </c>
      <c r="B25" s="656" t="s">
        <v>2108</v>
      </c>
      <c r="C25" s="457" t="s">
        <v>2120</v>
      </c>
      <c r="D25" s="524" t="s">
        <v>2121</v>
      </c>
      <c r="E25" s="451">
        <v>5</v>
      </c>
      <c r="F25" s="586" t="s">
        <v>942</v>
      </c>
      <c r="G25" s="657" t="s">
        <v>2122</v>
      </c>
      <c r="H25" s="657" t="s">
        <v>2123</v>
      </c>
      <c r="I25" s="451">
        <f>+AJ25/AJ$22*100</f>
        <v>13.5074290859973</v>
      </c>
      <c r="J25" s="451"/>
      <c r="K25" s="451">
        <v>25</v>
      </c>
      <c r="L25" s="517"/>
      <c r="M25" s="517"/>
      <c r="N25" s="517"/>
      <c r="O25" s="517"/>
      <c r="P25" s="517"/>
      <c r="Q25" s="517"/>
      <c r="R25" s="517"/>
      <c r="S25" s="517"/>
      <c r="T25" s="517"/>
      <c r="U25" s="517"/>
      <c r="V25" s="517"/>
      <c r="W25" s="517"/>
      <c r="X25" s="517"/>
      <c r="Y25" s="517"/>
      <c r="Z25" s="517">
        <v>2</v>
      </c>
      <c r="AA25" s="517"/>
      <c r="AB25" s="517"/>
      <c r="AC25" s="517">
        <v>1500</v>
      </c>
      <c r="AD25" s="517"/>
      <c r="AE25" s="517">
        <v>3</v>
      </c>
      <c r="AF25" s="517"/>
      <c r="AG25" s="517"/>
      <c r="AH25" s="517">
        <v>1500</v>
      </c>
      <c r="AI25" s="517"/>
      <c r="AJ25" s="451">
        <f>O25+P25+Q25+U25+V25+W25+AA25+AB25+AC25+AG25+AH25+AI25</f>
        <v>3000</v>
      </c>
      <c r="AK25" s="658">
        <v>3000</v>
      </c>
      <c r="AL25" s="517"/>
      <c r="AM25" s="517"/>
      <c r="AN25" s="517"/>
      <c r="AO25" s="517"/>
      <c r="AP25" s="452" t="s">
        <v>2100</v>
      </c>
      <c r="AQ25" s="460" t="s">
        <v>2115</v>
      </c>
      <c r="AR25" s="452"/>
      <c r="AS25" s="653"/>
      <c r="AT25" s="653"/>
      <c r="AU25" s="653"/>
      <c r="AV25" s="654"/>
      <c r="AW25" s="654"/>
      <c r="AX25" s="653"/>
    </row>
    <row r="26" spans="1:50" ht="47.25">
      <c r="A26" s="439" t="s">
        <v>2058</v>
      </c>
      <c r="B26" s="439" t="s">
        <v>2124</v>
      </c>
      <c r="C26" s="439" t="s">
        <v>2125</v>
      </c>
      <c r="D26" s="440" t="s">
        <v>2126</v>
      </c>
      <c r="E26" s="442"/>
      <c r="F26" s="580"/>
      <c r="G26" s="649"/>
      <c r="H26" s="649"/>
      <c r="I26" s="446">
        <v>0.1</v>
      </c>
      <c r="J26" s="442">
        <v>1</v>
      </c>
      <c r="K26" s="442"/>
      <c r="L26" s="505"/>
      <c r="M26" s="505"/>
      <c r="N26" s="505"/>
      <c r="O26" s="505"/>
      <c r="P26" s="505"/>
      <c r="Q26" s="505"/>
      <c r="R26" s="505"/>
      <c r="S26" s="505"/>
      <c r="T26" s="505"/>
      <c r="U26" s="505"/>
      <c r="V26" s="505"/>
      <c r="W26" s="505"/>
      <c r="X26" s="505"/>
      <c r="Y26" s="505"/>
      <c r="Z26" s="505"/>
      <c r="AA26" s="505"/>
      <c r="AB26" s="505"/>
      <c r="AC26" s="505">
        <f>SUM(AC27)</f>
        <v>1500</v>
      </c>
      <c r="AD26" s="505"/>
      <c r="AE26" s="505"/>
      <c r="AF26" s="505"/>
      <c r="AG26" s="505"/>
      <c r="AH26" s="505">
        <f>SUM(AH27)</f>
        <v>1500</v>
      </c>
      <c r="AI26" s="505"/>
      <c r="AJ26" s="442">
        <f>SUM(AJ27)</f>
        <v>3000</v>
      </c>
      <c r="AK26" s="442">
        <f>SUM(AK27)</f>
        <v>3000</v>
      </c>
      <c r="AL26" s="505"/>
      <c r="AM26" s="505"/>
      <c r="AN26" s="505"/>
      <c r="AO26" s="505"/>
      <c r="AP26" s="649"/>
      <c r="AQ26" s="649"/>
      <c r="AR26" s="649"/>
      <c r="AS26" s="653"/>
      <c r="AT26" s="653"/>
      <c r="AU26" s="653"/>
      <c r="AV26" s="654"/>
      <c r="AW26" s="654"/>
      <c r="AX26" s="653"/>
    </row>
    <row r="27" spans="1:50" ht="110.25">
      <c r="A27" s="656" t="s">
        <v>2058</v>
      </c>
      <c r="B27" s="656" t="s">
        <v>2124</v>
      </c>
      <c r="C27" s="656" t="s">
        <v>2127</v>
      </c>
      <c r="D27" s="460" t="s">
        <v>2128</v>
      </c>
      <c r="E27" s="451">
        <v>5</v>
      </c>
      <c r="F27" s="586" t="s">
        <v>196</v>
      </c>
      <c r="G27" s="638" t="s">
        <v>2129</v>
      </c>
      <c r="H27" s="638" t="s">
        <v>2130</v>
      </c>
      <c r="I27" s="451">
        <f>+AJ27/AJ$26*100</f>
        <v>100</v>
      </c>
      <c r="J27" s="451"/>
      <c r="K27" s="451">
        <v>100</v>
      </c>
      <c r="L27" s="517"/>
      <c r="M27" s="517"/>
      <c r="N27" s="517"/>
      <c r="O27" s="517"/>
      <c r="P27" s="517"/>
      <c r="Q27" s="517"/>
      <c r="R27" s="517"/>
      <c r="S27" s="517"/>
      <c r="T27" s="517"/>
      <c r="U27" s="517"/>
      <c r="V27" s="517"/>
      <c r="W27" s="517"/>
      <c r="X27" s="517"/>
      <c r="Y27" s="517"/>
      <c r="Z27" s="517">
        <v>2</v>
      </c>
      <c r="AA27" s="517"/>
      <c r="AB27" s="517"/>
      <c r="AC27" s="517">
        <v>1500</v>
      </c>
      <c r="AD27" s="517"/>
      <c r="AE27" s="517">
        <v>3</v>
      </c>
      <c r="AF27" s="517"/>
      <c r="AG27" s="517"/>
      <c r="AH27" s="517">
        <v>1500</v>
      </c>
      <c r="AI27" s="517"/>
      <c r="AJ27" s="451">
        <f>O27+P27+Q27+U27+V27+W27+AA27+AB27+AC27+AG27+AH27+AI27</f>
        <v>3000</v>
      </c>
      <c r="AK27" s="658">
        <v>3000</v>
      </c>
      <c r="AL27" s="517"/>
      <c r="AM27" s="517"/>
      <c r="AN27" s="517"/>
      <c r="AO27" s="517"/>
      <c r="AP27" s="452" t="s">
        <v>2100</v>
      </c>
      <c r="AQ27" s="460" t="s">
        <v>2131</v>
      </c>
      <c r="AR27" s="452"/>
      <c r="AS27" s="653"/>
      <c r="AT27" s="653"/>
      <c r="AU27" s="653"/>
      <c r="AV27" s="654"/>
      <c r="AW27" s="654"/>
      <c r="AX27" s="653"/>
    </row>
    <row r="28" spans="1:50" ht="31.5">
      <c r="A28" s="439" t="s">
        <v>2058</v>
      </c>
      <c r="B28" s="439" t="s">
        <v>2132</v>
      </c>
      <c r="C28" s="439" t="s">
        <v>2133</v>
      </c>
      <c r="D28" s="440" t="s">
        <v>2134</v>
      </c>
      <c r="E28" s="442"/>
      <c r="F28" s="580"/>
      <c r="G28" s="649"/>
      <c r="H28" s="649"/>
      <c r="I28" s="446">
        <v>1.25</v>
      </c>
      <c r="J28" s="442">
        <v>1</v>
      </c>
      <c r="K28" s="442"/>
      <c r="L28" s="505"/>
      <c r="M28" s="505"/>
      <c r="N28" s="505"/>
      <c r="O28" s="505"/>
      <c r="P28" s="505"/>
      <c r="Q28" s="505"/>
      <c r="R28" s="505"/>
      <c r="S28" s="505"/>
      <c r="T28" s="505"/>
      <c r="U28" s="505"/>
      <c r="V28" s="505"/>
      <c r="W28" s="505"/>
      <c r="X28" s="505"/>
      <c r="Y28" s="505"/>
      <c r="Z28" s="505"/>
      <c r="AA28" s="505"/>
      <c r="AB28" s="505">
        <f>SUM(AB29:AB33)</f>
        <v>30300</v>
      </c>
      <c r="AC28" s="505">
        <f>SUM(AC29:AC33)</f>
        <v>3500</v>
      </c>
      <c r="AD28" s="505"/>
      <c r="AE28" s="505"/>
      <c r="AF28" s="505"/>
      <c r="AG28" s="505"/>
      <c r="AH28" s="505">
        <f>SUM(AH29:AH33)</f>
        <v>2000</v>
      </c>
      <c r="AI28" s="505">
        <f>SUM(AI29:AI33)</f>
        <v>500</v>
      </c>
      <c r="AJ28" s="442">
        <f>SUM(AJ29:AJ33)</f>
        <v>36300</v>
      </c>
      <c r="AK28" s="442">
        <f>SUM(AK29:AK33)</f>
        <v>36300</v>
      </c>
      <c r="AL28" s="505"/>
      <c r="AM28" s="505"/>
      <c r="AN28" s="505"/>
      <c r="AO28" s="505"/>
      <c r="AP28" s="649"/>
      <c r="AQ28" s="649"/>
      <c r="AR28" s="649"/>
      <c r="AS28" s="653"/>
      <c r="AT28" s="653"/>
      <c r="AU28" s="653"/>
      <c r="AV28" s="654"/>
      <c r="AW28" s="654"/>
      <c r="AX28" s="653"/>
    </row>
    <row r="29" spans="1:50" s="509" customFormat="1" ht="63">
      <c r="A29" s="656" t="s">
        <v>2058</v>
      </c>
      <c r="B29" s="656" t="s">
        <v>2132</v>
      </c>
      <c r="C29" s="457" t="s">
        <v>2135</v>
      </c>
      <c r="D29" s="460" t="s">
        <v>2136</v>
      </c>
      <c r="E29" s="451">
        <v>2</v>
      </c>
      <c r="F29" s="586" t="s">
        <v>2137</v>
      </c>
      <c r="G29" s="452" t="s">
        <v>2138</v>
      </c>
      <c r="H29" s="452" t="s">
        <v>2139</v>
      </c>
      <c r="I29" s="451">
        <v>5</v>
      </c>
      <c r="J29" s="451"/>
      <c r="K29" s="451">
        <v>20</v>
      </c>
      <c r="L29" s="517"/>
      <c r="M29" s="517"/>
      <c r="N29" s="517"/>
      <c r="O29" s="517"/>
      <c r="P29" s="517"/>
      <c r="Q29" s="517"/>
      <c r="R29" s="517"/>
      <c r="S29" s="517"/>
      <c r="T29" s="517"/>
      <c r="U29" s="517"/>
      <c r="V29" s="517"/>
      <c r="W29" s="517"/>
      <c r="X29" s="517"/>
      <c r="Y29" s="517"/>
      <c r="Z29" s="517">
        <v>1</v>
      </c>
      <c r="AA29" s="517"/>
      <c r="AB29" s="517"/>
      <c r="AC29" s="517">
        <v>1000</v>
      </c>
      <c r="AD29" s="517">
        <v>2</v>
      </c>
      <c r="AE29" s="517"/>
      <c r="AF29" s="517"/>
      <c r="AG29" s="517"/>
      <c r="AH29" s="517">
        <v>1000</v>
      </c>
      <c r="AI29" s="517"/>
      <c r="AJ29" s="451">
        <f>O29+P29+Q29+U29+V29+W29+AA29+AB29+AC29+AG29+AH29+AI29</f>
        <v>2000</v>
      </c>
      <c r="AK29" s="658">
        <v>2000</v>
      </c>
      <c r="AL29" s="517"/>
      <c r="AM29" s="517"/>
      <c r="AN29" s="517"/>
      <c r="AO29" s="517"/>
      <c r="AP29" s="452" t="s">
        <v>2100</v>
      </c>
      <c r="AQ29" s="460" t="s">
        <v>2140</v>
      </c>
      <c r="AR29" s="452"/>
      <c r="AS29" s="653"/>
      <c r="AT29" s="653"/>
      <c r="AU29" s="653"/>
      <c r="AV29" s="654"/>
      <c r="AW29" s="654"/>
      <c r="AX29" s="653"/>
    </row>
    <row r="30" spans="1:50" ht="94.5">
      <c r="A30" s="656" t="s">
        <v>2058</v>
      </c>
      <c r="B30" s="656" t="s">
        <v>2132</v>
      </c>
      <c r="C30" s="457" t="s">
        <v>2141</v>
      </c>
      <c r="D30" s="782" t="s">
        <v>2142</v>
      </c>
      <c r="E30" s="451">
        <v>2</v>
      </c>
      <c r="F30" s="586" t="s">
        <v>942</v>
      </c>
      <c r="G30" s="638" t="s">
        <v>2143</v>
      </c>
      <c r="H30" s="638" t="s">
        <v>2144</v>
      </c>
      <c r="I30" s="451">
        <v>5</v>
      </c>
      <c r="J30" s="451"/>
      <c r="K30" s="451">
        <v>20</v>
      </c>
      <c r="L30" s="517"/>
      <c r="M30" s="517"/>
      <c r="N30" s="517"/>
      <c r="O30" s="517"/>
      <c r="P30" s="517"/>
      <c r="Q30" s="517"/>
      <c r="R30" s="517"/>
      <c r="S30" s="517"/>
      <c r="T30" s="517"/>
      <c r="U30" s="517"/>
      <c r="V30" s="517"/>
      <c r="W30" s="517"/>
      <c r="X30" s="517"/>
      <c r="Y30" s="517"/>
      <c r="Z30" s="517">
        <v>1</v>
      </c>
      <c r="AA30" s="517"/>
      <c r="AB30" s="517"/>
      <c r="AC30" s="517">
        <v>1000</v>
      </c>
      <c r="AD30" s="517"/>
      <c r="AE30" s="517">
        <v>1</v>
      </c>
      <c r="AF30" s="517"/>
      <c r="AG30" s="517"/>
      <c r="AH30" s="517">
        <v>1000</v>
      </c>
      <c r="AI30" s="517"/>
      <c r="AJ30" s="451">
        <f>O30+P30+Q30+U30+V30+W30+AA30+AB30+AC30+AG30+AH30+AI30</f>
        <v>2000</v>
      </c>
      <c r="AK30" s="658">
        <v>2000</v>
      </c>
      <c r="AL30" s="517"/>
      <c r="AM30" s="517"/>
      <c r="AN30" s="517"/>
      <c r="AO30" s="517"/>
      <c r="AP30" s="452" t="s">
        <v>2100</v>
      </c>
      <c r="AQ30" s="460" t="s">
        <v>2140</v>
      </c>
      <c r="AR30" s="452"/>
      <c r="AS30" s="653"/>
      <c r="AT30" s="653"/>
      <c r="AU30" s="653"/>
      <c r="AV30" s="654"/>
      <c r="AW30" s="654"/>
      <c r="AX30" s="653"/>
    </row>
    <row r="31" spans="1:50" ht="63">
      <c r="A31" s="656" t="s">
        <v>2058</v>
      </c>
      <c r="B31" s="656" t="s">
        <v>2132</v>
      </c>
      <c r="C31" s="457" t="s">
        <v>2145</v>
      </c>
      <c r="D31" s="782" t="s">
        <v>2146</v>
      </c>
      <c r="E31" s="451">
        <v>1</v>
      </c>
      <c r="F31" s="586" t="s">
        <v>2147</v>
      </c>
      <c r="G31" s="638" t="s">
        <v>2148</v>
      </c>
      <c r="H31" s="638" t="s">
        <v>2149</v>
      </c>
      <c r="I31" s="451">
        <v>3</v>
      </c>
      <c r="J31" s="451"/>
      <c r="K31" s="451">
        <v>20</v>
      </c>
      <c r="L31" s="517"/>
      <c r="M31" s="517"/>
      <c r="N31" s="517"/>
      <c r="O31" s="517"/>
      <c r="P31" s="517"/>
      <c r="Q31" s="517"/>
      <c r="R31" s="517"/>
      <c r="S31" s="517"/>
      <c r="T31" s="517"/>
      <c r="U31" s="517"/>
      <c r="V31" s="517"/>
      <c r="W31" s="517"/>
      <c r="X31" s="517"/>
      <c r="Y31" s="517"/>
      <c r="Z31" s="517">
        <v>1</v>
      </c>
      <c r="AA31" s="517"/>
      <c r="AB31" s="517"/>
      <c r="AC31" s="517">
        <v>1000</v>
      </c>
      <c r="AD31" s="517"/>
      <c r="AE31" s="517"/>
      <c r="AF31" s="517"/>
      <c r="AG31" s="517"/>
      <c r="AH31" s="517"/>
      <c r="AI31" s="517"/>
      <c r="AJ31" s="451">
        <f>O31+P31+Q31+U31+V31+W31+AA31+AB31+AC31+AG31+AH31+AI31</f>
        <v>1000</v>
      </c>
      <c r="AK31" s="658">
        <v>1000</v>
      </c>
      <c r="AL31" s="517"/>
      <c r="AM31" s="517"/>
      <c r="AN31" s="517"/>
      <c r="AO31" s="517"/>
      <c r="AP31" s="452" t="s">
        <v>2100</v>
      </c>
      <c r="AQ31" s="460" t="s">
        <v>2150</v>
      </c>
      <c r="AR31" s="452"/>
      <c r="AS31" s="653"/>
      <c r="AT31" s="653"/>
      <c r="AU31" s="653"/>
      <c r="AV31" s="654"/>
      <c r="AW31" s="654"/>
      <c r="AX31" s="653"/>
    </row>
    <row r="32" spans="1:50" ht="94.5">
      <c r="A32" s="656" t="s">
        <v>2058</v>
      </c>
      <c r="B32" s="656" t="s">
        <v>2132</v>
      </c>
      <c r="C32" s="457" t="s">
        <v>2151</v>
      </c>
      <c r="D32" s="782" t="s">
        <v>2152</v>
      </c>
      <c r="E32" s="451">
        <v>1</v>
      </c>
      <c r="F32" s="586" t="s">
        <v>2153</v>
      </c>
      <c r="G32" s="638" t="s">
        <v>2154</v>
      </c>
      <c r="H32" s="638" t="s">
        <v>2155</v>
      </c>
      <c r="I32" s="451">
        <v>84</v>
      </c>
      <c r="J32" s="451"/>
      <c r="K32" s="451">
        <v>20</v>
      </c>
      <c r="L32" s="517"/>
      <c r="M32" s="517"/>
      <c r="N32" s="517"/>
      <c r="O32" s="517"/>
      <c r="P32" s="517"/>
      <c r="Q32" s="517"/>
      <c r="R32" s="517"/>
      <c r="S32" s="517"/>
      <c r="T32" s="517"/>
      <c r="U32" s="517"/>
      <c r="V32" s="517"/>
      <c r="W32" s="517"/>
      <c r="X32" s="517"/>
      <c r="Y32" s="517">
        <v>1</v>
      </c>
      <c r="Z32" s="517"/>
      <c r="AA32" s="517"/>
      <c r="AB32" s="517">
        <v>30300</v>
      </c>
      <c r="AC32" s="517"/>
      <c r="AD32" s="517"/>
      <c r="AE32" s="517"/>
      <c r="AF32" s="517"/>
      <c r="AG32" s="517"/>
      <c r="AH32" s="517"/>
      <c r="AI32" s="517"/>
      <c r="AJ32" s="451">
        <f>O32+P32+Q32+U32+V32+W32+AA32+AB32+AC32+AG32+AH32+AI32</f>
        <v>30300</v>
      </c>
      <c r="AK32" s="658">
        <v>30300</v>
      </c>
      <c r="AL32" s="517"/>
      <c r="AM32" s="517"/>
      <c r="AN32" s="517"/>
      <c r="AO32" s="517"/>
      <c r="AP32" s="452" t="s">
        <v>2100</v>
      </c>
      <c r="AQ32" s="460" t="s">
        <v>2156</v>
      </c>
      <c r="AR32" s="452"/>
      <c r="AS32" s="653"/>
      <c r="AT32" s="653"/>
      <c r="AU32" s="653"/>
      <c r="AV32" s="654"/>
      <c r="AW32" s="654"/>
      <c r="AX32" s="653"/>
    </row>
    <row r="33" spans="1:50" ht="126">
      <c r="A33" s="656" t="s">
        <v>2058</v>
      </c>
      <c r="B33" s="656" t="s">
        <v>2132</v>
      </c>
      <c r="C33" s="457" t="s">
        <v>2157</v>
      </c>
      <c r="D33" s="782" t="s">
        <v>2158</v>
      </c>
      <c r="E33" s="451">
        <v>10</v>
      </c>
      <c r="F33" s="586" t="s">
        <v>2159</v>
      </c>
      <c r="G33" s="638" t="s">
        <v>2160</v>
      </c>
      <c r="H33" s="638" t="s">
        <v>2161</v>
      </c>
      <c r="I33" s="451">
        <v>3</v>
      </c>
      <c r="J33" s="451"/>
      <c r="K33" s="451">
        <v>20</v>
      </c>
      <c r="L33" s="517"/>
      <c r="M33" s="517"/>
      <c r="N33" s="517"/>
      <c r="O33" s="517"/>
      <c r="P33" s="517"/>
      <c r="Q33" s="517"/>
      <c r="R33" s="517"/>
      <c r="S33" s="517"/>
      <c r="T33" s="517"/>
      <c r="U33" s="517"/>
      <c r="V33" s="517"/>
      <c r="W33" s="517"/>
      <c r="X33" s="517"/>
      <c r="Y33" s="517"/>
      <c r="Z33" s="451">
        <v>5</v>
      </c>
      <c r="AA33" s="517"/>
      <c r="AB33" s="517"/>
      <c r="AC33" s="451">
        <v>500</v>
      </c>
      <c r="AD33" s="517"/>
      <c r="AE33" s="517"/>
      <c r="AF33" s="451">
        <v>5</v>
      </c>
      <c r="AG33" s="517"/>
      <c r="AH33" s="517"/>
      <c r="AI33" s="451">
        <v>500</v>
      </c>
      <c r="AJ33" s="451">
        <v>1000</v>
      </c>
      <c r="AK33" s="658">
        <v>1000</v>
      </c>
      <c r="AL33" s="517"/>
      <c r="AM33" s="517"/>
      <c r="AN33" s="517"/>
      <c r="AO33" s="517"/>
      <c r="AP33" s="452" t="s">
        <v>2100</v>
      </c>
      <c r="AQ33" s="460" t="s">
        <v>2162</v>
      </c>
      <c r="AR33" s="452"/>
      <c r="AS33" s="653"/>
      <c r="AT33" s="653"/>
      <c r="AU33" s="653"/>
      <c r="AV33" s="654"/>
      <c r="AW33" s="654"/>
      <c r="AX33" s="653"/>
    </row>
    <row r="34" spans="1:50" ht="47.25">
      <c r="A34" s="439" t="s">
        <v>2058</v>
      </c>
      <c r="B34" s="439" t="s">
        <v>2163</v>
      </c>
      <c r="C34" s="152" t="s">
        <v>2164</v>
      </c>
      <c r="D34" s="440" t="s">
        <v>2165</v>
      </c>
      <c r="E34" s="442"/>
      <c r="F34" s="580"/>
      <c r="G34" s="649"/>
      <c r="H34" s="649"/>
      <c r="I34" s="446">
        <v>97.3</v>
      </c>
      <c r="J34" s="442">
        <v>92</v>
      </c>
      <c r="K34" s="442"/>
      <c r="L34" s="505"/>
      <c r="M34" s="505"/>
      <c r="N34" s="505"/>
      <c r="O34" s="505">
        <f>SUM(O35:O40)</f>
        <v>126001</v>
      </c>
      <c r="P34" s="505">
        <f>SUM(P35:P40)</f>
        <v>126001</v>
      </c>
      <c r="Q34" s="505">
        <f>SUM(Q35:Q40)</f>
        <v>126002</v>
      </c>
      <c r="R34" s="505"/>
      <c r="S34" s="505"/>
      <c r="T34" s="505"/>
      <c r="U34" s="505">
        <f>SUM(U35:U40)</f>
        <v>126001</v>
      </c>
      <c r="V34" s="505">
        <f>SUM(V35:V40)</f>
        <v>126001</v>
      </c>
      <c r="W34" s="505">
        <f>SUM(W35:W40)</f>
        <v>1370327</v>
      </c>
      <c r="X34" s="505"/>
      <c r="Y34" s="505"/>
      <c r="Z34" s="505"/>
      <c r="AA34" s="505">
        <f>SUM(AA35:AA40)</f>
        <v>126001</v>
      </c>
      <c r="AB34" s="505">
        <f>SUM(AB35:AB40)</f>
        <v>126001</v>
      </c>
      <c r="AC34" s="505">
        <f>SUM(AC35:AC40)</f>
        <v>126002</v>
      </c>
      <c r="AD34" s="505"/>
      <c r="AE34" s="505"/>
      <c r="AF34" s="505"/>
      <c r="AG34" s="505">
        <f>SUM(AG35:AG40)</f>
        <v>126001</v>
      </c>
      <c r="AH34" s="505">
        <f>SUM(AH35:AH40)</f>
        <v>126001</v>
      </c>
      <c r="AI34" s="505">
        <f>SUM(AI35:AI40)</f>
        <v>125796</v>
      </c>
      <c r="AJ34" s="505">
        <f>AJ35+AJ36+AJ37+AJ38+AJ39+AJ40</f>
        <v>2756135</v>
      </c>
      <c r="AK34" s="505">
        <f>SUM(AK35:AK40)</f>
        <v>2041135</v>
      </c>
      <c r="AL34" s="505"/>
      <c r="AM34" s="505">
        <f>SUM(AM35:AM40)</f>
        <v>715000</v>
      </c>
      <c r="AN34" s="505"/>
      <c r="AO34" s="505"/>
      <c r="AP34" s="649"/>
      <c r="AQ34" s="649"/>
      <c r="AR34" s="649"/>
      <c r="AS34" s="653"/>
      <c r="AT34" s="653"/>
      <c r="AU34" s="653"/>
      <c r="AV34" s="654"/>
      <c r="AW34" s="654"/>
      <c r="AX34" s="653"/>
    </row>
    <row r="35" spans="1:50" ht="31.5">
      <c r="A35" s="1127" t="s">
        <v>2058</v>
      </c>
      <c r="B35" s="1127" t="s">
        <v>2163</v>
      </c>
      <c r="C35" s="1127" t="s">
        <v>2166</v>
      </c>
      <c r="D35" s="1215" t="s">
        <v>2167</v>
      </c>
      <c r="E35" s="451">
        <v>1000</v>
      </c>
      <c r="F35" s="586" t="s">
        <v>131</v>
      </c>
      <c r="G35" s="1217" t="s">
        <v>2168</v>
      </c>
      <c r="H35" s="1217" t="s">
        <v>2169</v>
      </c>
      <c r="I35" s="1131">
        <f>+(AJ35+AJ36)/AJ$34*100</f>
        <v>2.0278397103189794</v>
      </c>
      <c r="J35" s="1212"/>
      <c r="K35" s="1212">
        <v>30</v>
      </c>
      <c r="L35" s="517">
        <v>83</v>
      </c>
      <c r="M35" s="517">
        <v>83</v>
      </c>
      <c r="N35" s="517">
        <v>84</v>
      </c>
      <c r="O35" s="517">
        <v>3333</v>
      </c>
      <c r="P35" s="517">
        <v>3333</v>
      </c>
      <c r="Q35" s="517">
        <v>3334</v>
      </c>
      <c r="R35" s="517">
        <v>83</v>
      </c>
      <c r="S35" s="517">
        <v>83</v>
      </c>
      <c r="T35" s="517">
        <v>84</v>
      </c>
      <c r="U35" s="517">
        <v>3333</v>
      </c>
      <c r="V35" s="517">
        <v>3333</v>
      </c>
      <c r="W35" s="517">
        <v>3334</v>
      </c>
      <c r="X35" s="517">
        <v>83</v>
      </c>
      <c r="Y35" s="517">
        <v>83</v>
      </c>
      <c r="Z35" s="517">
        <v>84</v>
      </c>
      <c r="AA35" s="517">
        <v>3333</v>
      </c>
      <c r="AB35" s="517">
        <v>3333</v>
      </c>
      <c r="AC35" s="517">
        <v>3334</v>
      </c>
      <c r="AD35" s="517">
        <v>83</v>
      </c>
      <c r="AE35" s="517">
        <v>83</v>
      </c>
      <c r="AF35" s="517">
        <v>84</v>
      </c>
      <c r="AG35" s="517">
        <v>3333</v>
      </c>
      <c r="AH35" s="517">
        <v>3333</v>
      </c>
      <c r="AI35" s="517">
        <v>3334</v>
      </c>
      <c r="AJ35" s="517">
        <f>O35+P35+Q35+U35+V35+W35+AA35+AB35+AC35+AG35+AH35+AI35</f>
        <v>40000</v>
      </c>
      <c r="AK35" s="591">
        <v>40000</v>
      </c>
      <c r="AL35" s="517"/>
      <c r="AM35" s="517"/>
      <c r="AN35" s="517"/>
      <c r="AO35" s="517"/>
      <c r="AP35" s="452" t="s">
        <v>2100</v>
      </c>
      <c r="AQ35" s="928" t="s">
        <v>2170</v>
      </c>
      <c r="AR35" s="452"/>
      <c r="AS35" s="653"/>
      <c r="AT35" s="653"/>
      <c r="AU35" s="653"/>
      <c r="AV35" s="654"/>
      <c r="AW35" s="654"/>
      <c r="AX35" s="653"/>
    </row>
    <row r="36" spans="1:50" ht="31.5">
      <c r="A36" s="1128"/>
      <c r="B36" s="1128"/>
      <c r="C36" s="1128"/>
      <c r="D36" s="1216"/>
      <c r="E36" s="451">
        <v>500</v>
      </c>
      <c r="F36" s="656" t="s">
        <v>134</v>
      </c>
      <c r="G36" s="1214"/>
      <c r="H36" s="1218"/>
      <c r="I36" s="1132"/>
      <c r="J36" s="1213"/>
      <c r="K36" s="1213"/>
      <c r="L36" s="517">
        <v>41</v>
      </c>
      <c r="M36" s="517">
        <v>42</v>
      </c>
      <c r="N36" s="517">
        <v>42</v>
      </c>
      <c r="O36" s="517">
        <v>1324</v>
      </c>
      <c r="P36" s="517">
        <v>1324</v>
      </c>
      <c r="Q36" s="517">
        <v>1324</v>
      </c>
      <c r="R36" s="517">
        <v>41</v>
      </c>
      <c r="S36" s="517">
        <v>42</v>
      </c>
      <c r="T36" s="517">
        <v>42</v>
      </c>
      <c r="U36" s="517">
        <v>1324</v>
      </c>
      <c r="V36" s="517">
        <v>1324</v>
      </c>
      <c r="W36" s="517">
        <v>1324</v>
      </c>
      <c r="X36" s="517">
        <v>41</v>
      </c>
      <c r="Y36" s="517">
        <v>42</v>
      </c>
      <c r="Z36" s="517">
        <v>42</v>
      </c>
      <c r="AA36" s="517">
        <v>1324</v>
      </c>
      <c r="AB36" s="517">
        <v>1324</v>
      </c>
      <c r="AC36" s="517">
        <v>1324</v>
      </c>
      <c r="AD36" s="517">
        <v>41</v>
      </c>
      <c r="AE36" s="517">
        <v>42</v>
      </c>
      <c r="AF36" s="517">
        <v>42</v>
      </c>
      <c r="AG36" s="517">
        <v>1324</v>
      </c>
      <c r="AH36" s="517">
        <v>1324</v>
      </c>
      <c r="AI36" s="517">
        <v>1326</v>
      </c>
      <c r="AJ36" s="517">
        <f>O36+P36+Q36+U36+V36+W36+AA36+AB36+AC36+AG36+AH36+AI36</f>
        <v>15890</v>
      </c>
      <c r="AK36" s="591">
        <v>15890</v>
      </c>
      <c r="AL36" s="517"/>
      <c r="AM36" s="517"/>
      <c r="AN36" s="517"/>
      <c r="AO36" s="517"/>
      <c r="AP36" s="452" t="s">
        <v>2100</v>
      </c>
      <c r="AQ36" s="1214"/>
      <c r="AR36" s="452"/>
      <c r="AS36" s="653"/>
      <c r="AT36" s="653"/>
      <c r="AU36" s="653"/>
      <c r="AV36" s="654"/>
      <c r="AW36" s="654"/>
      <c r="AX36" s="653"/>
    </row>
    <row r="37" spans="1:50" ht="31.5">
      <c r="A37" s="1127" t="s">
        <v>2058</v>
      </c>
      <c r="B37" s="1127" t="s">
        <v>2163</v>
      </c>
      <c r="C37" s="1127" t="s">
        <v>2171</v>
      </c>
      <c r="D37" s="1215" t="s">
        <v>2172</v>
      </c>
      <c r="E37" s="451">
        <v>300</v>
      </c>
      <c r="F37" s="586" t="s">
        <v>131</v>
      </c>
      <c r="G37" s="1215" t="s">
        <v>2173</v>
      </c>
      <c r="H37" s="1217" t="s">
        <v>2174</v>
      </c>
      <c r="I37" s="1131">
        <f>+(AJ37+AJ38)/AJ$34*100</f>
        <v>52.824698354761288</v>
      </c>
      <c r="J37" s="1212"/>
      <c r="K37" s="1212">
        <v>35</v>
      </c>
      <c r="L37" s="517"/>
      <c r="M37" s="517"/>
      <c r="N37" s="517">
        <v>300</v>
      </c>
      <c r="O37" s="517">
        <v>96344</v>
      </c>
      <c r="P37" s="517">
        <v>96344</v>
      </c>
      <c r="Q37" s="517">
        <v>96344</v>
      </c>
      <c r="R37" s="517"/>
      <c r="S37" s="517"/>
      <c r="T37" s="517">
        <v>300</v>
      </c>
      <c r="U37" s="517">
        <v>96344</v>
      </c>
      <c r="V37" s="517">
        <v>96344</v>
      </c>
      <c r="W37" s="517">
        <v>96344</v>
      </c>
      <c r="X37" s="517"/>
      <c r="Y37" s="517"/>
      <c r="Z37" s="517">
        <v>300</v>
      </c>
      <c r="AA37" s="517">
        <v>96344</v>
      </c>
      <c r="AB37" s="517">
        <v>96344</v>
      </c>
      <c r="AC37" s="517">
        <v>96344</v>
      </c>
      <c r="AD37" s="517"/>
      <c r="AE37" s="517"/>
      <c r="AF37" s="517">
        <v>300</v>
      </c>
      <c r="AG37" s="517">
        <v>96344</v>
      </c>
      <c r="AH37" s="517">
        <v>96344</v>
      </c>
      <c r="AI37" s="517">
        <v>96136</v>
      </c>
      <c r="AJ37" s="517">
        <f>AK37+AM37</f>
        <v>1155920</v>
      </c>
      <c r="AK37" s="591">
        <v>845920</v>
      </c>
      <c r="AL37" s="517"/>
      <c r="AM37" s="517">
        <v>310000</v>
      </c>
      <c r="AN37" s="517"/>
      <c r="AO37" s="517"/>
      <c r="AP37" s="452" t="s">
        <v>2100</v>
      </c>
      <c r="AQ37" s="928" t="s">
        <v>2091</v>
      </c>
      <c r="AR37" s="452" t="s">
        <v>2175</v>
      </c>
      <c r="AS37" s="653"/>
      <c r="AT37" s="653"/>
      <c r="AU37" s="653"/>
      <c r="AV37" s="654"/>
      <c r="AW37" s="654"/>
      <c r="AX37" s="653"/>
    </row>
    <row r="38" spans="1:50" ht="31.5">
      <c r="A38" s="1128"/>
      <c r="B38" s="1128"/>
      <c r="C38" s="1128"/>
      <c r="D38" s="1216"/>
      <c r="E38" s="451">
        <v>50</v>
      </c>
      <c r="F38" s="656" t="s">
        <v>134</v>
      </c>
      <c r="G38" s="1216"/>
      <c r="H38" s="1218"/>
      <c r="I38" s="1132"/>
      <c r="J38" s="1213"/>
      <c r="K38" s="1213"/>
      <c r="L38" s="517"/>
      <c r="M38" s="517"/>
      <c r="N38" s="517">
        <v>50</v>
      </c>
      <c r="O38" s="517">
        <v>25000</v>
      </c>
      <c r="P38" s="517">
        <v>25000</v>
      </c>
      <c r="Q38" s="517">
        <v>25000</v>
      </c>
      <c r="R38" s="517"/>
      <c r="S38" s="517"/>
      <c r="T38" s="517">
        <v>50</v>
      </c>
      <c r="U38" s="517">
        <v>25000</v>
      </c>
      <c r="V38" s="517">
        <v>25000</v>
      </c>
      <c r="W38" s="517">
        <v>25000</v>
      </c>
      <c r="X38" s="517"/>
      <c r="Y38" s="517"/>
      <c r="Z38" s="517">
        <v>50</v>
      </c>
      <c r="AA38" s="517">
        <v>25000</v>
      </c>
      <c r="AB38" s="517">
        <v>25000</v>
      </c>
      <c r="AC38" s="517">
        <v>25000</v>
      </c>
      <c r="AD38" s="517"/>
      <c r="AE38" s="517"/>
      <c r="AF38" s="517">
        <v>50</v>
      </c>
      <c r="AG38" s="517">
        <v>25000</v>
      </c>
      <c r="AH38" s="517">
        <v>25000</v>
      </c>
      <c r="AI38" s="517">
        <v>25000</v>
      </c>
      <c r="AJ38" s="517">
        <f>AK38+AM38</f>
        <v>300000</v>
      </c>
      <c r="AK38" s="591">
        <v>210000</v>
      </c>
      <c r="AL38" s="517"/>
      <c r="AM38" s="517">
        <v>90000</v>
      </c>
      <c r="AN38" s="517"/>
      <c r="AO38" s="517"/>
      <c r="AP38" s="452" t="s">
        <v>2100</v>
      </c>
      <c r="AQ38" s="1214"/>
      <c r="AR38" s="452" t="s">
        <v>2175</v>
      </c>
      <c r="AS38" s="653"/>
      <c r="AT38" s="653"/>
      <c r="AU38" s="653"/>
      <c r="AV38" s="654"/>
      <c r="AW38" s="654"/>
      <c r="AX38" s="653"/>
    </row>
    <row r="39" spans="1:50" ht="31.5">
      <c r="A39" s="1127" t="s">
        <v>2058</v>
      </c>
      <c r="B39" s="1127" t="s">
        <v>2163</v>
      </c>
      <c r="C39" s="1127" t="s">
        <v>2176</v>
      </c>
      <c r="D39" s="1215" t="s">
        <v>2177</v>
      </c>
      <c r="E39" s="451">
        <v>79</v>
      </c>
      <c r="F39" s="586" t="s">
        <v>131</v>
      </c>
      <c r="G39" s="1100" t="s">
        <v>2178</v>
      </c>
      <c r="H39" s="1217" t="s">
        <v>2179</v>
      </c>
      <c r="I39" s="1131">
        <f>+(AJ39+AJ40)/AJ$34*100</f>
        <v>45.147461934919733</v>
      </c>
      <c r="J39" s="1212"/>
      <c r="K39" s="1212">
        <v>35</v>
      </c>
      <c r="L39" s="517"/>
      <c r="M39" s="517"/>
      <c r="N39" s="517"/>
      <c r="O39" s="517"/>
      <c r="P39" s="517"/>
      <c r="Q39" s="517"/>
      <c r="R39" s="517">
        <v>79</v>
      </c>
      <c r="S39" s="517"/>
      <c r="T39" s="517"/>
      <c r="U39" s="517"/>
      <c r="V39" s="517"/>
      <c r="W39" s="517">
        <v>897700</v>
      </c>
      <c r="X39" s="517"/>
      <c r="Y39" s="517"/>
      <c r="Z39" s="517"/>
      <c r="AA39" s="517"/>
      <c r="AB39" s="517"/>
      <c r="AC39" s="517"/>
      <c r="AD39" s="517"/>
      <c r="AE39" s="517"/>
      <c r="AF39" s="517"/>
      <c r="AG39" s="517"/>
      <c r="AH39" s="517"/>
      <c r="AI39" s="517"/>
      <c r="AJ39" s="517">
        <f>AK39+AM39</f>
        <v>897700</v>
      </c>
      <c r="AK39" s="591">
        <v>682700</v>
      </c>
      <c r="AL39" s="517"/>
      <c r="AM39" s="517">
        <v>215000</v>
      </c>
      <c r="AN39" s="517"/>
      <c r="AO39" s="517"/>
      <c r="AP39" s="452" t="s">
        <v>2100</v>
      </c>
      <c r="AQ39" s="928" t="s">
        <v>2091</v>
      </c>
      <c r="AR39" s="452"/>
      <c r="AS39" s="653"/>
      <c r="AT39" s="653"/>
      <c r="AU39" s="653"/>
      <c r="AV39" s="654"/>
      <c r="AW39" s="654"/>
      <c r="AX39" s="653"/>
    </row>
    <row r="40" spans="1:50" ht="31.5">
      <c r="A40" s="1128"/>
      <c r="B40" s="1128"/>
      <c r="C40" s="1128"/>
      <c r="D40" s="1216"/>
      <c r="E40" s="451">
        <v>21</v>
      </c>
      <c r="F40" s="656" t="s">
        <v>134</v>
      </c>
      <c r="G40" s="1102"/>
      <c r="H40" s="1218"/>
      <c r="I40" s="1132"/>
      <c r="J40" s="1213"/>
      <c r="K40" s="1213"/>
      <c r="L40" s="517"/>
      <c r="M40" s="517"/>
      <c r="N40" s="517"/>
      <c r="O40" s="517"/>
      <c r="P40" s="517"/>
      <c r="Q40" s="517"/>
      <c r="R40" s="517">
        <v>21</v>
      </c>
      <c r="S40" s="517"/>
      <c r="T40" s="517"/>
      <c r="U40" s="517"/>
      <c r="V40" s="517"/>
      <c r="W40" s="517">
        <v>346625</v>
      </c>
      <c r="X40" s="517"/>
      <c r="Y40" s="517"/>
      <c r="Z40" s="517"/>
      <c r="AA40" s="517"/>
      <c r="AB40" s="517"/>
      <c r="AC40" s="517"/>
      <c r="AD40" s="517"/>
      <c r="AE40" s="517"/>
      <c r="AF40" s="517"/>
      <c r="AG40" s="517"/>
      <c r="AH40" s="517"/>
      <c r="AI40" s="517"/>
      <c r="AJ40" s="517">
        <f>AK40+AM40</f>
        <v>346625</v>
      </c>
      <c r="AK40" s="591">
        <v>246625</v>
      </c>
      <c r="AL40" s="517"/>
      <c r="AM40" s="517">
        <v>100000</v>
      </c>
      <c r="AN40" s="517"/>
      <c r="AO40" s="517"/>
      <c r="AP40" s="452" t="s">
        <v>2100</v>
      </c>
      <c r="AQ40" s="1214"/>
      <c r="AR40" s="452"/>
      <c r="AS40" s="653"/>
      <c r="AT40" s="653"/>
      <c r="AU40" s="653"/>
      <c r="AV40" s="654"/>
      <c r="AW40" s="654"/>
      <c r="AX40" s="653"/>
    </row>
    <row r="41" spans="1:50" ht="47.25">
      <c r="A41" s="439" t="s">
        <v>2058</v>
      </c>
      <c r="B41" s="439" t="s">
        <v>2180</v>
      </c>
      <c r="C41" s="439" t="s">
        <v>2181</v>
      </c>
      <c r="D41" s="440" t="s">
        <v>2182</v>
      </c>
      <c r="E41" s="442"/>
      <c r="F41" s="580"/>
      <c r="G41" s="649"/>
      <c r="H41" s="649"/>
      <c r="I41" s="819">
        <v>0.1</v>
      </c>
      <c r="J41" s="442">
        <v>1</v>
      </c>
      <c r="K41" s="442"/>
      <c r="L41" s="505"/>
      <c r="M41" s="505"/>
      <c r="N41" s="505"/>
      <c r="O41" s="505"/>
      <c r="P41" s="505"/>
      <c r="Q41" s="505"/>
      <c r="R41" s="505"/>
      <c r="S41" s="505"/>
      <c r="T41" s="505"/>
      <c r="U41" s="505"/>
      <c r="V41" s="505"/>
      <c r="W41" s="505"/>
      <c r="X41" s="505"/>
      <c r="Y41" s="505"/>
      <c r="Z41" s="505"/>
      <c r="AA41" s="505"/>
      <c r="AB41" s="505">
        <f>SUM(AB42:AB44)</f>
        <v>1000</v>
      </c>
      <c r="AC41" s="505">
        <f>SUM(AC42:AC44)</f>
        <v>1000</v>
      </c>
      <c r="AD41" s="505"/>
      <c r="AE41" s="505"/>
      <c r="AF41" s="505"/>
      <c r="AG41" s="505">
        <f>SUM(AG42:AG44)</f>
        <v>1000</v>
      </c>
      <c r="AH41" s="505"/>
      <c r="AI41" s="505"/>
      <c r="AJ41" s="505">
        <f>SUM(AJ42:AJ44)</f>
        <v>3000</v>
      </c>
      <c r="AK41" s="505">
        <f>SUM(AK42:AK44)</f>
        <v>3000</v>
      </c>
      <c r="AL41" s="505"/>
      <c r="AM41" s="505"/>
      <c r="AN41" s="505"/>
      <c r="AO41" s="505"/>
      <c r="AP41" s="649"/>
      <c r="AQ41" s="649"/>
      <c r="AR41" s="649"/>
      <c r="AS41" s="653"/>
      <c r="AT41" s="653"/>
      <c r="AU41" s="653"/>
      <c r="AV41" s="654"/>
      <c r="AW41" s="654"/>
      <c r="AX41" s="653"/>
    </row>
    <row r="42" spans="1:50" ht="78.75">
      <c r="A42" s="656" t="s">
        <v>1239</v>
      </c>
      <c r="B42" s="656" t="s">
        <v>2180</v>
      </c>
      <c r="C42" s="656" t="s">
        <v>2183</v>
      </c>
      <c r="D42" s="782" t="s">
        <v>2184</v>
      </c>
      <c r="E42" s="451">
        <v>1</v>
      </c>
      <c r="F42" s="586" t="s">
        <v>196</v>
      </c>
      <c r="G42" s="638" t="s">
        <v>2185</v>
      </c>
      <c r="H42" s="638" t="s">
        <v>2186</v>
      </c>
      <c r="I42" s="451">
        <v>33</v>
      </c>
      <c r="J42" s="451"/>
      <c r="K42" s="451">
        <v>33</v>
      </c>
      <c r="L42" s="517"/>
      <c r="M42" s="517"/>
      <c r="N42" s="517"/>
      <c r="O42" s="517"/>
      <c r="P42" s="517"/>
      <c r="Q42" s="517"/>
      <c r="R42" s="517"/>
      <c r="S42" s="517"/>
      <c r="T42" s="517"/>
      <c r="U42" s="517"/>
      <c r="V42" s="517"/>
      <c r="W42" s="517"/>
      <c r="X42" s="517"/>
      <c r="Y42" s="517">
        <v>1</v>
      </c>
      <c r="Z42" s="517"/>
      <c r="AA42" s="517"/>
      <c r="AB42" s="517">
        <v>1000</v>
      </c>
      <c r="AC42" s="517"/>
      <c r="AD42" s="517"/>
      <c r="AE42" s="517"/>
      <c r="AF42" s="517"/>
      <c r="AG42" s="517"/>
      <c r="AH42" s="517"/>
      <c r="AI42" s="517"/>
      <c r="AJ42" s="517">
        <f>O42+P42+Q42+U42+V42+W42+AA42+AB42+AC42+AG42+AH42+AI42</f>
        <v>1000</v>
      </c>
      <c r="AK42" s="591">
        <v>1000</v>
      </c>
      <c r="AL42" s="517"/>
      <c r="AM42" s="517"/>
      <c r="AN42" s="517"/>
      <c r="AO42" s="517"/>
      <c r="AP42" s="452" t="s">
        <v>2100</v>
      </c>
      <c r="AQ42" s="460" t="s">
        <v>2187</v>
      </c>
      <c r="AR42" s="452"/>
      <c r="AS42" s="653"/>
      <c r="AT42" s="653"/>
      <c r="AU42" s="653"/>
      <c r="AV42" s="654"/>
      <c r="AW42" s="654"/>
      <c r="AX42" s="653"/>
    </row>
    <row r="43" spans="1:50" ht="63">
      <c r="A43" s="656" t="s">
        <v>2188</v>
      </c>
      <c r="B43" s="656" t="s">
        <v>2180</v>
      </c>
      <c r="C43" s="656" t="s">
        <v>2189</v>
      </c>
      <c r="D43" s="782" t="s">
        <v>2190</v>
      </c>
      <c r="E43" s="451">
        <v>1</v>
      </c>
      <c r="F43" s="586" t="s">
        <v>196</v>
      </c>
      <c r="G43" s="638" t="s">
        <v>2191</v>
      </c>
      <c r="H43" s="638" t="s">
        <v>2192</v>
      </c>
      <c r="I43" s="451">
        <v>33</v>
      </c>
      <c r="J43" s="451"/>
      <c r="K43" s="451">
        <v>33</v>
      </c>
      <c r="L43" s="517"/>
      <c r="M43" s="517"/>
      <c r="N43" s="517"/>
      <c r="O43" s="517"/>
      <c r="P43" s="517"/>
      <c r="Q43" s="517"/>
      <c r="R43" s="517"/>
      <c r="S43" s="517"/>
      <c r="T43" s="517"/>
      <c r="U43" s="517"/>
      <c r="V43" s="517"/>
      <c r="W43" s="517"/>
      <c r="X43" s="517"/>
      <c r="Y43" s="517"/>
      <c r="Z43" s="517">
        <v>1</v>
      </c>
      <c r="AA43" s="517"/>
      <c r="AB43" s="517"/>
      <c r="AC43" s="517">
        <v>1000</v>
      </c>
      <c r="AD43" s="517"/>
      <c r="AE43" s="517"/>
      <c r="AF43" s="517"/>
      <c r="AG43" s="517"/>
      <c r="AH43" s="517"/>
      <c r="AI43" s="517"/>
      <c r="AJ43" s="517">
        <f>O43+P43+Q43+U43+V43+W43+AA43+AB43+AC43+AG43+AH43+AI43</f>
        <v>1000</v>
      </c>
      <c r="AK43" s="591">
        <v>1000</v>
      </c>
      <c r="AL43" s="517"/>
      <c r="AM43" s="517"/>
      <c r="AN43" s="517"/>
      <c r="AO43" s="517"/>
      <c r="AP43" s="452" t="s">
        <v>2100</v>
      </c>
      <c r="AQ43" s="460" t="s">
        <v>2187</v>
      </c>
      <c r="AR43" s="452"/>
      <c r="AS43" s="653"/>
      <c r="AT43" s="653"/>
      <c r="AU43" s="653"/>
      <c r="AV43" s="654"/>
      <c r="AW43" s="654"/>
      <c r="AX43" s="653"/>
    </row>
    <row r="44" spans="1:50" ht="63">
      <c r="A44" s="656" t="s">
        <v>2193</v>
      </c>
      <c r="B44" s="656" t="s">
        <v>2180</v>
      </c>
      <c r="C44" s="656" t="s">
        <v>2194</v>
      </c>
      <c r="D44" s="782" t="s">
        <v>2195</v>
      </c>
      <c r="E44" s="451">
        <v>1</v>
      </c>
      <c r="F44" s="586" t="s">
        <v>196</v>
      </c>
      <c r="G44" s="638" t="s">
        <v>2196</v>
      </c>
      <c r="H44" s="638" t="s">
        <v>2197</v>
      </c>
      <c r="I44" s="451">
        <v>34</v>
      </c>
      <c r="J44" s="451"/>
      <c r="K44" s="451">
        <v>34</v>
      </c>
      <c r="L44" s="517"/>
      <c r="M44" s="517"/>
      <c r="N44" s="517"/>
      <c r="O44" s="517"/>
      <c r="P44" s="517"/>
      <c r="Q44" s="517"/>
      <c r="R44" s="517"/>
      <c r="S44" s="517"/>
      <c r="T44" s="517"/>
      <c r="U44" s="517"/>
      <c r="V44" s="517"/>
      <c r="W44" s="517"/>
      <c r="X44" s="517"/>
      <c r="Y44" s="517"/>
      <c r="Z44" s="517"/>
      <c r="AA44" s="517"/>
      <c r="AB44" s="517"/>
      <c r="AC44" s="517"/>
      <c r="AD44" s="517">
        <v>1</v>
      </c>
      <c r="AE44" s="517"/>
      <c r="AF44" s="517"/>
      <c r="AG44" s="517">
        <v>1000</v>
      </c>
      <c r="AH44" s="517"/>
      <c r="AI44" s="517"/>
      <c r="AJ44" s="517">
        <f>O44+P44+Q44+U44+V44+W44+AA44+AB44+AC44+AG44+AH44+AI44</f>
        <v>1000</v>
      </c>
      <c r="AK44" s="591">
        <v>1000</v>
      </c>
      <c r="AL44" s="517"/>
      <c r="AM44" s="517"/>
      <c r="AN44" s="517"/>
      <c r="AO44" s="517"/>
      <c r="AP44" s="452" t="s">
        <v>2100</v>
      </c>
      <c r="AQ44" s="460" t="s">
        <v>2187</v>
      </c>
      <c r="AR44" s="452"/>
      <c r="AS44" s="653"/>
      <c r="AT44" s="653"/>
      <c r="AU44" s="653"/>
      <c r="AV44" s="654"/>
      <c r="AW44" s="654"/>
      <c r="AX44" s="653"/>
    </row>
    <row r="45" spans="1:50">
      <c r="A45" s="461"/>
      <c r="B45" s="461"/>
      <c r="C45" s="461"/>
      <c r="D45" s="461" t="s">
        <v>156</v>
      </c>
      <c r="E45" s="464"/>
      <c r="F45" s="773"/>
      <c r="G45" s="659"/>
      <c r="H45" s="659"/>
      <c r="I45" s="464"/>
      <c r="J45" s="464">
        <f>J41+J34+J28+J26+J22+J19+J17+J14+J10</f>
        <v>100</v>
      </c>
      <c r="K45" s="820"/>
      <c r="L45" s="660"/>
      <c r="M45" s="660"/>
      <c r="N45" s="660"/>
      <c r="O45" s="660">
        <f>O41+O34+O28+O26+O22+O19+O17+O14+O10</f>
        <v>126001</v>
      </c>
      <c r="P45" s="660">
        <f>P41+P34+P28+P26+P22+P19+P17+P14+P10</f>
        <v>126001</v>
      </c>
      <c r="Q45" s="660">
        <f>Q41+Q34+Q28+Q26+Q22+Q19+Q17+Q14+Q10</f>
        <v>126002</v>
      </c>
      <c r="R45" s="660"/>
      <c r="S45" s="660"/>
      <c r="T45" s="660"/>
      <c r="U45" s="660">
        <f>U41+U34+U28+U26+U22+U19+U17+U14+U10</f>
        <v>126001</v>
      </c>
      <c r="V45" s="660">
        <f>V41+V34+V28+V26+V22+V19+V17+V14+V10</f>
        <v>126001</v>
      </c>
      <c r="W45" s="660">
        <f>W41+W34+W28+W26+W22+W19+W17+W14+W10</f>
        <v>1371327</v>
      </c>
      <c r="X45" s="660"/>
      <c r="Y45" s="660"/>
      <c r="Z45" s="660"/>
      <c r="AA45" s="660">
        <f>AA41+AA34+AA28+AA26+AA22+AA19+AA17+AA14+AA10</f>
        <v>126001</v>
      </c>
      <c r="AB45" s="660">
        <f>AB41+AB34+AB28+AB26+AB22+AB19+AB17+AB14+AB10</f>
        <v>157301</v>
      </c>
      <c r="AC45" s="660">
        <f>AC41+AC34+AC28+AC26+AC22+AC19+AC17+AC14+AC10</f>
        <v>153232</v>
      </c>
      <c r="AD45" s="660"/>
      <c r="AE45" s="660"/>
      <c r="AF45" s="660"/>
      <c r="AG45" s="660">
        <f>AG41+AG34+AG28+AG26+AG22+AG19+AG17+AG14+AG10</f>
        <v>128001</v>
      </c>
      <c r="AH45" s="660">
        <f>AH41+AH34+AH28+AH26+AH22+AH19+AH17+AH14+AH10</f>
        <v>139481</v>
      </c>
      <c r="AI45" s="660">
        <f>AI41+AI34+AI28+AI26+AI22+AI19+AI17+AI14+AI10</f>
        <v>128296</v>
      </c>
      <c r="AJ45" s="660">
        <f>AJ41+AJ34+AJ28+AJ26+AJ22+AJ19+AJ17+AJ14+AJ10</f>
        <v>2833645</v>
      </c>
      <c r="AK45" s="660">
        <f>AK41+AK34+AK28+AK26+AK22+AK19+AK17+AK14+AK10</f>
        <v>2118645</v>
      </c>
      <c r="AL45" s="660"/>
      <c r="AM45" s="660">
        <f>AM41+AM34+AM28+AM26+AM22+AM19+AM17+AM14+AM10</f>
        <v>715000</v>
      </c>
      <c r="AN45" s="660"/>
      <c r="AO45" s="660"/>
      <c r="AP45" s="659"/>
      <c r="AQ45" s="659"/>
      <c r="AR45" s="659"/>
      <c r="AS45" s="653"/>
      <c r="AT45" s="653"/>
      <c r="AU45" s="653"/>
    </row>
    <row r="47" spans="1:50">
      <c r="T47" s="1211"/>
      <c r="U47" s="1211"/>
      <c r="V47" s="1211"/>
      <c r="W47" s="1211"/>
    </row>
  </sheetData>
  <mergeCells count="69">
    <mergeCell ref="A1:AR1"/>
    <mergeCell ref="A2:AR2"/>
    <mergeCell ref="D3:F3"/>
    <mergeCell ref="A6:C6"/>
    <mergeCell ref="D6:D9"/>
    <mergeCell ref="E6:E9"/>
    <mergeCell ref="F6:F9"/>
    <mergeCell ref="G6:G9"/>
    <mergeCell ref="H6:H9"/>
    <mergeCell ref="I6:I9"/>
    <mergeCell ref="AR6:AR9"/>
    <mergeCell ref="A7:A9"/>
    <mergeCell ref="B7:B9"/>
    <mergeCell ref="C7:C9"/>
    <mergeCell ref="L7:Q7"/>
    <mergeCell ref="R7:W7"/>
    <mergeCell ref="X7:AC7"/>
    <mergeCell ref="J6:J9"/>
    <mergeCell ref="K6:K9"/>
    <mergeCell ref="L6:AJ6"/>
    <mergeCell ref="AK6:AO6"/>
    <mergeCell ref="X8:Z8"/>
    <mergeCell ref="AA8:AC8"/>
    <mergeCell ref="AL7:AL9"/>
    <mergeCell ref="AM7:AM9"/>
    <mergeCell ref="AN7:AN9"/>
    <mergeCell ref="AO7:AO9"/>
    <mergeCell ref="A35:A36"/>
    <mergeCell ref="B35:B36"/>
    <mergeCell ref="C35:C36"/>
    <mergeCell ref="D35:D36"/>
    <mergeCell ref="G35:G36"/>
    <mergeCell ref="D37:D38"/>
    <mergeCell ref="G37:G38"/>
    <mergeCell ref="AP6:AP9"/>
    <mergeCell ref="AQ6:AQ9"/>
    <mergeCell ref="AD8:AF8"/>
    <mergeCell ref="AG8:AI8"/>
    <mergeCell ref="H35:H36"/>
    <mergeCell ref="I35:I36"/>
    <mergeCell ref="J35:J36"/>
    <mergeCell ref="L8:N8"/>
    <mergeCell ref="O8:Q8"/>
    <mergeCell ref="R8:T8"/>
    <mergeCell ref="U8:W8"/>
    <mergeCell ref="AD7:AI7"/>
    <mergeCell ref="AJ7:AJ9"/>
    <mergeCell ref="AK7:AK9"/>
    <mergeCell ref="K35:K36"/>
    <mergeCell ref="AQ35:AQ36"/>
    <mergeCell ref="H37:H38"/>
    <mergeCell ref="I37:I38"/>
    <mergeCell ref="J37:J38"/>
    <mergeCell ref="T47:W47"/>
    <mergeCell ref="K37:K38"/>
    <mergeCell ref="AQ37:AQ38"/>
    <mergeCell ref="A39:A40"/>
    <mergeCell ref="B39:B40"/>
    <mergeCell ref="C39:C40"/>
    <mergeCell ref="D39:D40"/>
    <mergeCell ref="G39:G40"/>
    <mergeCell ref="H39:H40"/>
    <mergeCell ref="I39:I40"/>
    <mergeCell ref="J39:J40"/>
    <mergeCell ref="K39:K40"/>
    <mergeCell ref="AQ39:AQ40"/>
    <mergeCell ref="A37:A38"/>
    <mergeCell ref="B37:B38"/>
    <mergeCell ref="C37:C38"/>
  </mergeCells>
  <printOptions horizontalCentered="1"/>
  <pageMargins left="0.98425196850393704" right="0.78740157480314965" top="0.98425196850393704" bottom="0.78740157480314965" header="0" footer="0"/>
  <pageSetup paperSize="5" scale="39" fitToHeight="2" orientation="landscape" r:id="rId1"/>
  <headerFooter alignWithMargins="0">
    <oddFooter>Página &amp;P</oddFooter>
  </headerFooter>
  <drawing r:id="rId2"/>
  <legacyDrawing r:id="rId3"/>
  <oleObjects>
    <oleObject progId="PBrush" shapeId="5121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BC21"/>
  <sheetViews>
    <sheetView showGridLines="0" view="pageBreakPreview" zoomScale="69" zoomScaleNormal="100" zoomScaleSheetLayoutView="69" workbookViewId="0">
      <selection activeCell="A13" sqref="A13"/>
    </sheetView>
  </sheetViews>
  <sheetFormatPr baseColWidth="10" defaultRowHeight="15.75"/>
  <cols>
    <col min="1" max="1" width="5.5703125" style="433" bestFit="1" customWidth="1"/>
    <col min="2" max="2" width="11.7109375" style="433" bestFit="1" customWidth="1"/>
    <col min="3" max="3" width="21.5703125" style="433" customWidth="1"/>
    <col min="4" max="4" width="23.42578125" style="433" customWidth="1"/>
    <col min="5" max="5" width="8.140625" style="433" customWidth="1"/>
    <col min="6" max="6" width="13.85546875" style="433" customWidth="1"/>
    <col min="7" max="7" width="16.7109375" style="433" customWidth="1"/>
    <col min="8" max="8" width="17.5703125" style="433" customWidth="1"/>
    <col min="9" max="9" width="12.85546875" style="433" customWidth="1"/>
    <col min="10" max="11" width="12.28515625" style="433" customWidth="1"/>
    <col min="12" max="13" width="2.5703125" style="433" bestFit="1" customWidth="1"/>
    <col min="14" max="14" width="3.42578125" style="433" bestFit="1" customWidth="1"/>
    <col min="15" max="17" width="7" style="470" bestFit="1" customWidth="1"/>
    <col min="18" max="18" width="2.85546875" style="470" bestFit="1" customWidth="1"/>
    <col min="19" max="19" width="3.42578125" style="470" bestFit="1" customWidth="1"/>
    <col min="20" max="20" width="2.5703125" style="470" bestFit="1" customWidth="1"/>
    <col min="21" max="22" width="7" style="470" bestFit="1" customWidth="1"/>
    <col min="23" max="23" width="7" style="433" bestFit="1" customWidth="1"/>
    <col min="24" max="24" width="2.5703125" style="433" bestFit="1" customWidth="1"/>
    <col min="25" max="25" width="2.85546875" style="433" bestFit="1" customWidth="1"/>
    <col min="26" max="26" width="2.5703125" style="433" bestFit="1" customWidth="1"/>
    <col min="27" max="28" width="7" style="433" bestFit="1" customWidth="1"/>
    <col min="29" max="29" width="8.28515625" style="433" bestFit="1" customWidth="1"/>
    <col min="30" max="32" width="2.85546875" style="433" bestFit="1" customWidth="1"/>
    <col min="33" max="34" width="7" style="433" bestFit="1" customWidth="1"/>
    <col min="35" max="35" width="8.28515625" style="433" bestFit="1" customWidth="1"/>
    <col min="36" max="36" width="9.140625" style="433" customWidth="1"/>
    <col min="37" max="37" width="9.42578125" style="470" bestFit="1" customWidth="1"/>
    <col min="38" max="38" width="6.5703125" style="433" bestFit="1" customWidth="1"/>
    <col min="39" max="39" width="6.7109375" style="433" bestFit="1" customWidth="1"/>
    <col min="40" max="40" width="8.85546875" style="433" customWidth="1"/>
    <col min="41" max="41" width="4.85546875" style="433" bestFit="1" customWidth="1"/>
    <col min="42" max="42" width="13.85546875" style="433" customWidth="1"/>
    <col min="43" max="43" width="18.140625" style="433" customWidth="1"/>
    <col min="44" max="256" width="13.85546875" style="433" customWidth="1"/>
    <col min="257" max="257" width="5.5703125" style="433" bestFit="1" customWidth="1"/>
    <col min="258" max="258" width="11.7109375" style="433" bestFit="1" customWidth="1"/>
    <col min="259" max="259" width="21.5703125" style="433" customWidth="1"/>
    <col min="260" max="260" width="23.42578125" style="433" customWidth="1"/>
    <col min="261" max="261" width="8.140625" style="433" customWidth="1"/>
    <col min="262" max="262" width="13.85546875" style="433" customWidth="1"/>
    <col min="263" max="263" width="16.7109375" style="433" customWidth="1"/>
    <col min="264" max="264" width="17.5703125" style="433" customWidth="1"/>
    <col min="265" max="265" width="12.85546875" style="433" customWidth="1"/>
    <col min="266" max="267" width="12.28515625" style="433" customWidth="1"/>
    <col min="268" max="269" width="2.5703125" style="433" bestFit="1" customWidth="1"/>
    <col min="270" max="270" width="3.42578125" style="433" bestFit="1" customWidth="1"/>
    <col min="271" max="273" width="7" style="433" bestFit="1" customWidth="1"/>
    <col min="274" max="274" width="2.85546875" style="433" bestFit="1" customWidth="1"/>
    <col min="275" max="275" width="3.42578125" style="433" bestFit="1" customWidth="1"/>
    <col min="276" max="276" width="2.5703125" style="433" bestFit="1" customWidth="1"/>
    <col min="277" max="279" width="7" style="433" bestFit="1" customWidth="1"/>
    <col min="280" max="280" width="2.5703125" style="433" bestFit="1" customWidth="1"/>
    <col min="281" max="281" width="2.85546875" style="433" bestFit="1" customWidth="1"/>
    <col min="282" max="282" width="2.5703125" style="433" bestFit="1" customWidth="1"/>
    <col min="283" max="284" width="7" style="433" bestFit="1" customWidth="1"/>
    <col min="285" max="285" width="8.28515625" style="433" bestFit="1" customWidth="1"/>
    <col min="286" max="288" width="2.85546875" style="433" bestFit="1" customWidth="1"/>
    <col min="289" max="290" width="7" style="433" bestFit="1" customWidth="1"/>
    <col min="291" max="291" width="8.28515625" style="433" bestFit="1" customWidth="1"/>
    <col min="292" max="292" width="9.140625" style="433" customWidth="1"/>
    <col min="293" max="293" width="9.42578125" style="433" bestFit="1" customWidth="1"/>
    <col min="294" max="294" width="6.5703125" style="433" bestFit="1" customWidth="1"/>
    <col min="295" max="295" width="6.7109375" style="433" bestFit="1" customWidth="1"/>
    <col min="296" max="296" width="8.85546875" style="433" customWidth="1"/>
    <col min="297" max="297" width="4.85546875" style="433" bestFit="1" customWidth="1"/>
    <col min="298" max="298" width="13.85546875" style="433" customWidth="1"/>
    <col min="299" max="299" width="18.140625" style="433" customWidth="1"/>
    <col min="300" max="512" width="13.85546875" style="433" customWidth="1"/>
    <col min="513" max="513" width="5.5703125" style="433" bestFit="1" customWidth="1"/>
    <col min="514" max="514" width="11.7109375" style="433" bestFit="1" customWidth="1"/>
    <col min="515" max="515" width="21.5703125" style="433" customWidth="1"/>
    <col min="516" max="516" width="23.42578125" style="433" customWidth="1"/>
    <col min="517" max="517" width="8.140625" style="433" customWidth="1"/>
    <col min="518" max="518" width="13.85546875" style="433" customWidth="1"/>
    <col min="519" max="519" width="16.7109375" style="433" customWidth="1"/>
    <col min="520" max="520" width="17.5703125" style="433" customWidth="1"/>
    <col min="521" max="521" width="12.85546875" style="433" customWidth="1"/>
    <col min="522" max="523" width="12.28515625" style="433" customWidth="1"/>
    <col min="524" max="525" width="2.5703125" style="433" bestFit="1" customWidth="1"/>
    <col min="526" max="526" width="3.42578125" style="433" bestFit="1" customWidth="1"/>
    <col min="527" max="529" width="7" style="433" bestFit="1" customWidth="1"/>
    <col min="530" max="530" width="2.85546875" style="433" bestFit="1" customWidth="1"/>
    <col min="531" max="531" width="3.42578125" style="433" bestFit="1" customWidth="1"/>
    <col min="532" max="532" width="2.5703125" style="433" bestFit="1" customWidth="1"/>
    <col min="533" max="535" width="7" style="433" bestFit="1" customWidth="1"/>
    <col min="536" max="536" width="2.5703125" style="433" bestFit="1" customWidth="1"/>
    <col min="537" max="537" width="2.85546875" style="433" bestFit="1" customWidth="1"/>
    <col min="538" max="538" width="2.5703125" style="433" bestFit="1" customWidth="1"/>
    <col min="539" max="540" width="7" style="433" bestFit="1" customWidth="1"/>
    <col min="541" max="541" width="8.28515625" style="433" bestFit="1" customWidth="1"/>
    <col min="542" max="544" width="2.85546875" style="433" bestFit="1" customWidth="1"/>
    <col min="545" max="546" width="7" style="433" bestFit="1" customWidth="1"/>
    <col min="547" max="547" width="8.28515625" style="433" bestFit="1" customWidth="1"/>
    <col min="548" max="548" width="9.140625" style="433" customWidth="1"/>
    <col min="549" max="549" width="9.42578125" style="433" bestFit="1" customWidth="1"/>
    <col min="550" max="550" width="6.5703125" style="433" bestFit="1" customWidth="1"/>
    <col min="551" max="551" width="6.7109375" style="433" bestFit="1" customWidth="1"/>
    <col min="552" max="552" width="8.85546875" style="433" customWidth="1"/>
    <col min="553" max="553" width="4.85546875" style="433" bestFit="1" customWidth="1"/>
    <col min="554" max="554" width="13.85546875" style="433" customWidth="1"/>
    <col min="555" max="555" width="18.140625" style="433" customWidth="1"/>
    <col min="556" max="768" width="13.85546875" style="433" customWidth="1"/>
    <col min="769" max="769" width="5.5703125" style="433" bestFit="1" customWidth="1"/>
    <col min="770" max="770" width="11.7109375" style="433" bestFit="1" customWidth="1"/>
    <col min="771" max="771" width="21.5703125" style="433" customWidth="1"/>
    <col min="772" max="772" width="23.42578125" style="433" customWidth="1"/>
    <col min="773" max="773" width="8.140625" style="433" customWidth="1"/>
    <col min="774" max="774" width="13.85546875" style="433" customWidth="1"/>
    <col min="775" max="775" width="16.7109375" style="433" customWidth="1"/>
    <col min="776" max="776" width="17.5703125" style="433" customWidth="1"/>
    <col min="777" max="777" width="12.85546875" style="433" customWidth="1"/>
    <col min="778" max="779" width="12.28515625" style="433" customWidth="1"/>
    <col min="780" max="781" width="2.5703125" style="433" bestFit="1" customWidth="1"/>
    <col min="782" max="782" width="3.42578125" style="433" bestFit="1" customWidth="1"/>
    <col min="783" max="785" width="7" style="433" bestFit="1" customWidth="1"/>
    <col min="786" max="786" width="2.85546875" style="433" bestFit="1" customWidth="1"/>
    <col min="787" max="787" width="3.42578125" style="433" bestFit="1" customWidth="1"/>
    <col min="788" max="788" width="2.5703125" style="433" bestFit="1" customWidth="1"/>
    <col min="789" max="791" width="7" style="433" bestFit="1" customWidth="1"/>
    <col min="792" max="792" width="2.5703125" style="433" bestFit="1" customWidth="1"/>
    <col min="793" max="793" width="2.85546875" style="433" bestFit="1" customWidth="1"/>
    <col min="794" max="794" width="2.5703125" style="433" bestFit="1" customWidth="1"/>
    <col min="795" max="796" width="7" style="433" bestFit="1" customWidth="1"/>
    <col min="797" max="797" width="8.28515625" style="433" bestFit="1" customWidth="1"/>
    <col min="798" max="800" width="2.85546875" style="433" bestFit="1" customWidth="1"/>
    <col min="801" max="802" width="7" style="433" bestFit="1" customWidth="1"/>
    <col min="803" max="803" width="8.28515625" style="433" bestFit="1" customWidth="1"/>
    <col min="804" max="804" width="9.140625" style="433" customWidth="1"/>
    <col min="805" max="805" width="9.42578125" style="433" bestFit="1" customWidth="1"/>
    <col min="806" max="806" width="6.5703125" style="433" bestFit="1" customWidth="1"/>
    <col min="807" max="807" width="6.7109375" style="433" bestFit="1" customWidth="1"/>
    <col min="808" max="808" width="8.85546875" style="433" customWidth="1"/>
    <col min="809" max="809" width="4.85546875" style="433" bestFit="1" customWidth="1"/>
    <col min="810" max="810" width="13.85546875" style="433" customWidth="1"/>
    <col min="811" max="811" width="18.140625" style="433" customWidth="1"/>
    <col min="812" max="1024" width="13.85546875" style="433" customWidth="1"/>
    <col min="1025" max="1025" width="5.5703125" style="433" bestFit="1" customWidth="1"/>
    <col min="1026" max="1026" width="11.7109375" style="433" bestFit="1" customWidth="1"/>
    <col min="1027" max="1027" width="21.5703125" style="433" customWidth="1"/>
    <col min="1028" max="1028" width="23.42578125" style="433" customWidth="1"/>
    <col min="1029" max="1029" width="8.140625" style="433" customWidth="1"/>
    <col min="1030" max="1030" width="13.85546875" style="433" customWidth="1"/>
    <col min="1031" max="1031" width="16.7109375" style="433" customWidth="1"/>
    <col min="1032" max="1032" width="17.5703125" style="433" customWidth="1"/>
    <col min="1033" max="1033" width="12.85546875" style="433" customWidth="1"/>
    <col min="1034" max="1035" width="12.28515625" style="433" customWidth="1"/>
    <col min="1036" max="1037" width="2.5703125" style="433" bestFit="1" customWidth="1"/>
    <col min="1038" max="1038" width="3.42578125" style="433" bestFit="1" customWidth="1"/>
    <col min="1039" max="1041" width="7" style="433" bestFit="1" customWidth="1"/>
    <col min="1042" max="1042" width="2.85546875" style="433" bestFit="1" customWidth="1"/>
    <col min="1043" max="1043" width="3.42578125" style="433" bestFit="1" customWidth="1"/>
    <col min="1044" max="1044" width="2.5703125" style="433" bestFit="1" customWidth="1"/>
    <col min="1045" max="1047" width="7" style="433" bestFit="1" customWidth="1"/>
    <col min="1048" max="1048" width="2.5703125" style="433" bestFit="1" customWidth="1"/>
    <col min="1049" max="1049" width="2.85546875" style="433" bestFit="1" customWidth="1"/>
    <col min="1050" max="1050" width="2.5703125" style="433" bestFit="1" customWidth="1"/>
    <col min="1051" max="1052" width="7" style="433" bestFit="1" customWidth="1"/>
    <col min="1053" max="1053" width="8.28515625" style="433" bestFit="1" customWidth="1"/>
    <col min="1054" max="1056" width="2.85546875" style="433" bestFit="1" customWidth="1"/>
    <col min="1057" max="1058" width="7" style="433" bestFit="1" customWidth="1"/>
    <col min="1059" max="1059" width="8.28515625" style="433" bestFit="1" customWidth="1"/>
    <col min="1060" max="1060" width="9.140625" style="433" customWidth="1"/>
    <col min="1061" max="1061" width="9.42578125" style="433" bestFit="1" customWidth="1"/>
    <col min="1062" max="1062" width="6.5703125" style="433" bestFit="1" customWidth="1"/>
    <col min="1063" max="1063" width="6.7109375" style="433" bestFit="1" customWidth="1"/>
    <col min="1064" max="1064" width="8.85546875" style="433" customWidth="1"/>
    <col min="1065" max="1065" width="4.85546875" style="433" bestFit="1" customWidth="1"/>
    <col min="1066" max="1066" width="13.85546875" style="433" customWidth="1"/>
    <col min="1067" max="1067" width="18.140625" style="433" customWidth="1"/>
    <col min="1068" max="1280" width="13.85546875" style="433" customWidth="1"/>
    <col min="1281" max="1281" width="5.5703125" style="433" bestFit="1" customWidth="1"/>
    <col min="1282" max="1282" width="11.7109375" style="433" bestFit="1" customWidth="1"/>
    <col min="1283" max="1283" width="21.5703125" style="433" customWidth="1"/>
    <col min="1284" max="1284" width="23.42578125" style="433" customWidth="1"/>
    <col min="1285" max="1285" width="8.140625" style="433" customWidth="1"/>
    <col min="1286" max="1286" width="13.85546875" style="433" customWidth="1"/>
    <col min="1287" max="1287" width="16.7109375" style="433" customWidth="1"/>
    <col min="1288" max="1288" width="17.5703125" style="433" customWidth="1"/>
    <col min="1289" max="1289" width="12.85546875" style="433" customWidth="1"/>
    <col min="1290" max="1291" width="12.28515625" style="433" customWidth="1"/>
    <col min="1292" max="1293" width="2.5703125" style="433" bestFit="1" customWidth="1"/>
    <col min="1294" max="1294" width="3.42578125" style="433" bestFit="1" customWidth="1"/>
    <col min="1295" max="1297" width="7" style="433" bestFit="1" customWidth="1"/>
    <col min="1298" max="1298" width="2.85546875" style="433" bestFit="1" customWidth="1"/>
    <col min="1299" max="1299" width="3.42578125" style="433" bestFit="1" customWidth="1"/>
    <col min="1300" max="1300" width="2.5703125" style="433" bestFit="1" customWidth="1"/>
    <col min="1301" max="1303" width="7" style="433" bestFit="1" customWidth="1"/>
    <col min="1304" max="1304" width="2.5703125" style="433" bestFit="1" customWidth="1"/>
    <col min="1305" max="1305" width="2.85546875" style="433" bestFit="1" customWidth="1"/>
    <col min="1306" max="1306" width="2.5703125" style="433" bestFit="1" customWidth="1"/>
    <col min="1307" max="1308" width="7" style="433" bestFit="1" customWidth="1"/>
    <col min="1309" max="1309" width="8.28515625" style="433" bestFit="1" customWidth="1"/>
    <col min="1310" max="1312" width="2.85546875" style="433" bestFit="1" customWidth="1"/>
    <col min="1313" max="1314" width="7" style="433" bestFit="1" customWidth="1"/>
    <col min="1315" max="1315" width="8.28515625" style="433" bestFit="1" customWidth="1"/>
    <col min="1316" max="1316" width="9.140625" style="433" customWidth="1"/>
    <col min="1317" max="1317" width="9.42578125" style="433" bestFit="1" customWidth="1"/>
    <col min="1318" max="1318" width="6.5703125" style="433" bestFit="1" customWidth="1"/>
    <col min="1319" max="1319" width="6.7109375" style="433" bestFit="1" customWidth="1"/>
    <col min="1320" max="1320" width="8.85546875" style="433" customWidth="1"/>
    <col min="1321" max="1321" width="4.85546875" style="433" bestFit="1" customWidth="1"/>
    <col min="1322" max="1322" width="13.85546875" style="433" customWidth="1"/>
    <col min="1323" max="1323" width="18.140625" style="433" customWidth="1"/>
    <col min="1324" max="1536" width="13.85546875" style="433" customWidth="1"/>
    <col min="1537" max="1537" width="5.5703125" style="433" bestFit="1" customWidth="1"/>
    <col min="1538" max="1538" width="11.7109375" style="433" bestFit="1" customWidth="1"/>
    <col min="1539" max="1539" width="21.5703125" style="433" customWidth="1"/>
    <col min="1540" max="1540" width="23.42578125" style="433" customWidth="1"/>
    <col min="1541" max="1541" width="8.140625" style="433" customWidth="1"/>
    <col min="1542" max="1542" width="13.85546875" style="433" customWidth="1"/>
    <col min="1543" max="1543" width="16.7109375" style="433" customWidth="1"/>
    <col min="1544" max="1544" width="17.5703125" style="433" customWidth="1"/>
    <col min="1545" max="1545" width="12.85546875" style="433" customWidth="1"/>
    <col min="1546" max="1547" width="12.28515625" style="433" customWidth="1"/>
    <col min="1548" max="1549" width="2.5703125" style="433" bestFit="1" customWidth="1"/>
    <col min="1550" max="1550" width="3.42578125" style="433" bestFit="1" customWidth="1"/>
    <col min="1551" max="1553" width="7" style="433" bestFit="1" customWidth="1"/>
    <col min="1554" max="1554" width="2.85546875" style="433" bestFit="1" customWidth="1"/>
    <col min="1555" max="1555" width="3.42578125" style="433" bestFit="1" customWidth="1"/>
    <col min="1556" max="1556" width="2.5703125" style="433" bestFit="1" customWidth="1"/>
    <col min="1557" max="1559" width="7" style="433" bestFit="1" customWidth="1"/>
    <col min="1560" max="1560" width="2.5703125" style="433" bestFit="1" customWidth="1"/>
    <col min="1561" max="1561" width="2.85546875" style="433" bestFit="1" customWidth="1"/>
    <col min="1562" max="1562" width="2.5703125" style="433" bestFit="1" customWidth="1"/>
    <col min="1563" max="1564" width="7" style="433" bestFit="1" customWidth="1"/>
    <col min="1565" max="1565" width="8.28515625" style="433" bestFit="1" customWidth="1"/>
    <col min="1566" max="1568" width="2.85546875" style="433" bestFit="1" customWidth="1"/>
    <col min="1569" max="1570" width="7" style="433" bestFit="1" customWidth="1"/>
    <col min="1571" max="1571" width="8.28515625" style="433" bestFit="1" customWidth="1"/>
    <col min="1572" max="1572" width="9.140625" style="433" customWidth="1"/>
    <col min="1573" max="1573" width="9.42578125" style="433" bestFit="1" customWidth="1"/>
    <col min="1574" max="1574" width="6.5703125" style="433" bestFit="1" customWidth="1"/>
    <col min="1575" max="1575" width="6.7109375" style="433" bestFit="1" customWidth="1"/>
    <col min="1576" max="1576" width="8.85546875" style="433" customWidth="1"/>
    <col min="1577" max="1577" width="4.85546875" style="433" bestFit="1" customWidth="1"/>
    <col min="1578" max="1578" width="13.85546875" style="433" customWidth="1"/>
    <col min="1579" max="1579" width="18.140625" style="433" customWidth="1"/>
    <col min="1580" max="1792" width="13.85546875" style="433" customWidth="1"/>
    <col min="1793" max="1793" width="5.5703125" style="433" bestFit="1" customWidth="1"/>
    <col min="1794" max="1794" width="11.7109375" style="433" bestFit="1" customWidth="1"/>
    <col min="1795" max="1795" width="21.5703125" style="433" customWidth="1"/>
    <col min="1796" max="1796" width="23.42578125" style="433" customWidth="1"/>
    <col min="1797" max="1797" width="8.140625" style="433" customWidth="1"/>
    <col min="1798" max="1798" width="13.85546875" style="433" customWidth="1"/>
    <col min="1799" max="1799" width="16.7109375" style="433" customWidth="1"/>
    <col min="1800" max="1800" width="17.5703125" style="433" customWidth="1"/>
    <col min="1801" max="1801" width="12.85546875" style="433" customWidth="1"/>
    <col min="1802" max="1803" width="12.28515625" style="433" customWidth="1"/>
    <col min="1804" max="1805" width="2.5703125" style="433" bestFit="1" customWidth="1"/>
    <col min="1806" max="1806" width="3.42578125" style="433" bestFit="1" customWidth="1"/>
    <col min="1807" max="1809" width="7" style="433" bestFit="1" customWidth="1"/>
    <col min="1810" max="1810" width="2.85546875" style="433" bestFit="1" customWidth="1"/>
    <col min="1811" max="1811" width="3.42578125" style="433" bestFit="1" customWidth="1"/>
    <col min="1812" max="1812" width="2.5703125" style="433" bestFit="1" customWidth="1"/>
    <col min="1813" max="1815" width="7" style="433" bestFit="1" customWidth="1"/>
    <col min="1816" max="1816" width="2.5703125" style="433" bestFit="1" customWidth="1"/>
    <col min="1817" max="1817" width="2.85546875" style="433" bestFit="1" customWidth="1"/>
    <col min="1818" max="1818" width="2.5703125" style="433" bestFit="1" customWidth="1"/>
    <col min="1819" max="1820" width="7" style="433" bestFit="1" customWidth="1"/>
    <col min="1821" max="1821" width="8.28515625" style="433" bestFit="1" customWidth="1"/>
    <col min="1822" max="1824" width="2.85546875" style="433" bestFit="1" customWidth="1"/>
    <col min="1825" max="1826" width="7" style="433" bestFit="1" customWidth="1"/>
    <col min="1827" max="1827" width="8.28515625" style="433" bestFit="1" customWidth="1"/>
    <col min="1828" max="1828" width="9.140625" style="433" customWidth="1"/>
    <col min="1829" max="1829" width="9.42578125" style="433" bestFit="1" customWidth="1"/>
    <col min="1830" max="1830" width="6.5703125" style="433" bestFit="1" customWidth="1"/>
    <col min="1831" max="1831" width="6.7109375" style="433" bestFit="1" customWidth="1"/>
    <col min="1832" max="1832" width="8.85546875" style="433" customWidth="1"/>
    <col min="1833" max="1833" width="4.85546875" style="433" bestFit="1" customWidth="1"/>
    <col min="1834" max="1834" width="13.85546875" style="433" customWidth="1"/>
    <col min="1835" max="1835" width="18.140625" style="433" customWidth="1"/>
    <col min="1836" max="2048" width="13.85546875" style="433" customWidth="1"/>
    <col min="2049" max="2049" width="5.5703125" style="433" bestFit="1" customWidth="1"/>
    <col min="2050" max="2050" width="11.7109375" style="433" bestFit="1" customWidth="1"/>
    <col min="2051" max="2051" width="21.5703125" style="433" customWidth="1"/>
    <col min="2052" max="2052" width="23.42578125" style="433" customWidth="1"/>
    <col min="2053" max="2053" width="8.140625" style="433" customWidth="1"/>
    <col min="2054" max="2054" width="13.85546875" style="433" customWidth="1"/>
    <col min="2055" max="2055" width="16.7109375" style="433" customWidth="1"/>
    <col min="2056" max="2056" width="17.5703125" style="433" customWidth="1"/>
    <col min="2057" max="2057" width="12.85546875" style="433" customWidth="1"/>
    <col min="2058" max="2059" width="12.28515625" style="433" customWidth="1"/>
    <col min="2060" max="2061" width="2.5703125" style="433" bestFit="1" customWidth="1"/>
    <col min="2062" max="2062" width="3.42578125" style="433" bestFit="1" customWidth="1"/>
    <col min="2063" max="2065" width="7" style="433" bestFit="1" customWidth="1"/>
    <col min="2066" max="2066" width="2.85546875" style="433" bestFit="1" customWidth="1"/>
    <col min="2067" max="2067" width="3.42578125" style="433" bestFit="1" customWidth="1"/>
    <col min="2068" max="2068" width="2.5703125" style="433" bestFit="1" customWidth="1"/>
    <col min="2069" max="2071" width="7" style="433" bestFit="1" customWidth="1"/>
    <col min="2072" max="2072" width="2.5703125" style="433" bestFit="1" customWidth="1"/>
    <col min="2073" max="2073" width="2.85546875" style="433" bestFit="1" customWidth="1"/>
    <col min="2074" max="2074" width="2.5703125" style="433" bestFit="1" customWidth="1"/>
    <col min="2075" max="2076" width="7" style="433" bestFit="1" customWidth="1"/>
    <col min="2077" max="2077" width="8.28515625" style="433" bestFit="1" customWidth="1"/>
    <col min="2078" max="2080" width="2.85546875" style="433" bestFit="1" customWidth="1"/>
    <col min="2081" max="2082" width="7" style="433" bestFit="1" customWidth="1"/>
    <col min="2083" max="2083" width="8.28515625" style="433" bestFit="1" customWidth="1"/>
    <col min="2084" max="2084" width="9.140625" style="433" customWidth="1"/>
    <col min="2085" max="2085" width="9.42578125" style="433" bestFit="1" customWidth="1"/>
    <col min="2086" max="2086" width="6.5703125" style="433" bestFit="1" customWidth="1"/>
    <col min="2087" max="2087" width="6.7109375" style="433" bestFit="1" customWidth="1"/>
    <col min="2088" max="2088" width="8.85546875" style="433" customWidth="1"/>
    <col min="2089" max="2089" width="4.85546875" style="433" bestFit="1" customWidth="1"/>
    <col min="2090" max="2090" width="13.85546875" style="433" customWidth="1"/>
    <col min="2091" max="2091" width="18.140625" style="433" customWidth="1"/>
    <col min="2092" max="2304" width="13.85546875" style="433" customWidth="1"/>
    <col min="2305" max="2305" width="5.5703125" style="433" bestFit="1" customWidth="1"/>
    <col min="2306" max="2306" width="11.7109375" style="433" bestFit="1" customWidth="1"/>
    <col min="2307" max="2307" width="21.5703125" style="433" customWidth="1"/>
    <col min="2308" max="2308" width="23.42578125" style="433" customWidth="1"/>
    <col min="2309" max="2309" width="8.140625" style="433" customWidth="1"/>
    <col min="2310" max="2310" width="13.85546875" style="433" customWidth="1"/>
    <col min="2311" max="2311" width="16.7109375" style="433" customWidth="1"/>
    <col min="2312" max="2312" width="17.5703125" style="433" customWidth="1"/>
    <col min="2313" max="2313" width="12.85546875" style="433" customWidth="1"/>
    <col min="2314" max="2315" width="12.28515625" style="433" customWidth="1"/>
    <col min="2316" max="2317" width="2.5703125" style="433" bestFit="1" customWidth="1"/>
    <col min="2318" max="2318" width="3.42578125" style="433" bestFit="1" customWidth="1"/>
    <col min="2319" max="2321" width="7" style="433" bestFit="1" customWidth="1"/>
    <col min="2322" max="2322" width="2.85546875" style="433" bestFit="1" customWidth="1"/>
    <col min="2323" max="2323" width="3.42578125" style="433" bestFit="1" customWidth="1"/>
    <col min="2324" max="2324" width="2.5703125" style="433" bestFit="1" customWidth="1"/>
    <col min="2325" max="2327" width="7" style="433" bestFit="1" customWidth="1"/>
    <col min="2328" max="2328" width="2.5703125" style="433" bestFit="1" customWidth="1"/>
    <col min="2329" max="2329" width="2.85546875" style="433" bestFit="1" customWidth="1"/>
    <col min="2330" max="2330" width="2.5703125" style="433" bestFit="1" customWidth="1"/>
    <col min="2331" max="2332" width="7" style="433" bestFit="1" customWidth="1"/>
    <col min="2333" max="2333" width="8.28515625" style="433" bestFit="1" customWidth="1"/>
    <col min="2334" max="2336" width="2.85546875" style="433" bestFit="1" customWidth="1"/>
    <col min="2337" max="2338" width="7" style="433" bestFit="1" customWidth="1"/>
    <col min="2339" max="2339" width="8.28515625" style="433" bestFit="1" customWidth="1"/>
    <col min="2340" max="2340" width="9.140625" style="433" customWidth="1"/>
    <col min="2341" max="2341" width="9.42578125" style="433" bestFit="1" customWidth="1"/>
    <col min="2342" max="2342" width="6.5703125" style="433" bestFit="1" customWidth="1"/>
    <col min="2343" max="2343" width="6.7109375" style="433" bestFit="1" customWidth="1"/>
    <col min="2344" max="2344" width="8.85546875" style="433" customWidth="1"/>
    <col min="2345" max="2345" width="4.85546875" style="433" bestFit="1" customWidth="1"/>
    <col min="2346" max="2346" width="13.85546875" style="433" customWidth="1"/>
    <col min="2347" max="2347" width="18.140625" style="433" customWidth="1"/>
    <col min="2348" max="2560" width="13.85546875" style="433" customWidth="1"/>
    <col min="2561" max="2561" width="5.5703125" style="433" bestFit="1" customWidth="1"/>
    <col min="2562" max="2562" width="11.7109375" style="433" bestFit="1" customWidth="1"/>
    <col min="2563" max="2563" width="21.5703125" style="433" customWidth="1"/>
    <col min="2564" max="2564" width="23.42578125" style="433" customWidth="1"/>
    <col min="2565" max="2565" width="8.140625" style="433" customWidth="1"/>
    <col min="2566" max="2566" width="13.85546875" style="433" customWidth="1"/>
    <col min="2567" max="2567" width="16.7109375" style="433" customWidth="1"/>
    <col min="2568" max="2568" width="17.5703125" style="433" customWidth="1"/>
    <col min="2569" max="2569" width="12.85546875" style="433" customWidth="1"/>
    <col min="2570" max="2571" width="12.28515625" style="433" customWidth="1"/>
    <col min="2572" max="2573" width="2.5703125" style="433" bestFit="1" customWidth="1"/>
    <col min="2574" max="2574" width="3.42578125" style="433" bestFit="1" customWidth="1"/>
    <col min="2575" max="2577" width="7" style="433" bestFit="1" customWidth="1"/>
    <col min="2578" max="2578" width="2.85546875" style="433" bestFit="1" customWidth="1"/>
    <col min="2579" max="2579" width="3.42578125" style="433" bestFit="1" customWidth="1"/>
    <col min="2580" max="2580" width="2.5703125" style="433" bestFit="1" customWidth="1"/>
    <col min="2581" max="2583" width="7" style="433" bestFit="1" customWidth="1"/>
    <col min="2584" max="2584" width="2.5703125" style="433" bestFit="1" customWidth="1"/>
    <col min="2585" max="2585" width="2.85546875" style="433" bestFit="1" customWidth="1"/>
    <col min="2586" max="2586" width="2.5703125" style="433" bestFit="1" customWidth="1"/>
    <col min="2587" max="2588" width="7" style="433" bestFit="1" customWidth="1"/>
    <col min="2589" max="2589" width="8.28515625" style="433" bestFit="1" customWidth="1"/>
    <col min="2590" max="2592" width="2.85546875" style="433" bestFit="1" customWidth="1"/>
    <col min="2593" max="2594" width="7" style="433" bestFit="1" customWidth="1"/>
    <col min="2595" max="2595" width="8.28515625" style="433" bestFit="1" customWidth="1"/>
    <col min="2596" max="2596" width="9.140625" style="433" customWidth="1"/>
    <col min="2597" max="2597" width="9.42578125" style="433" bestFit="1" customWidth="1"/>
    <col min="2598" max="2598" width="6.5703125" style="433" bestFit="1" customWidth="1"/>
    <col min="2599" max="2599" width="6.7109375" style="433" bestFit="1" customWidth="1"/>
    <col min="2600" max="2600" width="8.85546875" style="433" customWidth="1"/>
    <col min="2601" max="2601" width="4.85546875" style="433" bestFit="1" customWidth="1"/>
    <col min="2602" max="2602" width="13.85546875" style="433" customWidth="1"/>
    <col min="2603" max="2603" width="18.140625" style="433" customWidth="1"/>
    <col min="2604" max="2816" width="13.85546875" style="433" customWidth="1"/>
    <col min="2817" max="2817" width="5.5703125" style="433" bestFit="1" customWidth="1"/>
    <col min="2818" max="2818" width="11.7109375" style="433" bestFit="1" customWidth="1"/>
    <col min="2819" max="2819" width="21.5703125" style="433" customWidth="1"/>
    <col min="2820" max="2820" width="23.42578125" style="433" customWidth="1"/>
    <col min="2821" max="2821" width="8.140625" style="433" customWidth="1"/>
    <col min="2822" max="2822" width="13.85546875" style="433" customWidth="1"/>
    <col min="2823" max="2823" width="16.7109375" style="433" customWidth="1"/>
    <col min="2824" max="2824" width="17.5703125" style="433" customWidth="1"/>
    <col min="2825" max="2825" width="12.85546875" style="433" customWidth="1"/>
    <col min="2826" max="2827" width="12.28515625" style="433" customWidth="1"/>
    <col min="2828" max="2829" width="2.5703125" style="433" bestFit="1" customWidth="1"/>
    <col min="2830" max="2830" width="3.42578125" style="433" bestFit="1" customWidth="1"/>
    <col min="2831" max="2833" width="7" style="433" bestFit="1" customWidth="1"/>
    <col min="2834" max="2834" width="2.85546875" style="433" bestFit="1" customWidth="1"/>
    <col min="2835" max="2835" width="3.42578125" style="433" bestFit="1" customWidth="1"/>
    <col min="2836" max="2836" width="2.5703125" style="433" bestFit="1" customWidth="1"/>
    <col min="2837" max="2839" width="7" style="433" bestFit="1" customWidth="1"/>
    <col min="2840" max="2840" width="2.5703125" style="433" bestFit="1" customWidth="1"/>
    <col min="2841" max="2841" width="2.85546875" style="433" bestFit="1" customWidth="1"/>
    <col min="2842" max="2842" width="2.5703125" style="433" bestFit="1" customWidth="1"/>
    <col min="2843" max="2844" width="7" style="433" bestFit="1" customWidth="1"/>
    <col min="2845" max="2845" width="8.28515625" style="433" bestFit="1" customWidth="1"/>
    <col min="2846" max="2848" width="2.85546875" style="433" bestFit="1" customWidth="1"/>
    <col min="2849" max="2850" width="7" style="433" bestFit="1" customWidth="1"/>
    <col min="2851" max="2851" width="8.28515625" style="433" bestFit="1" customWidth="1"/>
    <col min="2852" max="2852" width="9.140625" style="433" customWidth="1"/>
    <col min="2853" max="2853" width="9.42578125" style="433" bestFit="1" customWidth="1"/>
    <col min="2854" max="2854" width="6.5703125" style="433" bestFit="1" customWidth="1"/>
    <col min="2855" max="2855" width="6.7109375" style="433" bestFit="1" customWidth="1"/>
    <col min="2856" max="2856" width="8.85546875" style="433" customWidth="1"/>
    <col min="2857" max="2857" width="4.85546875" style="433" bestFit="1" customWidth="1"/>
    <col min="2858" max="2858" width="13.85546875" style="433" customWidth="1"/>
    <col min="2859" max="2859" width="18.140625" style="433" customWidth="1"/>
    <col min="2860" max="3072" width="13.85546875" style="433" customWidth="1"/>
    <col min="3073" max="3073" width="5.5703125" style="433" bestFit="1" customWidth="1"/>
    <col min="3074" max="3074" width="11.7109375" style="433" bestFit="1" customWidth="1"/>
    <col min="3075" max="3075" width="21.5703125" style="433" customWidth="1"/>
    <col min="3076" max="3076" width="23.42578125" style="433" customWidth="1"/>
    <col min="3077" max="3077" width="8.140625" style="433" customWidth="1"/>
    <col min="3078" max="3078" width="13.85546875" style="433" customWidth="1"/>
    <col min="3079" max="3079" width="16.7109375" style="433" customWidth="1"/>
    <col min="3080" max="3080" width="17.5703125" style="433" customWidth="1"/>
    <col min="3081" max="3081" width="12.85546875" style="433" customWidth="1"/>
    <col min="3082" max="3083" width="12.28515625" style="433" customWidth="1"/>
    <col min="3084" max="3085" width="2.5703125" style="433" bestFit="1" customWidth="1"/>
    <col min="3086" max="3086" width="3.42578125" style="433" bestFit="1" customWidth="1"/>
    <col min="3087" max="3089" width="7" style="433" bestFit="1" customWidth="1"/>
    <col min="3090" max="3090" width="2.85546875" style="433" bestFit="1" customWidth="1"/>
    <col min="3091" max="3091" width="3.42578125" style="433" bestFit="1" customWidth="1"/>
    <col min="3092" max="3092" width="2.5703125" style="433" bestFit="1" customWidth="1"/>
    <col min="3093" max="3095" width="7" style="433" bestFit="1" customWidth="1"/>
    <col min="3096" max="3096" width="2.5703125" style="433" bestFit="1" customWidth="1"/>
    <col min="3097" max="3097" width="2.85546875" style="433" bestFit="1" customWidth="1"/>
    <col min="3098" max="3098" width="2.5703125" style="433" bestFit="1" customWidth="1"/>
    <col min="3099" max="3100" width="7" style="433" bestFit="1" customWidth="1"/>
    <col min="3101" max="3101" width="8.28515625" style="433" bestFit="1" customWidth="1"/>
    <col min="3102" max="3104" width="2.85546875" style="433" bestFit="1" customWidth="1"/>
    <col min="3105" max="3106" width="7" style="433" bestFit="1" customWidth="1"/>
    <col min="3107" max="3107" width="8.28515625" style="433" bestFit="1" customWidth="1"/>
    <col min="3108" max="3108" width="9.140625" style="433" customWidth="1"/>
    <col min="3109" max="3109" width="9.42578125" style="433" bestFit="1" customWidth="1"/>
    <col min="3110" max="3110" width="6.5703125" style="433" bestFit="1" customWidth="1"/>
    <col min="3111" max="3111" width="6.7109375" style="433" bestFit="1" customWidth="1"/>
    <col min="3112" max="3112" width="8.85546875" style="433" customWidth="1"/>
    <col min="3113" max="3113" width="4.85546875" style="433" bestFit="1" customWidth="1"/>
    <col min="3114" max="3114" width="13.85546875" style="433" customWidth="1"/>
    <col min="3115" max="3115" width="18.140625" style="433" customWidth="1"/>
    <col min="3116" max="3328" width="13.85546875" style="433" customWidth="1"/>
    <col min="3329" max="3329" width="5.5703125" style="433" bestFit="1" customWidth="1"/>
    <col min="3330" max="3330" width="11.7109375" style="433" bestFit="1" customWidth="1"/>
    <col min="3331" max="3331" width="21.5703125" style="433" customWidth="1"/>
    <col min="3332" max="3332" width="23.42578125" style="433" customWidth="1"/>
    <col min="3333" max="3333" width="8.140625" style="433" customWidth="1"/>
    <col min="3334" max="3334" width="13.85546875" style="433" customWidth="1"/>
    <col min="3335" max="3335" width="16.7109375" style="433" customWidth="1"/>
    <col min="3336" max="3336" width="17.5703125" style="433" customWidth="1"/>
    <col min="3337" max="3337" width="12.85546875" style="433" customWidth="1"/>
    <col min="3338" max="3339" width="12.28515625" style="433" customWidth="1"/>
    <col min="3340" max="3341" width="2.5703125" style="433" bestFit="1" customWidth="1"/>
    <col min="3342" max="3342" width="3.42578125" style="433" bestFit="1" customWidth="1"/>
    <col min="3343" max="3345" width="7" style="433" bestFit="1" customWidth="1"/>
    <col min="3346" max="3346" width="2.85546875" style="433" bestFit="1" customWidth="1"/>
    <col min="3347" max="3347" width="3.42578125" style="433" bestFit="1" customWidth="1"/>
    <col min="3348" max="3348" width="2.5703125" style="433" bestFit="1" customWidth="1"/>
    <col min="3349" max="3351" width="7" style="433" bestFit="1" customWidth="1"/>
    <col min="3352" max="3352" width="2.5703125" style="433" bestFit="1" customWidth="1"/>
    <col min="3353" max="3353" width="2.85546875" style="433" bestFit="1" customWidth="1"/>
    <col min="3354" max="3354" width="2.5703125" style="433" bestFit="1" customWidth="1"/>
    <col min="3355" max="3356" width="7" style="433" bestFit="1" customWidth="1"/>
    <col min="3357" max="3357" width="8.28515625" style="433" bestFit="1" customWidth="1"/>
    <col min="3358" max="3360" width="2.85546875" style="433" bestFit="1" customWidth="1"/>
    <col min="3361" max="3362" width="7" style="433" bestFit="1" customWidth="1"/>
    <col min="3363" max="3363" width="8.28515625" style="433" bestFit="1" customWidth="1"/>
    <col min="3364" max="3364" width="9.140625" style="433" customWidth="1"/>
    <col min="3365" max="3365" width="9.42578125" style="433" bestFit="1" customWidth="1"/>
    <col min="3366" max="3366" width="6.5703125" style="433" bestFit="1" customWidth="1"/>
    <col min="3367" max="3367" width="6.7109375" style="433" bestFit="1" customWidth="1"/>
    <col min="3368" max="3368" width="8.85546875" style="433" customWidth="1"/>
    <col min="3369" max="3369" width="4.85546875" style="433" bestFit="1" customWidth="1"/>
    <col min="3370" max="3370" width="13.85546875" style="433" customWidth="1"/>
    <col min="3371" max="3371" width="18.140625" style="433" customWidth="1"/>
    <col min="3372" max="3584" width="13.85546875" style="433" customWidth="1"/>
    <col min="3585" max="3585" width="5.5703125" style="433" bestFit="1" customWidth="1"/>
    <col min="3586" max="3586" width="11.7109375" style="433" bestFit="1" customWidth="1"/>
    <col min="3587" max="3587" width="21.5703125" style="433" customWidth="1"/>
    <col min="3588" max="3588" width="23.42578125" style="433" customWidth="1"/>
    <col min="3589" max="3589" width="8.140625" style="433" customWidth="1"/>
    <col min="3590" max="3590" width="13.85546875" style="433" customWidth="1"/>
    <col min="3591" max="3591" width="16.7109375" style="433" customWidth="1"/>
    <col min="3592" max="3592" width="17.5703125" style="433" customWidth="1"/>
    <col min="3593" max="3593" width="12.85546875" style="433" customWidth="1"/>
    <col min="3594" max="3595" width="12.28515625" style="433" customWidth="1"/>
    <col min="3596" max="3597" width="2.5703125" style="433" bestFit="1" customWidth="1"/>
    <col min="3598" max="3598" width="3.42578125" style="433" bestFit="1" customWidth="1"/>
    <col min="3599" max="3601" width="7" style="433" bestFit="1" customWidth="1"/>
    <col min="3602" max="3602" width="2.85546875" style="433" bestFit="1" customWidth="1"/>
    <col min="3603" max="3603" width="3.42578125" style="433" bestFit="1" customWidth="1"/>
    <col min="3604" max="3604" width="2.5703125" style="433" bestFit="1" customWidth="1"/>
    <col min="3605" max="3607" width="7" style="433" bestFit="1" customWidth="1"/>
    <col min="3608" max="3608" width="2.5703125" style="433" bestFit="1" customWidth="1"/>
    <col min="3609" max="3609" width="2.85546875" style="433" bestFit="1" customWidth="1"/>
    <col min="3610" max="3610" width="2.5703125" style="433" bestFit="1" customWidth="1"/>
    <col min="3611" max="3612" width="7" style="433" bestFit="1" customWidth="1"/>
    <col min="3613" max="3613" width="8.28515625" style="433" bestFit="1" customWidth="1"/>
    <col min="3614" max="3616" width="2.85546875" style="433" bestFit="1" customWidth="1"/>
    <col min="3617" max="3618" width="7" style="433" bestFit="1" customWidth="1"/>
    <col min="3619" max="3619" width="8.28515625" style="433" bestFit="1" customWidth="1"/>
    <col min="3620" max="3620" width="9.140625" style="433" customWidth="1"/>
    <col min="3621" max="3621" width="9.42578125" style="433" bestFit="1" customWidth="1"/>
    <col min="3622" max="3622" width="6.5703125" style="433" bestFit="1" customWidth="1"/>
    <col min="3623" max="3623" width="6.7109375" style="433" bestFit="1" customWidth="1"/>
    <col min="3624" max="3624" width="8.85546875" style="433" customWidth="1"/>
    <col min="3625" max="3625" width="4.85546875" style="433" bestFit="1" customWidth="1"/>
    <col min="3626" max="3626" width="13.85546875" style="433" customWidth="1"/>
    <col min="3627" max="3627" width="18.140625" style="433" customWidth="1"/>
    <col min="3628" max="3840" width="13.85546875" style="433" customWidth="1"/>
    <col min="3841" max="3841" width="5.5703125" style="433" bestFit="1" customWidth="1"/>
    <col min="3842" max="3842" width="11.7109375" style="433" bestFit="1" customWidth="1"/>
    <col min="3843" max="3843" width="21.5703125" style="433" customWidth="1"/>
    <col min="3844" max="3844" width="23.42578125" style="433" customWidth="1"/>
    <col min="3845" max="3845" width="8.140625" style="433" customWidth="1"/>
    <col min="3846" max="3846" width="13.85546875" style="433" customWidth="1"/>
    <col min="3847" max="3847" width="16.7109375" style="433" customWidth="1"/>
    <col min="3848" max="3848" width="17.5703125" style="433" customWidth="1"/>
    <col min="3849" max="3849" width="12.85546875" style="433" customWidth="1"/>
    <col min="3850" max="3851" width="12.28515625" style="433" customWidth="1"/>
    <col min="3852" max="3853" width="2.5703125" style="433" bestFit="1" customWidth="1"/>
    <col min="3854" max="3854" width="3.42578125" style="433" bestFit="1" customWidth="1"/>
    <col min="3855" max="3857" width="7" style="433" bestFit="1" customWidth="1"/>
    <col min="3858" max="3858" width="2.85546875" style="433" bestFit="1" customWidth="1"/>
    <col min="3859" max="3859" width="3.42578125" style="433" bestFit="1" customWidth="1"/>
    <col min="3860" max="3860" width="2.5703125" style="433" bestFit="1" customWidth="1"/>
    <col min="3861" max="3863" width="7" style="433" bestFit="1" customWidth="1"/>
    <col min="3864" max="3864" width="2.5703125" style="433" bestFit="1" customWidth="1"/>
    <col min="3865" max="3865" width="2.85546875" style="433" bestFit="1" customWidth="1"/>
    <col min="3866" max="3866" width="2.5703125" style="433" bestFit="1" customWidth="1"/>
    <col min="3867" max="3868" width="7" style="433" bestFit="1" customWidth="1"/>
    <col min="3869" max="3869" width="8.28515625" style="433" bestFit="1" customWidth="1"/>
    <col min="3870" max="3872" width="2.85546875" style="433" bestFit="1" customWidth="1"/>
    <col min="3873" max="3874" width="7" style="433" bestFit="1" customWidth="1"/>
    <col min="3875" max="3875" width="8.28515625" style="433" bestFit="1" customWidth="1"/>
    <col min="3876" max="3876" width="9.140625" style="433" customWidth="1"/>
    <col min="3877" max="3877" width="9.42578125" style="433" bestFit="1" customWidth="1"/>
    <col min="3878" max="3878" width="6.5703125" style="433" bestFit="1" customWidth="1"/>
    <col min="3879" max="3879" width="6.7109375" style="433" bestFit="1" customWidth="1"/>
    <col min="3880" max="3880" width="8.85546875" style="433" customWidth="1"/>
    <col min="3881" max="3881" width="4.85546875" style="433" bestFit="1" customWidth="1"/>
    <col min="3882" max="3882" width="13.85546875" style="433" customWidth="1"/>
    <col min="3883" max="3883" width="18.140625" style="433" customWidth="1"/>
    <col min="3884" max="4096" width="13.85546875" style="433" customWidth="1"/>
    <col min="4097" max="4097" width="5.5703125" style="433" bestFit="1" customWidth="1"/>
    <col min="4098" max="4098" width="11.7109375" style="433" bestFit="1" customWidth="1"/>
    <col min="4099" max="4099" width="21.5703125" style="433" customWidth="1"/>
    <col min="4100" max="4100" width="23.42578125" style="433" customWidth="1"/>
    <col min="4101" max="4101" width="8.140625" style="433" customWidth="1"/>
    <col min="4102" max="4102" width="13.85546875" style="433" customWidth="1"/>
    <col min="4103" max="4103" width="16.7109375" style="433" customWidth="1"/>
    <col min="4104" max="4104" width="17.5703125" style="433" customWidth="1"/>
    <col min="4105" max="4105" width="12.85546875" style="433" customWidth="1"/>
    <col min="4106" max="4107" width="12.28515625" style="433" customWidth="1"/>
    <col min="4108" max="4109" width="2.5703125" style="433" bestFit="1" customWidth="1"/>
    <col min="4110" max="4110" width="3.42578125" style="433" bestFit="1" customWidth="1"/>
    <col min="4111" max="4113" width="7" style="433" bestFit="1" customWidth="1"/>
    <col min="4114" max="4114" width="2.85546875" style="433" bestFit="1" customWidth="1"/>
    <col min="4115" max="4115" width="3.42578125" style="433" bestFit="1" customWidth="1"/>
    <col min="4116" max="4116" width="2.5703125" style="433" bestFit="1" customWidth="1"/>
    <col min="4117" max="4119" width="7" style="433" bestFit="1" customWidth="1"/>
    <col min="4120" max="4120" width="2.5703125" style="433" bestFit="1" customWidth="1"/>
    <col min="4121" max="4121" width="2.85546875" style="433" bestFit="1" customWidth="1"/>
    <col min="4122" max="4122" width="2.5703125" style="433" bestFit="1" customWidth="1"/>
    <col min="4123" max="4124" width="7" style="433" bestFit="1" customWidth="1"/>
    <col min="4125" max="4125" width="8.28515625" style="433" bestFit="1" customWidth="1"/>
    <col min="4126" max="4128" width="2.85546875" style="433" bestFit="1" customWidth="1"/>
    <col min="4129" max="4130" width="7" style="433" bestFit="1" customWidth="1"/>
    <col min="4131" max="4131" width="8.28515625" style="433" bestFit="1" customWidth="1"/>
    <col min="4132" max="4132" width="9.140625" style="433" customWidth="1"/>
    <col min="4133" max="4133" width="9.42578125" style="433" bestFit="1" customWidth="1"/>
    <col min="4134" max="4134" width="6.5703125" style="433" bestFit="1" customWidth="1"/>
    <col min="4135" max="4135" width="6.7109375" style="433" bestFit="1" customWidth="1"/>
    <col min="4136" max="4136" width="8.85546875" style="433" customWidth="1"/>
    <col min="4137" max="4137" width="4.85546875" style="433" bestFit="1" customWidth="1"/>
    <col min="4138" max="4138" width="13.85546875" style="433" customWidth="1"/>
    <col min="4139" max="4139" width="18.140625" style="433" customWidth="1"/>
    <col min="4140" max="4352" width="13.85546875" style="433" customWidth="1"/>
    <col min="4353" max="4353" width="5.5703125" style="433" bestFit="1" customWidth="1"/>
    <col min="4354" max="4354" width="11.7109375" style="433" bestFit="1" customWidth="1"/>
    <col min="4355" max="4355" width="21.5703125" style="433" customWidth="1"/>
    <col min="4356" max="4356" width="23.42578125" style="433" customWidth="1"/>
    <col min="4357" max="4357" width="8.140625" style="433" customWidth="1"/>
    <col min="4358" max="4358" width="13.85546875" style="433" customWidth="1"/>
    <col min="4359" max="4359" width="16.7109375" style="433" customWidth="1"/>
    <col min="4360" max="4360" width="17.5703125" style="433" customWidth="1"/>
    <col min="4361" max="4361" width="12.85546875" style="433" customWidth="1"/>
    <col min="4362" max="4363" width="12.28515625" style="433" customWidth="1"/>
    <col min="4364" max="4365" width="2.5703125" style="433" bestFit="1" customWidth="1"/>
    <col min="4366" max="4366" width="3.42578125" style="433" bestFit="1" customWidth="1"/>
    <col min="4367" max="4369" width="7" style="433" bestFit="1" customWidth="1"/>
    <col min="4370" max="4370" width="2.85546875" style="433" bestFit="1" customWidth="1"/>
    <col min="4371" max="4371" width="3.42578125" style="433" bestFit="1" customWidth="1"/>
    <col min="4372" max="4372" width="2.5703125" style="433" bestFit="1" customWidth="1"/>
    <col min="4373" max="4375" width="7" style="433" bestFit="1" customWidth="1"/>
    <col min="4376" max="4376" width="2.5703125" style="433" bestFit="1" customWidth="1"/>
    <col min="4377" max="4377" width="2.85546875" style="433" bestFit="1" customWidth="1"/>
    <col min="4378" max="4378" width="2.5703125" style="433" bestFit="1" customWidth="1"/>
    <col min="4379" max="4380" width="7" style="433" bestFit="1" customWidth="1"/>
    <col min="4381" max="4381" width="8.28515625" style="433" bestFit="1" customWidth="1"/>
    <col min="4382" max="4384" width="2.85546875" style="433" bestFit="1" customWidth="1"/>
    <col min="4385" max="4386" width="7" style="433" bestFit="1" customWidth="1"/>
    <col min="4387" max="4387" width="8.28515625" style="433" bestFit="1" customWidth="1"/>
    <col min="4388" max="4388" width="9.140625" style="433" customWidth="1"/>
    <col min="4389" max="4389" width="9.42578125" style="433" bestFit="1" customWidth="1"/>
    <col min="4390" max="4390" width="6.5703125" style="433" bestFit="1" customWidth="1"/>
    <col min="4391" max="4391" width="6.7109375" style="433" bestFit="1" customWidth="1"/>
    <col min="4392" max="4392" width="8.85546875" style="433" customWidth="1"/>
    <col min="4393" max="4393" width="4.85546875" style="433" bestFit="1" customWidth="1"/>
    <col min="4394" max="4394" width="13.85546875" style="433" customWidth="1"/>
    <col min="4395" max="4395" width="18.140625" style="433" customWidth="1"/>
    <col min="4396" max="4608" width="13.85546875" style="433" customWidth="1"/>
    <col min="4609" max="4609" width="5.5703125" style="433" bestFit="1" customWidth="1"/>
    <col min="4610" max="4610" width="11.7109375" style="433" bestFit="1" customWidth="1"/>
    <col min="4611" max="4611" width="21.5703125" style="433" customWidth="1"/>
    <col min="4612" max="4612" width="23.42578125" style="433" customWidth="1"/>
    <col min="4613" max="4613" width="8.140625" style="433" customWidth="1"/>
    <col min="4614" max="4614" width="13.85546875" style="433" customWidth="1"/>
    <col min="4615" max="4615" width="16.7109375" style="433" customWidth="1"/>
    <col min="4616" max="4616" width="17.5703125" style="433" customWidth="1"/>
    <col min="4617" max="4617" width="12.85546875" style="433" customWidth="1"/>
    <col min="4618" max="4619" width="12.28515625" style="433" customWidth="1"/>
    <col min="4620" max="4621" width="2.5703125" style="433" bestFit="1" customWidth="1"/>
    <col min="4622" max="4622" width="3.42578125" style="433" bestFit="1" customWidth="1"/>
    <col min="4623" max="4625" width="7" style="433" bestFit="1" customWidth="1"/>
    <col min="4626" max="4626" width="2.85546875" style="433" bestFit="1" customWidth="1"/>
    <col min="4627" max="4627" width="3.42578125" style="433" bestFit="1" customWidth="1"/>
    <col min="4628" max="4628" width="2.5703125" style="433" bestFit="1" customWidth="1"/>
    <col min="4629" max="4631" width="7" style="433" bestFit="1" customWidth="1"/>
    <col min="4632" max="4632" width="2.5703125" style="433" bestFit="1" customWidth="1"/>
    <col min="4633" max="4633" width="2.85546875" style="433" bestFit="1" customWidth="1"/>
    <col min="4634" max="4634" width="2.5703125" style="433" bestFit="1" customWidth="1"/>
    <col min="4635" max="4636" width="7" style="433" bestFit="1" customWidth="1"/>
    <col min="4637" max="4637" width="8.28515625" style="433" bestFit="1" customWidth="1"/>
    <col min="4638" max="4640" width="2.85546875" style="433" bestFit="1" customWidth="1"/>
    <col min="4641" max="4642" width="7" style="433" bestFit="1" customWidth="1"/>
    <col min="4643" max="4643" width="8.28515625" style="433" bestFit="1" customWidth="1"/>
    <col min="4644" max="4644" width="9.140625" style="433" customWidth="1"/>
    <col min="4645" max="4645" width="9.42578125" style="433" bestFit="1" customWidth="1"/>
    <col min="4646" max="4646" width="6.5703125" style="433" bestFit="1" customWidth="1"/>
    <col min="4647" max="4647" width="6.7109375" style="433" bestFit="1" customWidth="1"/>
    <col min="4648" max="4648" width="8.85546875" style="433" customWidth="1"/>
    <col min="4649" max="4649" width="4.85546875" style="433" bestFit="1" customWidth="1"/>
    <col min="4650" max="4650" width="13.85546875" style="433" customWidth="1"/>
    <col min="4651" max="4651" width="18.140625" style="433" customWidth="1"/>
    <col min="4652" max="4864" width="13.85546875" style="433" customWidth="1"/>
    <col min="4865" max="4865" width="5.5703125" style="433" bestFit="1" customWidth="1"/>
    <col min="4866" max="4866" width="11.7109375" style="433" bestFit="1" customWidth="1"/>
    <col min="4867" max="4867" width="21.5703125" style="433" customWidth="1"/>
    <col min="4868" max="4868" width="23.42578125" style="433" customWidth="1"/>
    <col min="4869" max="4869" width="8.140625" style="433" customWidth="1"/>
    <col min="4870" max="4870" width="13.85546875" style="433" customWidth="1"/>
    <col min="4871" max="4871" width="16.7109375" style="433" customWidth="1"/>
    <col min="4872" max="4872" width="17.5703125" style="433" customWidth="1"/>
    <col min="4873" max="4873" width="12.85546875" style="433" customWidth="1"/>
    <col min="4874" max="4875" width="12.28515625" style="433" customWidth="1"/>
    <col min="4876" max="4877" width="2.5703125" style="433" bestFit="1" customWidth="1"/>
    <col min="4878" max="4878" width="3.42578125" style="433" bestFit="1" customWidth="1"/>
    <col min="4879" max="4881" width="7" style="433" bestFit="1" customWidth="1"/>
    <col min="4882" max="4882" width="2.85546875" style="433" bestFit="1" customWidth="1"/>
    <col min="4883" max="4883" width="3.42578125" style="433" bestFit="1" customWidth="1"/>
    <col min="4884" max="4884" width="2.5703125" style="433" bestFit="1" customWidth="1"/>
    <col min="4885" max="4887" width="7" style="433" bestFit="1" customWidth="1"/>
    <col min="4888" max="4888" width="2.5703125" style="433" bestFit="1" customWidth="1"/>
    <col min="4889" max="4889" width="2.85546875" style="433" bestFit="1" customWidth="1"/>
    <col min="4890" max="4890" width="2.5703125" style="433" bestFit="1" customWidth="1"/>
    <col min="4891" max="4892" width="7" style="433" bestFit="1" customWidth="1"/>
    <col min="4893" max="4893" width="8.28515625" style="433" bestFit="1" customWidth="1"/>
    <col min="4894" max="4896" width="2.85546875" style="433" bestFit="1" customWidth="1"/>
    <col min="4897" max="4898" width="7" style="433" bestFit="1" customWidth="1"/>
    <col min="4899" max="4899" width="8.28515625" style="433" bestFit="1" customWidth="1"/>
    <col min="4900" max="4900" width="9.140625" style="433" customWidth="1"/>
    <col min="4901" max="4901" width="9.42578125" style="433" bestFit="1" customWidth="1"/>
    <col min="4902" max="4902" width="6.5703125" style="433" bestFit="1" customWidth="1"/>
    <col min="4903" max="4903" width="6.7109375" style="433" bestFit="1" customWidth="1"/>
    <col min="4904" max="4904" width="8.85546875" style="433" customWidth="1"/>
    <col min="4905" max="4905" width="4.85546875" style="433" bestFit="1" customWidth="1"/>
    <col min="4906" max="4906" width="13.85546875" style="433" customWidth="1"/>
    <col min="4907" max="4907" width="18.140625" style="433" customWidth="1"/>
    <col min="4908" max="5120" width="13.85546875" style="433" customWidth="1"/>
    <col min="5121" max="5121" width="5.5703125" style="433" bestFit="1" customWidth="1"/>
    <col min="5122" max="5122" width="11.7109375" style="433" bestFit="1" customWidth="1"/>
    <col min="5123" max="5123" width="21.5703125" style="433" customWidth="1"/>
    <col min="5124" max="5124" width="23.42578125" style="433" customWidth="1"/>
    <col min="5125" max="5125" width="8.140625" style="433" customWidth="1"/>
    <col min="5126" max="5126" width="13.85546875" style="433" customWidth="1"/>
    <col min="5127" max="5127" width="16.7109375" style="433" customWidth="1"/>
    <col min="5128" max="5128" width="17.5703125" style="433" customWidth="1"/>
    <col min="5129" max="5129" width="12.85546875" style="433" customWidth="1"/>
    <col min="5130" max="5131" width="12.28515625" style="433" customWidth="1"/>
    <col min="5132" max="5133" width="2.5703125" style="433" bestFit="1" customWidth="1"/>
    <col min="5134" max="5134" width="3.42578125" style="433" bestFit="1" customWidth="1"/>
    <col min="5135" max="5137" width="7" style="433" bestFit="1" customWidth="1"/>
    <col min="5138" max="5138" width="2.85546875" style="433" bestFit="1" customWidth="1"/>
    <col min="5139" max="5139" width="3.42578125" style="433" bestFit="1" customWidth="1"/>
    <col min="5140" max="5140" width="2.5703125" style="433" bestFit="1" customWidth="1"/>
    <col min="5141" max="5143" width="7" style="433" bestFit="1" customWidth="1"/>
    <col min="5144" max="5144" width="2.5703125" style="433" bestFit="1" customWidth="1"/>
    <col min="5145" max="5145" width="2.85546875" style="433" bestFit="1" customWidth="1"/>
    <col min="5146" max="5146" width="2.5703125" style="433" bestFit="1" customWidth="1"/>
    <col min="5147" max="5148" width="7" style="433" bestFit="1" customWidth="1"/>
    <col min="5149" max="5149" width="8.28515625" style="433" bestFit="1" customWidth="1"/>
    <col min="5150" max="5152" width="2.85546875" style="433" bestFit="1" customWidth="1"/>
    <col min="5153" max="5154" width="7" style="433" bestFit="1" customWidth="1"/>
    <col min="5155" max="5155" width="8.28515625" style="433" bestFit="1" customWidth="1"/>
    <col min="5156" max="5156" width="9.140625" style="433" customWidth="1"/>
    <col min="5157" max="5157" width="9.42578125" style="433" bestFit="1" customWidth="1"/>
    <col min="5158" max="5158" width="6.5703125" style="433" bestFit="1" customWidth="1"/>
    <col min="5159" max="5159" width="6.7109375" style="433" bestFit="1" customWidth="1"/>
    <col min="5160" max="5160" width="8.85546875" style="433" customWidth="1"/>
    <col min="5161" max="5161" width="4.85546875" style="433" bestFit="1" customWidth="1"/>
    <col min="5162" max="5162" width="13.85546875" style="433" customWidth="1"/>
    <col min="5163" max="5163" width="18.140625" style="433" customWidth="1"/>
    <col min="5164" max="5376" width="13.85546875" style="433" customWidth="1"/>
    <col min="5377" max="5377" width="5.5703125" style="433" bestFit="1" customWidth="1"/>
    <col min="5378" max="5378" width="11.7109375" style="433" bestFit="1" customWidth="1"/>
    <col min="5379" max="5379" width="21.5703125" style="433" customWidth="1"/>
    <col min="5380" max="5380" width="23.42578125" style="433" customWidth="1"/>
    <col min="5381" max="5381" width="8.140625" style="433" customWidth="1"/>
    <col min="5382" max="5382" width="13.85546875" style="433" customWidth="1"/>
    <col min="5383" max="5383" width="16.7109375" style="433" customWidth="1"/>
    <col min="5384" max="5384" width="17.5703125" style="433" customWidth="1"/>
    <col min="5385" max="5385" width="12.85546875" style="433" customWidth="1"/>
    <col min="5386" max="5387" width="12.28515625" style="433" customWidth="1"/>
    <col min="5388" max="5389" width="2.5703125" style="433" bestFit="1" customWidth="1"/>
    <col min="5390" max="5390" width="3.42578125" style="433" bestFit="1" customWidth="1"/>
    <col min="5391" max="5393" width="7" style="433" bestFit="1" customWidth="1"/>
    <col min="5394" max="5394" width="2.85546875" style="433" bestFit="1" customWidth="1"/>
    <col min="5395" max="5395" width="3.42578125" style="433" bestFit="1" customWidth="1"/>
    <col min="5396" max="5396" width="2.5703125" style="433" bestFit="1" customWidth="1"/>
    <col min="5397" max="5399" width="7" style="433" bestFit="1" customWidth="1"/>
    <col min="5400" max="5400" width="2.5703125" style="433" bestFit="1" customWidth="1"/>
    <col min="5401" max="5401" width="2.85546875" style="433" bestFit="1" customWidth="1"/>
    <col min="5402" max="5402" width="2.5703125" style="433" bestFit="1" customWidth="1"/>
    <col min="5403" max="5404" width="7" style="433" bestFit="1" customWidth="1"/>
    <col min="5405" max="5405" width="8.28515625" style="433" bestFit="1" customWidth="1"/>
    <col min="5406" max="5408" width="2.85546875" style="433" bestFit="1" customWidth="1"/>
    <col min="5409" max="5410" width="7" style="433" bestFit="1" customWidth="1"/>
    <col min="5411" max="5411" width="8.28515625" style="433" bestFit="1" customWidth="1"/>
    <col min="5412" max="5412" width="9.140625" style="433" customWidth="1"/>
    <col min="5413" max="5413" width="9.42578125" style="433" bestFit="1" customWidth="1"/>
    <col min="5414" max="5414" width="6.5703125" style="433" bestFit="1" customWidth="1"/>
    <col min="5415" max="5415" width="6.7109375" style="433" bestFit="1" customWidth="1"/>
    <col min="5416" max="5416" width="8.85546875" style="433" customWidth="1"/>
    <col min="5417" max="5417" width="4.85546875" style="433" bestFit="1" customWidth="1"/>
    <col min="5418" max="5418" width="13.85546875" style="433" customWidth="1"/>
    <col min="5419" max="5419" width="18.140625" style="433" customWidth="1"/>
    <col min="5420" max="5632" width="13.85546875" style="433" customWidth="1"/>
    <col min="5633" max="5633" width="5.5703125" style="433" bestFit="1" customWidth="1"/>
    <col min="5634" max="5634" width="11.7109375" style="433" bestFit="1" customWidth="1"/>
    <col min="5635" max="5635" width="21.5703125" style="433" customWidth="1"/>
    <col min="5636" max="5636" width="23.42578125" style="433" customWidth="1"/>
    <col min="5637" max="5637" width="8.140625" style="433" customWidth="1"/>
    <col min="5638" max="5638" width="13.85546875" style="433" customWidth="1"/>
    <col min="5639" max="5639" width="16.7109375" style="433" customWidth="1"/>
    <col min="5640" max="5640" width="17.5703125" style="433" customWidth="1"/>
    <col min="5641" max="5641" width="12.85546875" style="433" customWidth="1"/>
    <col min="5642" max="5643" width="12.28515625" style="433" customWidth="1"/>
    <col min="5644" max="5645" width="2.5703125" style="433" bestFit="1" customWidth="1"/>
    <col min="5646" max="5646" width="3.42578125" style="433" bestFit="1" customWidth="1"/>
    <col min="5647" max="5649" width="7" style="433" bestFit="1" customWidth="1"/>
    <col min="5650" max="5650" width="2.85546875" style="433" bestFit="1" customWidth="1"/>
    <col min="5651" max="5651" width="3.42578125" style="433" bestFit="1" customWidth="1"/>
    <col min="5652" max="5652" width="2.5703125" style="433" bestFit="1" customWidth="1"/>
    <col min="5653" max="5655" width="7" style="433" bestFit="1" customWidth="1"/>
    <col min="5656" max="5656" width="2.5703125" style="433" bestFit="1" customWidth="1"/>
    <col min="5657" max="5657" width="2.85546875" style="433" bestFit="1" customWidth="1"/>
    <col min="5658" max="5658" width="2.5703125" style="433" bestFit="1" customWidth="1"/>
    <col min="5659" max="5660" width="7" style="433" bestFit="1" customWidth="1"/>
    <col min="5661" max="5661" width="8.28515625" style="433" bestFit="1" customWidth="1"/>
    <col min="5662" max="5664" width="2.85546875" style="433" bestFit="1" customWidth="1"/>
    <col min="5665" max="5666" width="7" style="433" bestFit="1" customWidth="1"/>
    <col min="5667" max="5667" width="8.28515625" style="433" bestFit="1" customWidth="1"/>
    <col min="5668" max="5668" width="9.140625" style="433" customWidth="1"/>
    <col min="5669" max="5669" width="9.42578125" style="433" bestFit="1" customWidth="1"/>
    <col min="5670" max="5670" width="6.5703125" style="433" bestFit="1" customWidth="1"/>
    <col min="5671" max="5671" width="6.7109375" style="433" bestFit="1" customWidth="1"/>
    <col min="5672" max="5672" width="8.85546875" style="433" customWidth="1"/>
    <col min="5673" max="5673" width="4.85546875" style="433" bestFit="1" customWidth="1"/>
    <col min="5674" max="5674" width="13.85546875" style="433" customWidth="1"/>
    <col min="5675" max="5675" width="18.140625" style="433" customWidth="1"/>
    <col min="5676" max="5888" width="13.85546875" style="433" customWidth="1"/>
    <col min="5889" max="5889" width="5.5703125" style="433" bestFit="1" customWidth="1"/>
    <col min="5890" max="5890" width="11.7109375" style="433" bestFit="1" customWidth="1"/>
    <col min="5891" max="5891" width="21.5703125" style="433" customWidth="1"/>
    <col min="5892" max="5892" width="23.42578125" style="433" customWidth="1"/>
    <col min="5893" max="5893" width="8.140625" style="433" customWidth="1"/>
    <col min="5894" max="5894" width="13.85546875" style="433" customWidth="1"/>
    <col min="5895" max="5895" width="16.7109375" style="433" customWidth="1"/>
    <col min="5896" max="5896" width="17.5703125" style="433" customWidth="1"/>
    <col min="5897" max="5897" width="12.85546875" style="433" customWidth="1"/>
    <col min="5898" max="5899" width="12.28515625" style="433" customWidth="1"/>
    <col min="5900" max="5901" width="2.5703125" style="433" bestFit="1" customWidth="1"/>
    <col min="5902" max="5902" width="3.42578125" style="433" bestFit="1" customWidth="1"/>
    <col min="5903" max="5905" width="7" style="433" bestFit="1" customWidth="1"/>
    <col min="5906" max="5906" width="2.85546875" style="433" bestFit="1" customWidth="1"/>
    <col min="5907" max="5907" width="3.42578125" style="433" bestFit="1" customWidth="1"/>
    <col min="5908" max="5908" width="2.5703125" style="433" bestFit="1" customWidth="1"/>
    <col min="5909" max="5911" width="7" style="433" bestFit="1" customWidth="1"/>
    <col min="5912" max="5912" width="2.5703125" style="433" bestFit="1" customWidth="1"/>
    <col min="5913" max="5913" width="2.85546875" style="433" bestFit="1" customWidth="1"/>
    <col min="5914" max="5914" width="2.5703125" style="433" bestFit="1" customWidth="1"/>
    <col min="5915" max="5916" width="7" style="433" bestFit="1" customWidth="1"/>
    <col min="5917" max="5917" width="8.28515625" style="433" bestFit="1" customWidth="1"/>
    <col min="5918" max="5920" width="2.85546875" style="433" bestFit="1" customWidth="1"/>
    <col min="5921" max="5922" width="7" style="433" bestFit="1" customWidth="1"/>
    <col min="5923" max="5923" width="8.28515625" style="433" bestFit="1" customWidth="1"/>
    <col min="5924" max="5924" width="9.140625" style="433" customWidth="1"/>
    <col min="5925" max="5925" width="9.42578125" style="433" bestFit="1" customWidth="1"/>
    <col min="5926" max="5926" width="6.5703125" style="433" bestFit="1" customWidth="1"/>
    <col min="5927" max="5927" width="6.7109375" style="433" bestFit="1" customWidth="1"/>
    <col min="5928" max="5928" width="8.85546875" style="433" customWidth="1"/>
    <col min="5929" max="5929" width="4.85546875" style="433" bestFit="1" customWidth="1"/>
    <col min="5930" max="5930" width="13.85546875" style="433" customWidth="1"/>
    <col min="5931" max="5931" width="18.140625" style="433" customWidth="1"/>
    <col min="5932" max="6144" width="13.85546875" style="433" customWidth="1"/>
    <col min="6145" max="6145" width="5.5703125" style="433" bestFit="1" customWidth="1"/>
    <col min="6146" max="6146" width="11.7109375" style="433" bestFit="1" customWidth="1"/>
    <col min="6147" max="6147" width="21.5703125" style="433" customWidth="1"/>
    <col min="6148" max="6148" width="23.42578125" style="433" customWidth="1"/>
    <col min="6149" max="6149" width="8.140625" style="433" customWidth="1"/>
    <col min="6150" max="6150" width="13.85546875" style="433" customWidth="1"/>
    <col min="6151" max="6151" width="16.7109375" style="433" customWidth="1"/>
    <col min="6152" max="6152" width="17.5703125" style="433" customWidth="1"/>
    <col min="6153" max="6153" width="12.85546875" style="433" customWidth="1"/>
    <col min="6154" max="6155" width="12.28515625" style="433" customWidth="1"/>
    <col min="6156" max="6157" width="2.5703125" style="433" bestFit="1" customWidth="1"/>
    <col min="6158" max="6158" width="3.42578125" style="433" bestFit="1" customWidth="1"/>
    <col min="6159" max="6161" width="7" style="433" bestFit="1" customWidth="1"/>
    <col min="6162" max="6162" width="2.85546875" style="433" bestFit="1" customWidth="1"/>
    <col min="6163" max="6163" width="3.42578125" style="433" bestFit="1" customWidth="1"/>
    <col min="6164" max="6164" width="2.5703125" style="433" bestFit="1" customWidth="1"/>
    <col min="6165" max="6167" width="7" style="433" bestFit="1" customWidth="1"/>
    <col min="6168" max="6168" width="2.5703125" style="433" bestFit="1" customWidth="1"/>
    <col min="6169" max="6169" width="2.85546875" style="433" bestFit="1" customWidth="1"/>
    <col min="6170" max="6170" width="2.5703125" style="433" bestFit="1" customWidth="1"/>
    <col min="6171" max="6172" width="7" style="433" bestFit="1" customWidth="1"/>
    <col min="6173" max="6173" width="8.28515625" style="433" bestFit="1" customWidth="1"/>
    <col min="6174" max="6176" width="2.85546875" style="433" bestFit="1" customWidth="1"/>
    <col min="6177" max="6178" width="7" style="433" bestFit="1" customWidth="1"/>
    <col min="6179" max="6179" width="8.28515625" style="433" bestFit="1" customWidth="1"/>
    <col min="6180" max="6180" width="9.140625" style="433" customWidth="1"/>
    <col min="6181" max="6181" width="9.42578125" style="433" bestFit="1" customWidth="1"/>
    <col min="6182" max="6182" width="6.5703125" style="433" bestFit="1" customWidth="1"/>
    <col min="6183" max="6183" width="6.7109375" style="433" bestFit="1" customWidth="1"/>
    <col min="6184" max="6184" width="8.85546875" style="433" customWidth="1"/>
    <col min="6185" max="6185" width="4.85546875" style="433" bestFit="1" customWidth="1"/>
    <col min="6186" max="6186" width="13.85546875" style="433" customWidth="1"/>
    <col min="6187" max="6187" width="18.140625" style="433" customWidth="1"/>
    <col min="6188" max="6400" width="13.85546875" style="433" customWidth="1"/>
    <col min="6401" max="6401" width="5.5703125" style="433" bestFit="1" customWidth="1"/>
    <col min="6402" max="6402" width="11.7109375" style="433" bestFit="1" customWidth="1"/>
    <col min="6403" max="6403" width="21.5703125" style="433" customWidth="1"/>
    <col min="6404" max="6404" width="23.42578125" style="433" customWidth="1"/>
    <col min="6405" max="6405" width="8.140625" style="433" customWidth="1"/>
    <col min="6406" max="6406" width="13.85546875" style="433" customWidth="1"/>
    <col min="6407" max="6407" width="16.7109375" style="433" customWidth="1"/>
    <col min="6408" max="6408" width="17.5703125" style="433" customWidth="1"/>
    <col min="6409" max="6409" width="12.85546875" style="433" customWidth="1"/>
    <col min="6410" max="6411" width="12.28515625" style="433" customWidth="1"/>
    <col min="6412" max="6413" width="2.5703125" style="433" bestFit="1" customWidth="1"/>
    <col min="6414" max="6414" width="3.42578125" style="433" bestFit="1" customWidth="1"/>
    <col min="6415" max="6417" width="7" style="433" bestFit="1" customWidth="1"/>
    <col min="6418" max="6418" width="2.85546875" style="433" bestFit="1" customWidth="1"/>
    <col min="6419" max="6419" width="3.42578125" style="433" bestFit="1" customWidth="1"/>
    <col min="6420" max="6420" width="2.5703125" style="433" bestFit="1" customWidth="1"/>
    <col min="6421" max="6423" width="7" style="433" bestFit="1" customWidth="1"/>
    <col min="6424" max="6424" width="2.5703125" style="433" bestFit="1" customWidth="1"/>
    <col min="6425" max="6425" width="2.85546875" style="433" bestFit="1" customWidth="1"/>
    <col min="6426" max="6426" width="2.5703125" style="433" bestFit="1" customWidth="1"/>
    <col min="6427" max="6428" width="7" style="433" bestFit="1" customWidth="1"/>
    <col min="6429" max="6429" width="8.28515625" style="433" bestFit="1" customWidth="1"/>
    <col min="6430" max="6432" width="2.85546875" style="433" bestFit="1" customWidth="1"/>
    <col min="6433" max="6434" width="7" style="433" bestFit="1" customWidth="1"/>
    <col min="6435" max="6435" width="8.28515625" style="433" bestFit="1" customWidth="1"/>
    <col min="6436" max="6436" width="9.140625" style="433" customWidth="1"/>
    <col min="6437" max="6437" width="9.42578125" style="433" bestFit="1" customWidth="1"/>
    <col min="6438" max="6438" width="6.5703125" style="433" bestFit="1" customWidth="1"/>
    <col min="6439" max="6439" width="6.7109375" style="433" bestFit="1" customWidth="1"/>
    <col min="6440" max="6440" width="8.85546875" style="433" customWidth="1"/>
    <col min="6441" max="6441" width="4.85546875" style="433" bestFit="1" customWidth="1"/>
    <col min="6442" max="6442" width="13.85546875" style="433" customWidth="1"/>
    <col min="6443" max="6443" width="18.140625" style="433" customWidth="1"/>
    <col min="6444" max="6656" width="13.85546875" style="433" customWidth="1"/>
    <col min="6657" max="6657" width="5.5703125" style="433" bestFit="1" customWidth="1"/>
    <col min="6658" max="6658" width="11.7109375" style="433" bestFit="1" customWidth="1"/>
    <col min="6659" max="6659" width="21.5703125" style="433" customWidth="1"/>
    <col min="6660" max="6660" width="23.42578125" style="433" customWidth="1"/>
    <col min="6661" max="6661" width="8.140625" style="433" customWidth="1"/>
    <col min="6662" max="6662" width="13.85546875" style="433" customWidth="1"/>
    <col min="6663" max="6663" width="16.7109375" style="433" customWidth="1"/>
    <col min="6664" max="6664" width="17.5703125" style="433" customWidth="1"/>
    <col min="6665" max="6665" width="12.85546875" style="433" customWidth="1"/>
    <col min="6666" max="6667" width="12.28515625" style="433" customWidth="1"/>
    <col min="6668" max="6669" width="2.5703125" style="433" bestFit="1" customWidth="1"/>
    <col min="6670" max="6670" width="3.42578125" style="433" bestFit="1" customWidth="1"/>
    <col min="6671" max="6673" width="7" style="433" bestFit="1" customWidth="1"/>
    <col min="6674" max="6674" width="2.85546875" style="433" bestFit="1" customWidth="1"/>
    <col min="6675" max="6675" width="3.42578125" style="433" bestFit="1" customWidth="1"/>
    <col min="6676" max="6676" width="2.5703125" style="433" bestFit="1" customWidth="1"/>
    <col min="6677" max="6679" width="7" style="433" bestFit="1" customWidth="1"/>
    <col min="6680" max="6680" width="2.5703125" style="433" bestFit="1" customWidth="1"/>
    <col min="6681" max="6681" width="2.85546875" style="433" bestFit="1" customWidth="1"/>
    <col min="6682" max="6682" width="2.5703125" style="433" bestFit="1" customWidth="1"/>
    <col min="6683" max="6684" width="7" style="433" bestFit="1" customWidth="1"/>
    <col min="6685" max="6685" width="8.28515625" style="433" bestFit="1" customWidth="1"/>
    <col min="6686" max="6688" width="2.85546875" style="433" bestFit="1" customWidth="1"/>
    <col min="6689" max="6690" width="7" style="433" bestFit="1" customWidth="1"/>
    <col min="6691" max="6691" width="8.28515625" style="433" bestFit="1" customWidth="1"/>
    <col min="6692" max="6692" width="9.140625" style="433" customWidth="1"/>
    <col min="6693" max="6693" width="9.42578125" style="433" bestFit="1" customWidth="1"/>
    <col min="6694" max="6694" width="6.5703125" style="433" bestFit="1" customWidth="1"/>
    <col min="6695" max="6695" width="6.7109375" style="433" bestFit="1" customWidth="1"/>
    <col min="6696" max="6696" width="8.85546875" style="433" customWidth="1"/>
    <col min="6697" max="6697" width="4.85546875" style="433" bestFit="1" customWidth="1"/>
    <col min="6698" max="6698" width="13.85546875" style="433" customWidth="1"/>
    <col min="6699" max="6699" width="18.140625" style="433" customWidth="1"/>
    <col min="6700" max="6912" width="13.85546875" style="433" customWidth="1"/>
    <col min="6913" max="6913" width="5.5703125" style="433" bestFit="1" customWidth="1"/>
    <col min="6914" max="6914" width="11.7109375" style="433" bestFit="1" customWidth="1"/>
    <col min="6915" max="6915" width="21.5703125" style="433" customWidth="1"/>
    <col min="6916" max="6916" width="23.42578125" style="433" customWidth="1"/>
    <col min="6917" max="6917" width="8.140625" style="433" customWidth="1"/>
    <col min="6918" max="6918" width="13.85546875" style="433" customWidth="1"/>
    <col min="6919" max="6919" width="16.7109375" style="433" customWidth="1"/>
    <col min="6920" max="6920" width="17.5703125" style="433" customWidth="1"/>
    <col min="6921" max="6921" width="12.85546875" style="433" customWidth="1"/>
    <col min="6922" max="6923" width="12.28515625" style="433" customWidth="1"/>
    <col min="6924" max="6925" width="2.5703125" style="433" bestFit="1" customWidth="1"/>
    <col min="6926" max="6926" width="3.42578125" style="433" bestFit="1" customWidth="1"/>
    <col min="6927" max="6929" width="7" style="433" bestFit="1" customWidth="1"/>
    <col min="6930" max="6930" width="2.85546875" style="433" bestFit="1" customWidth="1"/>
    <col min="6931" max="6931" width="3.42578125" style="433" bestFit="1" customWidth="1"/>
    <col min="6932" max="6932" width="2.5703125" style="433" bestFit="1" customWidth="1"/>
    <col min="6933" max="6935" width="7" style="433" bestFit="1" customWidth="1"/>
    <col min="6936" max="6936" width="2.5703125" style="433" bestFit="1" customWidth="1"/>
    <col min="6937" max="6937" width="2.85546875" style="433" bestFit="1" customWidth="1"/>
    <col min="6938" max="6938" width="2.5703125" style="433" bestFit="1" customWidth="1"/>
    <col min="6939" max="6940" width="7" style="433" bestFit="1" customWidth="1"/>
    <col min="6941" max="6941" width="8.28515625" style="433" bestFit="1" customWidth="1"/>
    <col min="6942" max="6944" width="2.85546875" style="433" bestFit="1" customWidth="1"/>
    <col min="6945" max="6946" width="7" style="433" bestFit="1" customWidth="1"/>
    <col min="6947" max="6947" width="8.28515625" style="433" bestFit="1" customWidth="1"/>
    <col min="6948" max="6948" width="9.140625" style="433" customWidth="1"/>
    <col min="6949" max="6949" width="9.42578125" style="433" bestFit="1" customWidth="1"/>
    <col min="6950" max="6950" width="6.5703125" style="433" bestFit="1" customWidth="1"/>
    <col min="6951" max="6951" width="6.7109375" style="433" bestFit="1" customWidth="1"/>
    <col min="6952" max="6952" width="8.85546875" style="433" customWidth="1"/>
    <col min="6953" max="6953" width="4.85546875" style="433" bestFit="1" customWidth="1"/>
    <col min="6954" max="6954" width="13.85546875" style="433" customWidth="1"/>
    <col min="6955" max="6955" width="18.140625" style="433" customWidth="1"/>
    <col min="6956" max="7168" width="13.85546875" style="433" customWidth="1"/>
    <col min="7169" max="7169" width="5.5703125" style="433" bestFit="1" customWidth="1"/>
    <col min="7170" max="7170" width="11.7109375" style="433" bestFit="1" customWidth="1"/>
    <col min="7171" max="7171" width="21.5703125" style="433" customWidth="1"/>
    <col min="7172" max="7172" width="23.42578125" style="433" customWidth="1"/>
    <col min="7173" max="7173" width="8.140625" style="433" customWidth="1"/>
    <col min="7174" max="7174" width="13.85546875" style="433" customWidth="1"/>
    <col min="7175" max="7175" width="16.7109375" style="433" customWidth="1"/>
    <col min="7176" max="7176" width="17.5703125" style="433" customWidth="1"/>
    <col min="7177" max="7177" width="12.85546875" style="433" customWidth="1"/>
    <col min="7178" max="7179" width="12.28515625" style="433" customWidth="1"/>
    <col min="7180" max="7181" width="2.5703125" style="433" bestFit="1" customWidth="1"/>
    <col min="7182" max="7182" width="3.42578125" style="433" bestFit="1" customWidth="1"/>
    <col min="7183" max="7185" width="7" style="433" bestFit="1" customWidth="1"/>
    <col min="7186" max="7186" width="2.85546875" style="433" bestFit="1" customWidth="1"/>
    <col min="7187" max="7187" width="3.42578125" style="433" bestFit="1" customWidth="1"/>
    <col min="7188" max="7188" width="2.5703125" style="433" bestFit="1" customWidth="1"/>
    <col min="7189" max="7191" width="7" style="433" bestFit="1" customWidth="1"/>
    <col min="7192" max="7192" width="2.5703125" style="433" bestFit="1" customWidth="1"/>
    <col min="7193" max="7193" width="2.85546875" style="433" bestFit="1" customWidth="1"/>
    <col min="7194" max="7194" width="2.5703125" style="433" bestFit="1" customWidth="1"/>
    <col min="7195" max="7196" width="7" style="433" bestFit="1" customWidth="1"/>
    <col min="7197" max="7197" width="8.28515625" style="433" bestFit="1" customWidth="1"/>
    <col min="7198" max="7200" width="2.85546875" style="433" bestFit="1" customWidth="1"/>
    <col min="7201" max="7202" width="7" style="433" bestFit="1" customWidth="1"/>
    <col min="7203" max="7203" width="8.28515625" style="433" bestFit="1" customWidth="1"/>
    <col min="7204" max="7204" width="9.140625" style="433" customWidth="1"/>
    <col min="7205" max="7205" width="9.42578125" style="433" bestFit="1" customWidth="1"/>
    <col min="7206" max="7206" width="6.5703125" style="433" bestFit="1" customWidth="1"/>
    <col min="7207" max="7207" width="6.7109375" style="433" bestFit="1" customWidth="1"/>
    <col min="7208" max="7208" width="8.85546875" style="433" customWidth="1"/>
    <col min="7209" max="7209" width="4.85546875" style="433" bestFit="1" customWidth="1"/>
    <col min="7210" max="7210" width="13.85546875" style="433" customWidth="1"/>
    <col min="7211" max="7211" width="18.140625" style="433" customWidth="1"/>
    <col min="7212" max="7424" width="13.85546875" style="433" customWidth="1"/>
    <col min="7425" max="7425" width="5.5703125" style="433" bestFit="1" customWidth="1"/>
    <col min="7426" max="7426" width="11.7109375" style="433" bestFit="1" customWidth="1"/>
    <col min="7427" max="7427" width="21.5703125" style="433" customWidth="1"/>
    <col min="7428" max="7428" width="23.42578125" style="433" customWidth="1"/>
    <col min="7429" max="7429" width="8.140625" style="433" customWidth="1"/>
    <col min="7430" max="7430" width="13.85546875" style="433" customWidth="1"/>
    <col min="7431" max="7431" width="16.7109375" style="433" customWidth="1"/>
    <col min="7432" max="7432" width="17.5703125" style="433" customWidth="1"/>
    <col min="7433" max="7433" width="12.85546875" style="433" customWidth="1"/>
    <col min="7434" max="7435" width="12.28515625" style="433" customWidth="1"/>
    <col min="7436" max="7437" width="2.5703125" style="433" bestFit="1" customWidth="1"/>
    <col min="7438" max="7438" width="3.42578125" style="433" bestFit="1" customWidth="1"/>
    <col min="7439" max="7441" width="7" style="433" bestFit="1" customWidth="1"/>
    <col min="7442" max="7442" width="2.85546875" style="433" bestFit="1" customWidth="1"/>
    <col min="7443" max="7443" width="3.42578125" style="433" bestFit="1" customWidth="1"/>
    <col min="7444" max="7444" width="2.5703125" style="433" bestFit="1" customWidth="1"/>
    <col min="7445" max="7447" width="7" style="433" bestFit="1" customWidth="1"/>
    <col min="7448" max="7448" width="2.5703125" style="433" bestFit="1" customWidth="1"/>
    <col min="7449" max="7449" width="2.85546875" style="433" bestFit="1" customWidth="1"/>
    <col min="7450" max="7450" width="2.5703125" style="433" bestFit="1" customWidth="1"/>
    <col min="7451" max="7452" width="7" style="433" bestFit="1" customWidth="1"/>
    <col min="7453" max="7453" width="8.28515625" style="433" bestFit="1" customWidth="1"/>
    <col min="7454" max="7456" width="2.85546875" style="433" bestFit="1" customWidth="1"/>
    <col min="7457" max="7458" width="7" style="433" bestFit="1" customWidth="1"/>
    <col min="7459" max="7459" width="8.28515625" style="433" bestFit="1" customWidth="1"/>
    <col min="7460" max="7460" width="9.140625" style="433" customWidth="1"/>
    <col min="7461" max="7461" width="9.42578125" style="433" bestFit="1" customWidth="1"/>
    <col min="7462" max="7462" width="6.5703125" style="433" bestFit="1" customWidth="1"/>
    <col min="7463" max="7463" width="6.7109375" style="433" bestFit="1" customWidth="1"/>
    <col min="7464" max="7464" width="8.85546875" style="433" customWidth="1"/>
    <col min="7465" max="7465" width="4.85546875" style="433" bestFit="1" customWidth="1"/>
    <col min="7466" max="7466" width="13.85546875" style="433" customWidth="1"/>
    <col min="7467" max="7467" width="18.140625" style="433" customWidth="1"/>
    <col min="7468" max="7680" width="13.85546875" style="433" customWidth="1"/>
    <col min="7681" max="7681" width="5.5703125" style="433" bestFit="1" customWidth="1"/>
    <col min="7682" max="7682" width="11.7109375" style="433" bestFit="1" customWidth="1"/>
    <col min="7683" max="7683" width="21.5703125" style="433" customWidth="1"/>
    <col min="7684" max="7684" width="23.42578125" style="433" customWidth="1"/>
    <col min="7685" max="7685" width="8.140625" style="433" customWidth="1"/>
    <col min="7686" max="7686" width="13.85546875" style="433" customWidth="1"/>
    <col min="7687" max="7687" width="16.7109375" style="433" customWidth="1"/>
    <col min="7688" max="7688" width="17.5703125" style="433" customWidth="1"/>
    <col min="7689" max="7689" width="12.85546875" style="433" customWidth="1"/>
    <col min="7690" max="7691" width="12.28515625" style="433" customWidth="1"/>
    <col min="7692" max="7693" width="2.5703125" style="433" bestFit="1" customWidth="1"/>
    <col min="7694" max="7694" width="3.42578125" style="433" bestFit="1" customWidth="1"/>
    <col min="7695" max="7697" width="7" style="433" bestFit="1" customWidth="1"/>
    <col min="7698" max="7698" width="2.85546875" style="433" bestFit="1" customWidth="1"/>
    <col min="7699" max="7699" width="3.42578125" style="433" bestFit="1" customWidth="1"/>
    <col min="7700" max="7700" width="2.5703125" style="433" bestFit="1" customWidth="1"/>
    <col min="7701" max="7703" width="7" style="433" bestFit="1" customWidth="1"/>
    <col min="7704" max="7704" width="2.5703125" style="433" bestFit="1" customWidth="1"/>
    <col min="7705" max="7705" width="2.85546875" style="433" bestFit="1" customWidth="1"/>
    <col min="7706" max="7706" width="2.5703125" style="433" bestFit="1" customWidth="1"/>
    <col min="7707" max="7708" width="7" style="433" bestFit="1" customWidth="1"/>
    <col min="7709" max="7709" width="8.28515625" style="433" bestFit="1" customWidth="1"/>
    <col min="7710" max="7712" width="2.85546875" style="433" bestFit="1" customWidth="1"/>
    <col min="7713" max="7714" width="7" style="433" bestFit="1" customWidth="1"/>
    <col min="7715" max="7715" width="8.28515625" style="433" bestFit="1" customWidth="1"/>
    <col min="7716" max="7716" width="9.140625" style="433" customWidth="1"/>
    <col min="7717" max="7717" width="9.42578125" style="433" bestFit="1" customWidth="1"/>
    <col min="7718" max="7718" width="6.5703125" style="433" bestFit="1" customWidth="1"/>
    <col min="7719" max="7719" width="6.7109375" style="433" bestFit="1" customWidth="1"/>
    <col min="7720" max="7720" width="8.85546875" style="433" customWidth="1"/>
    <col min="7721" max="7721" width="4.85546875" style="433" bestFit="1" customWidth="1"/>
    <col min="7722" max="7722" width="13.85546875" style="433" customWidth="1"/>
    <col min="7723" max="7723" width="18.140625" style="433" customWidth="1"/>
    <col min="7724" max="7936" width="13.85546875" style="433" customWidth="1"/>
    <col min="7937" max="7937" width="5.5703125" style="433" bestFit="1" customWidth="1"/>
    <col min="7938" max="7938" width="11.7109375" style="433" bestFit="1" customWidth="1"/>
    <col min="7939" max="7939" width="21.5703125" style="433" customWidth="1"/>
    <col min="7940" max="7940" width="23.42578125" style="433" customWidth="1"/>
    <col min="7941" max="7941" width="8.140625" style="433" customWidth="1"/>
    <col min="7942" max="7942" width="13.85546875" style="433" customWidth="1"/>
    <col min="7943" max="7943" width="16.7109375" style="433" customWidth="1"/>
    <col min="7944" max="7944" width="17.5703125" style="433" customWidth="1"/>
    <col min="7945" max="7945" width="12.85546875" style="433" customWidth="1"/>
    <col min="7946" max="7947" width="12.28515625" style="433" customWidth="1"/>
    <col min="7948" max="7949" width="2.5703125" style="433" bestFit="1" customWidth="1"/>
    <col min="7950" max="7950" width="3.42578125" style="433" bestFit="1" customWidth="1"/>
    <col min="7951" max="7953" width="7" style="433" bestFit="1" customWidth="1"/>
    <col min="7954" max="7954" width="2.85546875" style="433" bestFit="1" customWidth="1"/>
    <col min="7955" max="7955" width="3.42578125" style="433" bestFit="1" customWidth="1"/>
    <col min="7956" max="7956" width="2.5703125" style="433" bestFit="1" customWidth="1"/>
    <col min="7957" max="7959" width="7" style="433" bestFit="1" customWidth="1"/>
    <col min="7960" max="7960" width="2.5703125" style="433" bestFit="1" customWidth="1"/>
    <col min="7961" max="7961" width="2.85546875" style="433" bestFit="1" customWidth="1"/>
    <col min="7962" max="7962" width="2.5703125" style="433" bestFit="1" customWidth="1"/>
    <col min="7963" max="7964" width="7" style="433" bestFit="1" customWidth="1"/>
    <col min="7965" max="7965" width="8.28515625" style="433" bestFit="1" customWidth="1"/>
    <col min="7966" max="7968" width="2.85546875" style="433" bestFit="1" customWidth="1"/>
    <col min="7969" max="7970" width="7" style="433" bestFit="1" customWidth="1"/>
    <col min="7971" max="7971" width="8.28515625" style="433" bestFit="1" customWidth="1"/>
    <col min="7972" max="7972" width="9.140625" style="433" customWidth="1"/>
    <col min="7973" max="7973" width="9.42578125" style="433" bestFit="1" customWidth="1"/>
    <col min="7974" max="7974" width="6.5703125" style="433" bestFit="1" customWidth="1"/>
    <col min="7975" max="7975" width="6.7109375" style="433" bestFit="1" customWidth="1"/>
    <col min="7976" max="7976" width="8.85546875" style="433" customWidth="1"/>
    <col min="7977" max="7977" width="4.85546875" style="433" bestFit="1" customWidth="1"/>
    <col min="7978" max="7978" width="13.85546875" style="433" customWidth="1"/>
    <col min="7979" max="7979" width="18.140625" style="433" customWidth="1"/>
    <col min="7980" max="8192" width="13.85546875" style="433" customWidth="1"/>
    <col min="8193" max="8193" width="5.5703125" style="433" bestFit="1" customWidth="1"/>
    <col min="8194" max="8194" width="11.7109375" style="433" bestFit="1" customWidth="1"/>
    <col min="8195" max="8195" width="21.5703125" style="433" customWidth="1"/>
    <col min="8196" max="8196" width="23.42578125" style="433" customWidth="1"/>
    <col min="8197" max="8197" width="8.140625" style="433" customWidth="1"/>
    <col min="8198" max="8198" width="13.85546875" style="433" customWidth="1"/>
    <col min="8199" max="8199" width="16.7109375" style="433" customWidth="1"/>
    <col min="8200" max="8200" width="17.5703125" style="433" customWidth="1"/>
    <col min="8201" max="8201" width="12.85546875" style="433" customWidth="1"/>
    <col min="8202" max="8203" width="12.28515625" style="433" customWidth="1"/>
    <col min="8204" max="8205" width="2.5703125" style="433" bestFit="1" customWidth="1"/>
    <col min="8206" max="8206" width="3.42578125" style="433" bestFit="1" customWidth="1"/>
    <col min="8207" max="8209" width="7" style="433" bestFit="1" customWidth="1"/>
    <col min="8210" max="8210" width="2.85546875" style="433" bestFit="1" customWidth="1"/>
    <col min="8211" max="8211" width="3.42578125" style="433" bestFit="1" customWidth="1"/>
    <col min="8212" max="8212" width="2.5703125" style="433" bestFit="1" customWidth="1"/>
    <col min="8213" max="8215" width="7" style="433" bestFit="1" customWidth="1"/>
    <col min="8216" max="8216" width="2.5703125" style="433" bestFit="1" customWidth="1"/>
    <col min="8217" max="8217" width="2.85546875" style="433" bestFit="1" customWidth="1"/>
    <col min="8218" max="8218" width="2.5703125" style="433" bestFit="1" customWidth="1"/>
    <col min="8219" max="8220" width="7" style="433" bestFit="1" customWidth="1"/>
    <col min="8221" max="8221" width="8.28515625" style="433" bestFit="1" customWidth="1"/>
    <col min="8222" max="8224" width="2.85546875" style="433" bestFit="1" customWidth="1"/>
    <col min="8225" max="8226" width="7" style="433" bestFit="1" customWidth="1"/>
    <col min="8227" max="8227" width="8.28515625" style="433" bestFit="1" customWidth="1"/>
    <col min="8228" max="8228" width="9.140625" style="433" customWidth="1"/>
    <col min="8229" max="8229" width="9.42578125" style="433" bestFit="1" customWidth="1"/>
    <col min="8230" max="8230" width="6.5703125" style="433" bestFit="1" customWidth="1"/>
    <col min="8231" max="8231" width="6.7109375" style="433" bestFit="1" customWidth="1"/>
    <col min="8232" max="8232" width="8.85546875" style="433" customWidth="1"/>
    <col min="8233" max="8233" width="4.85546875" style="433" bestFit="1" customWidth="1"/>
    <col min="8234" max="8234" width="13.85546875" style="433" customWidth="1"/>
    <col min="8235" max="8235" width="18.140625" style="433" customWidth="1"/>
    <col min="8236" max="8448" width="13.85546875" style="433" customWidth="1"/>
    <col min="8449" max="8449" width="5.5703125" style="433" bestFit="1" customWidth="1"/>
    <col min="8450" max="8450" width="11.7109375" style="433" bestFit="1" customWidth="1"/>
    <col min="8451" max="8451" width="21.5703125" style="433" customWidth="1"/>
    <col min="8452" max="8452" width="23.42578125" style="433" customWidth="1"/>
    <col min="8453" max="8453" width="8.140625" style="433" customWidth="1"/>
    <col min="8454" max="8454" width="13.85546875" style="433" customWidth="1"/>
    <col min="8455" max="8455" width="16.7109375" style="433" customWidth="1"/>
    <col min="8456" max="8456" width="17.5703125" style="433" customWidth="1"/>
    <col min="8457" max="8457" width="12.85546875" style="433" customWidth="1"/>
    <col min="8458" max="8459" width="12.28515625" style="433" customWidth="1"/>
    <col min="8460" max="8461" width="2.5703125" style="433" bestFit="1" customWidth="1"/>
    <col min="8462" max="8462" width="3.42578125" style="433" bestFit="1" customWidth="1"/>
    <col min="8463" max="8465" width="7" style="433" bestFit="1" customWidth="1"/>
    <col min="8466" max="8466" width="2.85546875" style="433" bestFit="1" customWidth="1"/>
    <col min="8467" max="8467" width="3.42578125" style="433" bestFit="1" customWidth="1"/>
    <col min="8468" max="8468" width="2.5703125" style="433" bestFit="1" customWidth="1"/>
    <col min="8469" max="8471" width="7" style="433" bestFit="1" customWidth="1"/>
    <col min="8472" max="8472" width="2.5703125" style="433" bestFit="1" customWidth="1"/>
    <col min="8473" max="8473" width="2.85546875" style="433" bestFit="1" customWidth="1"/>
    <col min="8474" max="8474" width="2.5703125" style="433" bestFit="1" customWidth="1"/>
    <col min="8475" max="8476" width="7" style="433" bestFit="1" customWidth="1"/>
    <col min="8477" max="8477" width="8.28515625" style="433" bestFit="1" customWidth="1"/>
    <col min="8478" max="8480" width="2.85546875" style="433" bestFit="1" customWidth="1"/>
    <col min="8481" max="8482" width="7" style="433" bestFit="1" customWidth="1"/>
    <col min="8483" max="8483" width="8.28515625" style="433" bestFit="1" customWidth="1"/>
    <col min="8484" max="8484" width="9.140625" style="433" customWidth="1"/>
    <col min="8485" max="8485" width="9.42578125" style="433" bestFit="1" customWidth="1"/>
    <col min="8486" max="8486" width="6.5703125" style="433" bestFit="1" customWidth="1"/>
    <col min="8487" max="8487" width="6.7109375" style="433" bestFit="1" customWidth="1"/>
    <col min="8488" max="8488" width="8.85546875" style="433" customWidth="1"/>
    <col min="8489" max="8489" width="4.85546875" style="433" bestFit="1" customWidth="1"/>
    <col min="8490" max="8490" width="13.85546875" style="433" customWidth="1"/>
    <col min="8491" max="8491" width="18.140625" style="433" customWidth="1"/>
    <col min="8492" max="8704" width="13.85546875" style="433" customWidth="1"/>
    <col min="8705" max="8705" width="5.5703125" style="433" bestFit="1" customWidth="1"/>
    <col min="8706" max="8706" width="11.7109375" style="433" bestFit="1" customWidth="1"/>
    <col min="8707" max="8707" width="21.5703125" style="433" customWidth="1"/>
    <col min="8708" max="8708" width="23.42578125" style="433" customWidth="1"/>
    <col min="8709" max="8709" width="8.140625" style="433" customWidth="1"/>
    <col min="8710" max="8710" width="13.85546875" style="433" customWidth="1"/>
    <col min="8711" max="8711" width="16.7109375" style="433" customWidth="1"/>
    <col min="8712" max="8712" width="17.5703125" style="433" customWidth="1"/>
    <col min="8713" max="8713" width="12.85546875" style="433" customWidth="1"/>
    <col min="8714" max="8715" width="12.28515625" style="433" customWidth="1"/>
    <col min="8716" max="8717" width="2.5703125" style="433" bestFit="1" customWidth="1"/>
    <col min="8718" max="8718" width="3.42578125" style="433" bestFit="1" customWidth="1"/>
    <col min="8719" max="8721" width="7" style="433" bestFit="1" customWidth="1"/>
    <col min="8722" max="8722" width="2.85546875" style="433" bestFit="1" customWidth="1"/>
    <col min="8723" max="8723" width="3.42578125" style="433" bestFit="1" customWidth="1"/>
    <col min="8724" max="8724" width="2.5703125" style="433" bestFit="1" customWidth="1"/>
    <col min="8725" max="8727" width="7" style="433" bestFit="1" customWidth="1"/>
    <col min="8728" max="8728" width="2.5703125" style="433" bestFit="1" customWidth="1"/>
    <col min="8729" max="8729" width="2.85546875" style="433" bestFit="1" customWidth="1"/>
    <col min="8730" max="8730" width="2.5703125" style="433" bestFit="1" customWidth="1"/>
    <col min="8731" max="8732" width="7" style="433" bestFit="1" customWidth="1"/>
    <col min="8733" max="8733" width="8.28515625" style="433" bestFit="1" customWidth="1"/>
    <col min="8734" max="8736" width="2.85546875" style="433" bestFit="1" customWidth="1"/>
    <col min="8737" max="8738" width="7" style="433" bestFit="1" customWidth="1"/>
    <col min="8739" max="8739" width="8.28515625" style="433" bestFit="1" customWidth="1"/>
    <col min="8740" max="8740" width="9.140625" style="433" customWidth="1"/>
    <col min="8741" max="8741" width="9.42578125" style="433" bestFit="1" customWidth="1"/>
    <col min="8742" max="8742" width="6.5703125" style="433" bestFit="1" customWidth="1"/>
    <col min="8743" max="8743" width="6.7109375" style="433" bestFit="1" customWidth="1"/>
    <col min="8744" max="8744" width="8.85546875" style="433" customWidth="1"/>
    <col min="8745" max="8745" width="4.85546875" style="433" bestFit="1" customWidth="1"/>
    <col min="8746" max="8746" width="13.85546875" style="433" customWidth="1"/>
    <col min="8747" max="8747" width="18.140625" style="433" customWidth="1"/>
    <col min="8748" max="8960" width="13.85546875" style="433" customWidth="1"/>
    <col min="8961" max="8961" width="5.5703125" style="433" bestFit="1" customWidth="1"/>
    <col min="8962" max="8962" width="11.7109375" style="433" bestFit="1" customWidth="1"/>
    <col min="8963" max="8963" width="21.5703125" style="433" customWidth="1"/>
    <col min="8964" max="8964" width="23.42578125" style="433" customWidth="1"/>
    <col min="8965" max="8965" width="8.140625" style="433" customWidth="1"/>
    <col min="8966" max="8966" width="13.85546875" style="433" customWidth="1"/>
    <col min="8967" max="8967" width="16.7109375" style="433" customWidth="1"/>
    <col min="8968" max="8968" width="17.5703125" style="433" customWidth="1"/>
    <col min="8969" max="8969" width="12.85546875" style="433" customWidth="1"/>
    <col min="8970" max="8971" width="12.28515625" style="433" customWidth="1"/>
    <col min="8972" max="8973" width="2.5703125" style="433" bestFit="1" customWidth="1"/>
    <col min="8974" max="8974" width="3.42578125" style="433" bestFit="1" customWidth="1"/>
    <col min="8975" max="8977" width="7" style="433" bestFit="1" customWidth="1"/>
    <col min="8978" max="8978" width="2.85546875" style="433" bestFit="1" customWidth="1"/>
    <col min="8979" max="8979" width="3.42578125" style="433" bestFit="1" customWidth="1"/>
    <col min="8980" max="8980" width="2.5703125" style="433" bestFit="1" customWidth="1"/>
    <col min="8981" max="8983" width="7" style="433" bestFit="1" customWidth="1"/>
    <col min="8984" max="8984" width="2.5703125" style="433" bestFit="1" customWidth="1"/>
    <col min="8985" max="8985" width="2.85546875" style="433" bestFit="1" customWidth="1"/>
    <col min="8986" max="8986" width="2.5703125" style="433" bestFit="1" customWidth="1"/>
    <col min="8987" max="8988" width="7" style="433" bestFit="1" customWidth="1"/>
    <col min="8989" max="8989" width="8.28515625" style="433" bestFit="1" customWidth="1"/>
    <col min="8990" max="8992" width="2.85546875" style="433" bestFit="1" customWidth="1"/>
    <col min="8993" max="8994" width="7" style="433" bestFit="1" customWidth="1"/>
    <col min="8995" max="8995" width="8.28515625" style="433" bestFit="1" customWidth="1"/>
    <col min="8996" max="8996" width="9.140625" style="433" customWidth="1"/>
    <col min="8997" max="8997" width="9.42578125" style="433" bestFit="1" customWidth="1"/>
    <col min="8998" max="8998" width="6.5703125" style="433" bestFit="1" customWidth="1"/>
    <col min="8999" max="8999" width="6.7109375" style="433" bestFit="1" customWidth="1"/>
    <col min="9000" max="9000" width="8.85546875" style="433" customWidth="1"/>
    <col min="9001" max="9001" width="4.85546875" style="433" bestFit="1" customWidth="1"/>
    <col min="9002" max="9002" width="13.85546875" style="433" customWidth="1"/>
    <col min="9003" max="9003" width="18.140625" style="433" customWidth="1"/>
    <col min="9004" max="9216" width="13.85546875" style="433" customWidth="1"/>
    <col min="9217" max="9217" width="5.5703125" style="433" bestFit="1" customWidth="1"/>
    <col min="9218" max="9218" width="11.7109375" style="433" bestFit="1" customWidth="1"/>
    <col min="9219" max="9219" width="21.5703125" style="433" customWidth="1"/>
    <col min="9220" max="9220" width="23.42578125" style="433" customWidth="1"/>
    <col min="9221" max="9221" width="8.140625" style="433" customWidth="1"/>
    <col min="9222" max="9222" width="13.85546875" style="433" customWidth="1"/>
    <col min="9223" max="9223" width="16.7109375" style="433" customWidth="1"/>
    <col min="9224" max="9224" width="17.5703125" style="433" customWidth="1"/>
    <col min="9225" max="9225" width="12.85546875" style="433" customWidth="1"/>
    <col min="9226" max="9227" width="12.28515625" style="433" customWidth="1"/>
    <col min="9228" max="9229" width="2.5703125" style="433" bestFit="1" customWidth="1"/>
    <col min="9230" max="9230" width="3.42578125" style="433" bestFit="1" customWidth="1"/>
    <col min="9231" max="9233" width="7" style="433" bestFit="1" customWidth="1"/>
    <col min="9234" max="9234" width="2.85546875" style="433" bestFit="1" customWidth="1"/>
    <col min="9235" max="9235" width="3.42578125" style="433" bestFit="1" customWidth="1"/>
    <col min="9236" max="9236" width="2.5703125" style="433" bestFit="1" customWidth="1"/>
    <col min="9237" max="9239" width="7" style="433" bestFit="1" customWidth="1"/>
    <col min="9240" max="9240" width="2.5703125" style="433" bestFit="1" customWidth="1"/>
    <col min="9241" max="9241" width="2.85546875" style="433" bestFit="1" customWidth="1"/>
    <col min="9242" max="9242" width="2.5703125" style="433" bestFit="1" customWidth="1"/>
    <col min="9243" max="9244" width="7" style="433" bestFit="1" customWidth="1"/>
    <col min="9245" max="9245" width="8.28515625" style="433" bestFit="1" customWidth="1"/>
    <col min="9246" max="9248" width="2.85546875" style="433" bestFit="1" customWidth="1"/>
    <col min="9249" max="9250" width="7" style="433" bestFit="1" customWidth="1"/>
    <col min="9251" max="9251" width="8.28515625" style="433" bestFit="1" customWidth="1"/>
    <col min="9252" max="9252" width="9.140625" style="433" customWidth="1"/>
    <col min="9253" max="9253" width="9.42578125" style="433" bestFit="1" customWidth="1"/>
    <col min="9254" max="9254" width="6.5703125" style="433" bestFit="1" customWidth="1"/>
    <col min="9255" max="9255" width="6.7109375" style="433" bestFit="1" customWidth="1"/>
    <col min="9256" max="9256" width="8.85546875" style="433" customWidth="1"/>
    <col min="9257" max="9257" width="4.85546875" style="433" bestFit="1" customWidth="1"/>
    <col min="9258" max="9258" width="13.85546875" style="433" customWidth="1"/>
    <col min="9259" max="9259" width="18.140625" style="433" customWidth="1"/>
    <col min="9260" max="9472" width="13.85546875" style="433" customWidth="1"/>
    <col min="9473" max="9473" width="5.5703125" style="433" bestFit="1" customWidth="1"/>
    <col min="9474" max="9474" width="11.7109375" style="433" bestFit="1" customWidth="1"/>
    <col min="9475" max="9475" width="21.5703125" style="433" customWidth="1"/>
    <col min="9476" max="9476" width="23.42578125" style="433" customWidth="1"/>
    <col min="9477" max="9477" width="8.140625" style="433" customWidth="1"/>
    <col min="9478" max="9478" width="13.85546875" style="433" customWidth="1"/>
    <col min="9479" max="9479" width="16.7109375" style="433" customWidth="1"/>
    <col min="9480" max="9480" width="17.5703125" style="433" customWidth="1"/>
    <col min="9481" max="9481" width="12.85546875" style="433" customWidth="1"/>
    <col min="9482" max="9483" width="12.28515625" style="433" customWidth="1"/>
    <col min="9484" max="9485" width="2.5703125" style="433" bestFit="1" customWidth="1"/>
    <col min="9486" max="9486" width="3.42578125" style="433" bestFit="1" customWidth="1"/>
    <col min="9487" max="9489" width="7" style="433" bestFit="1" customWidth="1"/>
    <col min="9490" max="9490" width="2.85546875" style="433" bestFit="1" customWidth="1"/>
    <col min="9491" max="9491" width="3.42578125" style="433" bestFit="1" customWidth="1"/>
    <col min="9492" max="9492" width="2.5703125" style="433" bestFit="1" customWidth="1"/>
    <col min="9493" max="9495" width="7" style="433" bestFit="1" customWidth="1"/>
    <col min="9496" max="9496" width="2.5703125" style="433" bestFit="1" customWidth="1"/>
    <col min="9497" max="9497" width="2.85546875" style="433" bestFit="1" customWidth="1"/>
    <col min="9498" max="9498" width="2.5703125" style="433" bestFit="1" customWidth="1"/>
    <col min="9499" max="9500" width="7" style="433" bestFit="1" customWidth="1"/>
    <col min="9501" max="9501" width="8.28515625" style="433" bestFit="1" customWidth="1"/>
    <col min="9502" max="9504" width="2.85546875" style="433" bestFit="1" customWidth="1"/>
    <col min="9505" max="9506" width="7" style="433" bestFit="1" customWidth="1"/>
    <col min="9507" max="9507" width="8.28515625" style="433" bestFit="1" customWidth="1"/>
    <col min="9508" max="9508" width="9.140625" style="433" customWidth="1"/>
    <col min="9509" max="9509" width="9.42578125" style="433" bestFit="1" customWidth="1"/>
    <col min="9510" max="9510" width="6.5703125" style="433" bestFit="1" customWidth="1"/>
    <col min="9511" max="9511" width="6.7109375" style="433" bestFit="1" customWidth="1"/>
    <col min="9512" max="9512" width="8.85546875" style="433" customWidth="1"/>
    <col min="9513" max="9513" width="4.85546875" style="433" bestFit="1" customWidth="1"/>
    <col min="9514" max="9514" width="13.85546875" style="433" customWidth="1"/>
    <col min="9515" max="9515" width="18.140625" style="433" customWidth="1"/>
    <col min="9516" max="9728" width="13.85546875" style="433" customWidth="1"/>
    <col min="9729" max="9729" width="5.5703125" style="433" bestFit="1" customWidth="1"/>
    <col min="9730" max="9730" width="11.7109375" style="433" bestFit="1" customWidth="1"/>
    <col min="9731" max="9731" width="21.5703125" style="433" customWidth="1"/>
    <col min="9732" max="9732" width="23.42578125" style="433" customWidth="1"/>
    <col min="9733" max="9733" width="8.140625" style="433" customWidth="1"/>
    <col min="9734" max="9734" width="13.85546875" style="433" customWidth="1"/>
    <col min="9735" max="9735" width="16.7109375" style="433" customWidth="1"/>
    <col min="9736" max="9736" width="17.5703125" style="433" customWidth="1"/>
    <col min="9737" max="9737" width="12.85546875" style="433" customWidth="1"/>
    <col min="9738" max="9739" width="12.28515625" style="433" customWidth="1"/>
    <col min="9740" max="9741" width="2.5703125" style="433" bestFit="1" customWidth="1"/>
    <col min="9742" max="9742" width="3.42578125" style="433" bestFit="1" customWidth="1"/>
    <col min="9743" max="9745" width="7" style="433" bestFit="1" customWidth="1"/>
    <col min="9746" max="9746" width="2.85546875" style="433" bestFit="1" customWidth="1"/>
    <col min="9747" max="9747" width="3.42578125" style="433" bestFit="1" customWidth="1"/>
    <col min="9748" max="9748" width="2.5703125" style="433" bestFit="1" customWidth="1"/>
    <col min="9749" max="9751" width="7" style="433" bestFit="1" customWidth="1"/>
    <col min="9752" max="9752" width="2.5703125" style="433" bestFit="1" customWidth="1"/>
    <col min="9753" max="9753" width="2.85546875" style="433" bestFit="1" customWidth="1"/>
    <col min="9754" max="9754" width="2.5703125" style="433" bestFit="1" customWidth="1"/>
    <col min="9755" max="9756" width="7" style="433" bestFit="1" customWidth="1"/>
    <col min="9757" max="9757" width="8.28515625" style="433" bestFit="1" customWidth="1"/>
    <col min="9758" max="9760" width="2.85546875" style="433" bestFit="1" customWidth="1"/>
    <col min="9761" max="9762" width="7" style="433" bestFit="1" customWidth="1"/>
    <col min="9763" max="9763" width="8.28515625" style="433" bestFit="1" customWidth="1"/>
    <col min="9764" max="9764" width="9.140625" style="433" customWidth="1"/>
    <col min="9765" max="9765" width="9.42578125" style="433" bestFit="1" customWidth="1"/>
    <col min="9766" max="9766" width="6.5703125" style="433" bestFit="1" customWidth="1"/>
    <col min="9767" max="9767" width="6.7109375" style="433" bestFit="1" customWidth="1"/>
    <col min="9768" max="9768" width="8.85546875" style="433" customWidth="1"/>
    <col min="9769" max="9769" width="4.85546875" style="433" bestFit="1" customWidth="1"/>
    <col min="9770" max="9770" width="13.85546875" style="433" customWidth="1"/>
    <col min="9771" max="9771" width="18.140625" style="433" customWidth="1"/>
    <col min="9772" max="9984" width="13.85546875" style="433" customWidth="1"/>
    <col min="9985" max="9985" width="5.5703125" style="433" bestFit="1" customWidth="1"/>
    <col min="9986" max="9986" width="11.7109375" style="433" bestFit="1" customWidth="1"/>
    <col min="9987" max="9987" width="21.5703125" style="433" customWidth="1"/>
    <col min="9988" max="9988" width="23.42578125" style="433" customWidth="1"/>
    <col min="9989" max="9989" width="8.140625" style="433" customWidth="1"/>
    <col min="9990" max="9990" width="13.85546875" style="433" customWidth="1"/>
    <col min="9991" max="9991" width="16.7109375" style="433" customWidth="1"/>
    <col min="9992" max="9992" width="17.5703125" style="433" customWidth="1"/>
    <col min="9993" max="9993" width="12.85546875" style="433" customWidth="1"/>
    <col min="9994" max="9995" width="12.28515625" style="433" customWidth="1"/>
    <col min="9996" max="9997" width="2.5703125" style="433" bestFit="1" customWidth="1"/>
    <col min="9998" max="9998" width="3.42578125" style="433" bestFit="1" customWidth="1"/>
    <col min="9999" max="10001" width="7" style="433" bestFit="1" customWidth="1"/>
    <col min="10002" max="10002" width="2.85546875" style="433" bestFit="1" customWidth="1"/>
    <col min="10003" max="10003" width="3.42578125" style="433" bestFit="1" customWidth="1"/>
    <col min="10004" max="10004" width="2.5703125" style="433" bestFit="1" customWidth="1"/>
    <col min="10005" max="10007" width="7" style="433" bestFit="1" customWidth="1"/>
    <col min="10008" max="10008" width="2.5703125" style="433" bestFit="1" customWidth="1"/>
    <col min="10009" max="10009" width="2.85546875" style="433" bestFit="1" customWidth="1"/>
    <col min="10010" max="10010" width="2.5703125" style="433" bestFit="1" customWidth="1"/>
    <col min="10011" max="10012" width="7" style="433" bestFit="1" customWidth="1"/>
    <col min="10013" max="10013" width="8.28515625" style="433" bestFit="1" customWidth="1"/>
    <col min="10014" max="10016" width="2.85546875" style="433" bestFit="1" customWidth="1"/>
    <col min="10017" max="10018" width="7" style="433" bestFit="1" customWidth="1"/>
    <col min="10019" max="10019" width="8.28515625" style="433" bestFit="1" customWidth="1"/>
    <col min="10020" max="10020" width="9.140625" style="433" customWidth="1"/>
    <col min="10021" max="10021" width="9.42578125" style="433" bestFit="1" customWidth="1"/>
    <col min="10022" max="10022" width="6.5703125" style="433" bestFit="1" customWidth="1"/>
    <col min="10023" max="10023" width="6.7109375" style="433" bestFit="1" customWidth="1"/>
    <col min="10024" max="10024" width="8.85546875" style="433" customWidth="1"/>
    <col min="10025" max="10025" width="4.85546875" style="433" bestFit="1" customWidth="1"/>
    <col min="10026" max="10026" width="13.85546875" style="433" customWidth="1"/>
    <col min="10027" max="10027" width="18.140625" style="433" customWidth="1"/>
    <col min="10028" max="10240" width="13.85546875" style="433" customWidth="1"/>
    <col min="10241" max="10241" width="5.5703125" style="433" bestFit="1" customWidth="1"/>
    <col min="10242" max="10242" width="11.7109375" style="433" bestFit="1" customWidth="1"/>
    <col min="10243" max="10243" width="21.5703125" style="433" customWidth="1"/>
    <col min="10244" max="10244" width="23.42578125" style="433" customWidth="1"/>
    <col min="10245" max="10245" width="8.140625" style="433" customWidth="1"/>
    <col min="10246" max="10246" width="13.85546875" style="433" customWidth="1"/>
    <col min="10247" max="10247" width="16.7109375" style="433" customWidth="1"/>
    <col min="10248" max="10248" width="17.5703125" style="433" customWidth="1"/>
    <col min="10249" max="10249" width="12.85546875" style="433" customWidth="1"/>
    <col min="10250" max="10251" width="12.28515625" style="433" customWidth="1"/>
    <col min="10252" max="10253" width="2.5703125" style="433" bestFit="1" customWidth="1"/>
    <col min="10254" max="10254" width="3.42578125" style="433" bestFit="1" customWidth="1"/>
    <col min="10255" max="10257" width="7" style="433" bestFit="1" customWidth="1"/>
    <col min="10258" max="10258" width="2.85546875" style="433" bestFit="1" customWidth="1"/>
    <col min="10259" max="10259" width="3.42578125" style="433" bestFit="1" customWidth="1"/>
    <col min="10260" max="10260" width="2.5703125" style="433" bestFit="1" customWidth="1"/>
    <col min="10261" max="10263" width="7" style="433" bestFit="1" customWidth="1"/>
    <col min="10264" max="10264" width="2.5703125" style="433" bestFit="1" customWidth="1"/>
    <col min="10265" max="10265" width="2.85546875" style="433" bestFit="1" customWidth="1"/>
    <col min="10266" max="10266" width="2.5703125" style="433" bestFit="1" customWidth="1"/>
    <col min="10267" max="10268" width="7" style="433" bestFit="1" customWidth="1"/>
    <col min="10269" max="10269" width="8.28515625" style="433" bestFit="1" customWidth="1"/>
    <col min="10270" max="10272" width="2.85546875" style="433" bestFit="1" customWidth="1"/>
    <col min="10273" max="10274" width="7" style="433" bestFit="1" customWidth="1"/>
    <col min="10275" max="10275" width="8.28515625" style="433" bestFit="1" customWidth="1"/>
    <col min="10276" max="10276" width="9.140625" style="433" customWidth="1"/>
    <col min="10277" max="10277" width="9.42578125" style="433" bestFit="1" customWidth="1"/>
    <col min="10278" max="10278" width="6.5703125" style="433" bestFit="1" customWidth="1"/>
    <col min="10279" max="10279" width="6.7109375" style="433" bestFit="1" customWidth="1"/>
    <col min="10280" max="10280" width="8.85546875" style="433" customWidth="1"/>
    <col min="10281" max="10281" width="4.85546875" style="433" bestFit="1" customWidth="1"/>
    <col min="10282" max="10282" width="13.85546875" style="433" customWidth="1"/>
    <col min="10283" max="10283" width="18.140625" style="433" customWidth="1"/>
    <col min="10284" max="10496" width="13.85546875" style="433" customWidth="1"/>
    <col min="10497" max="10497" width="5.5703125" style="433" bestFit="1" customWidth="1"/>
    <col min="10498" max="10498" width="11.7109375" style="433" bestFit="1" customWidth="1"/>
    <col min="10499" max="10499" width="21.5703125" style="433" customWidth="1"/>
    <col min="10500" max="10500" width="23.42578125" style="433" customWidth="1"/>
    <col min="10501" max="10501" width="8.140625" style="433" customWidth="1"/>
    <col min="10502" max="10502" width="13.85546875" style="433" customWidth="1"/>
    <col min="10503" max="10503" width="16.7109375" style="433" customWidth="1"/>
    <col min="10504" max="10504" width="17.5703125" style="433" customWidth="1"/>
    <col min="10505" max="10505" width="12.85546875" style="433" customWidth="1"/>
    <col min="10506" max="10507" width="12.28515625" style="433" customWidth="1"/>
    <col min="10508" max="10509" width="2.5703125" style="433" bestFit="1" customWidth="1"/>
    <col min="10510" max="10510" width="3.42578125" style="433" bestFit="1" customWidth="1"/>
    <col min="10511" max="10513" width="7" style="433" bestFit="1" customWidth="1"/>
    <col min="10514" max="10514" width="2.85546875" style="433" bestFit="1" customWidth="1"/>
    <col min="10515" max="10515" width="3.42578125" style="433" bestFit="1" customWidth="1"/>
    <col min="10516" max="10516" width="2.5703125" style="433" bestFit="1" customWidth="1"/>
    <col min="10517" max="10519" width="7" style="433" bestFit="1" customWidth="1"/>
    <col min="10520" max="10520" width="2.5703125" style="433" bestFit="1" customWidth="1"/>
    <col min="10521" max="10521" width="2.85546875" style="433" bestFit="1" customWidth="1"/>
    <col min="10522" max="10522" width="2.5703125" style="433" bestFit="1" customWidth="1"/>
    <col min="10523" max="10524" width="7" style="433" bestFit="1" customWidth="1"/>
    <col min="10525" max="10525" width="8.28515625" style="433" bestFit="1" customWidth="1"/>
    <col min="10526" max="10528" width="2.85546875" style="433" bestFit="1" customWidth="1"/>
    <col min="10529" max="10530" width="7" style="433" bestFit="1" customWidth="1"/>
    <col min="10531" max="10531" width="8.28515625" style="433" bestFit="1" customWidth="1"/>
    <col min="10532" max="10532" width="9.140625" style="433" customWidth="1"/>
    <col min="10533" max="10533" width="9.42578125" style="433" bestFit="1" customWidth="1"/>
    <col min="10534" max="10534" width="6.5703125" style="433" bestFit="1" customWidth="1"/>
    <col min="10535" max="10535" width="6.7109375" style="433" bestFit="1" customWidth="1"/>
    <col min="10536" max="10536" width="8.85546875" style="433" customWidth="1"/>
    <col min="10537" max="10537" width="4.85546875" style="433" bestFit="1" customWidth="1"/>
    <col min="10538" max="10538" width="13.85546875" style="433" customWidth="1"/>
    <col min="10539" max="10539" width="18.140625" style="433" customWidth="1"/>
    <col min="10540" max="10752" width="13.85546875" style="433" customWidth="1"/>
    <col min="10753" max="10753" width="5.5703125" style="433" bestFit="1" customWidth="1"/>
    <col min="10754" max="10754" width="11.7109375" style="433" bestFit="1" customWidth="1"/>
    <col min="10755" max="10755" width="21.5703125" style="433" customWidth="1"/>
    <col min="10756" max="10756" width="23.42578125" style="433" customWidth="1"/>
    <col min="10757" max="10757" width="8.140625" style="433" customWidth="1"/>
    <col min="10758" max="10758" width="13.85546875" style="433" customWidth="1"/>
    <col min="10759" max="10759" width="16.7109375" style="433" customWidth="1"/>
    <col min="10760" max="10760" width="17.5703125" style="433" customWidth="1"/>
    <col min="10761" max="10761" width="12.85546875" style="433" customWidth="1"/>
    <col min="10762" max="10763" width="12.28515625" style="433" customWidth="1"/>
    <col min="10764" max="10765" width="2.5703125" style="433" bestFit="1" customWidth="1"/>
    <col min="10766" max="10766" width="3.42578125" style="433" bestFit="1" customWidth="1"/>
    <col min="10767" max="10769" width="7" style="433" bestFit="1" customWidth="1"/>
    <col min="10770" max="10770" width="2.85546875" style="433" bestFit="1" customWidth="1"/>
    <col min="10771" max="10771" width="3.42578125" style="433" bestFit="1" customWidth="1"/>
    <col min="10772" max="10772" width="2.5703125" style="433" bestFit="1" customWidth="1"/>
    <col min="10773" max="10775" width="7" style="433" bestFit="1" customWidth="1"/>
    <col min="10776" max="10776" width="2.5703125" style="433" bestFit="1" customWidth="1"/>
    <col min="10777" max="10777" width="2.85546875" style="433" bestFit="1" customWidth="1"/>
    <col min="10778" max="10778" width="2.5703125" style="433" bestFit="1" customWidth="1"/>
    <col min="10779" max="10780" width="7" style="433" bestFit="1" customWidth="1"/>
    <col min="10781" max="10781" width="8.28515625" style="433" bestFit="1" customWidth="1"/>
    <col min="10782" max="10784" width="2.85546875" style="433" bestFit="1" customWidth="1"/>
    <col min="10785" max="10786" width="7" style="433" bestFit="1" customWidth="1"/>
    <col min="10787" max="10787" width="8.28515625" style="433" bestFit="1" customWidth="1"/>
    <col min="10788" max="10788" width="9.140625" style="433" customWidth="1"/>
    <col min="10789" max="10789" width="9.42578125" style="433" bestFit="1" customWidth="1"/>
    <col min="10790" max="10790" width="6.5703125" style="433" bestFit="1" customWidth="1"/>
    <col min="10791" max="10791" width="6.7109375" style="433" bestFit="1" customWidth="1"/>
    <col min="10792" max="10792" width="8.85546875" style="433" customWidth="1"/>
    <col min="10793" max="10793" width="4.85546875" style="433" bestFit="1" customWidth="1"/>
    <col min="10794" max="10794" width="13.85546875" style="433" customWidth="1"/>
    <col min="10795" max="10795" width="18.140625" style="433" customWidth="1"/>
    <col min="10796" max="11008" width="13.85546875" style="433" customWidth="1"/>
    <col min="11009" max="11009" width="5.5703125" style="433" bestFit="1" customWidth="1"/>
    <col min="11010" max="11010" width="11.7109375" style="433" bestFit="1" customWidth="1"/>
    <col min="11011" max="11011" width="21.5703125" style="433" customWidth="1"/>
    <col min="11012" max="11012" width="23.42578125" style="433" customWidth="1"/>
    <col min="11013" max="11013" width="8.140625" style="433" customWidth="1"/>
    <col min="11014" max="11014" width="13.85546875" style="433" customWidth="1"/>
    <col min="11015" max="11015" width="16.7109375" style="433" customWidth="1"/>
    <col min="11016" max="11016" width="17.5703125" style="433" customWidth="1"/>
    <col min="11017" max="11017" width="12.85546875" style="433" customWidth="1"/>
    <col min="11018" max="11019" width="12.28515625" style="433" customWidth="1"/>
    <col min="11020" max="11021" width="2.5703125" style="433" bestFit="1" customWidth="1"/>
    <col min="11022" max="11022" width="3.42578125" style="433" bestFit="1" customWidth="1"/>
    <col min="11023" max="11025" width="7" style="433" bestFit="1" customWidth="1"/>
    <col min="11026" max="11026" width="2.85546875" style="433" bestFit="1" customWidth="1"/>
    <col min="11027" max="11027" width="3.42578125" style="433" bestFit="1" customWidth="1"/>
    <col min="11028" max="11028" width="2.5703125" style="433" bestFit="1" customWidth="1"/>
    <col min="11029" max="11031" width="7" style="433" bestFit="1" customWidth="1"/>
    <col min="11032" max="11032" width="2.5703125" style="433" bestFit="1" customWidth="1"/>
    <col min="11033" max="11033" width="2.85546875" style="433" bestFit="1" customWidth="1"/>
    <col min="11034" max="11034" width="2.5703125" style="433" bestFit="1" customWidth="1"/>
    <col min="11035" max="11036" width="7" style="433" bestFit="1" customWidth="1"/>
    <col min="11037" max="11037" width="8.28515625" style="433" bestFit="1" customWidth="1"/>
    <col min="11038" max="11040" width="2.85546875" style="433" bestFit="1" customWidth="1"/>
    <col min="11041" max="11042" width="7" style="433" bestFit="1" customWidth="1"/>
    <col min="11043" max="11043" width="8.28515625" style="433" bestFit="1" customWidth="1"/>
    <col min="11044" max="11044" width="9.140625" style="433" customWidth="1"/>
    <col min="11045" max="11045" width="9.42578125" style="433" bestFit="1" customWidth="1"/>
    <col min="11046" max="11046" width="6.5703125" style="433" bestFit="1" customWidth="1"/>
    <col min="11047" max="11047" width="6.7109375" style="433" bestFit="1" customWidth="1"/>
    <col min="11048" max="11048" width="8.85546875" style="433" customWidth="1"/>
    <col min="11049" max="11049" width="4.85546875" style="433" bestFit="1" customWidth="1"/>
    <col min="11050" max="11050" width="13.85546875" style="433" customWidth="1"/>
    <col min="11051" max="11051" width="18.140625" style="433" customWidth="1"/>
    <col min="11052" max="11264" width="13.85546875" style="433" customWidth="1"/>
    <col min="11265" max="11265" width="5.5703125" style="433" bestFit="1" customWidth="1"/>
    <col min="11266" max="11266" width="11.7109375" style="433" bestFit="1" customWidth="1"/>
    <col min="11267" max="11267" width="21.5703125" style="433" customWidth="1"/>
    <col min="11268" max="11268" width="23.42578125" style="433" customWidth="1"/>
    <col min="11269" max="11269" width="8.140625" style="433" customWidth="1"/>
    <col min="11270" max="11270" width="13.85546875" style="433" customWidth="1"/>
    <col min="11271" max="11271" width="16.7109375" style="433" customWidth="1"/>
    <col min="11272" max="11272" width="17.5703125" style="433" customWidth="1"/>
    <col min="11273" max="11273" width="12.85546875" style="433" customWidth="1"/>
    <col min="11274" max="11275" width="12.28515625" style="433" customWidth="1"/>
    <col min="11276" max="11277" width="2.5703125" style="433" bestFit="1" customWidth="1"/>
    <col min="11278" max="11278" width="3.42578125" style="433" bestFit="1" customWidth="1"/>
    <col min="11279" max="11281" width="7" style="433" bestFit="1" customWidth="1"/>
    <col min="11282" max="11282" width="2.85546875" style="433" bestFit="1" customWidth="1"/>
    <col min="11283" max="11283" width="3.42578125" style="433" bestFit="1" customWidth="1"/>
    <col min="11284" max="11284" width="2.5703125" style="433" bestFit="1" customWidth="1"/>
    <col min="11285" max="11287" width="7" style="433" bestFit="1" customWidth="1"/>
    <col min="11288" max="11288" width="2.5703125" style="433" bestFit="1" customWidth="1"/>
    <col min="11289" max="11289" width="2.85546875" style="433" bestFit="1" customWidth="1"/>
    <col min="11290" max="11290" width="2.5703125" style="433" bestFit="1" customWidth="1"/>
    <col min="11291" max="11292" width="7" style="433" bestFit="1" customWidth="1"/>
    <col min="11293" max="11293" width="8.28515625" style="433" bestFit="1" customWidth="1"/>
    <col min="11294" max="11296" width="2.85546875" style="433" bestFit="1" customWidth="1"/>
    <col min="11297" max="11298" width="7" style="433" bestFit="1" customWidth="1"/>
    <col min="11299" max="11299" width="8.28515625" style="433" bestFit="1" customWidth="1"/>
    <col min="11300" max="11300" width="9.140625" style="433" customWidth="1"/>
    <col min="11301" max="11301" width="9.42578125" style="433" bestFit="1" customWidth="1"/>
    <col min="11302" max="11302" width="6.5703125" style="433" bestFit="1" customWidth="1"/>
    <col min="11303" max="11303" width="6.7109375" style="433" bestFit="1" customWidth="1"/>
    <col min="11304" max="11304" width="8.85546875" style="433" customWidth="1"/>
    <col min="11305" max="11305" width="4.85546875" style="433" bestFit="1" customWidth="1"/>
    <col min="11306" max="11306" width="13.85546875" style="433" customWidth="1"/>
    <col min="11307" max="11307" width="18.140625" style="433" customWidth="1"/>
    <col min="11308" max="11520" width="13.85546875" style="433" customWidth="1"/>
    <col min="11521" max="11521" width="5.5703125" style="433" bestFit="1" customWidth="1"/>
    <col min="11522" max="11522" width="11.7109375" style="433" bestFit="1" customWidth="1"/>
    <col min="11523" max="11523" width="21.5703125" style="433" customWidth="1"/>
    <col min="11524" max="11524" width="23.42578125" style="433" customWidth="1"/>
    <col min="11525" max="11525" width="8.140625" style="433" customWidth="1"/>
    <col min="11526" max="11526" width="13.85546875" style="433" customWidth="1"/>
    <col min="11527" max="11527" width="16.7109375" style="433" customWidth="1"/>
    <col min="11528" max="11528" width="17.5703125" style="433" customWidth="1"/>
    <col min="11529" max="11529" width="12.85546875" style="433" customWidth="1"/>
    <col min="11530" max="11531" width="12.28515625" style="433" customWidth="1"/>
    <col min="11532" max="11533" width="2.5703125" style="433" bestFit="1" customWidth="1"/>
    <col min="11534" max="11534" width="3.42578125" style="433" bestFit="1" customWidth="1"/>
    <col min="11535" max="11537" width="7" style="433" bestFit="1" customWidth="1"/>
    <col min="11538" max="11538" width="2.85546875" style="433" bestFit="1" customWidth="1"/>
    <col min="11539" max="11539" width="3.42578125" style="433" bestFit="1" customWidth="1"/>
    <col min="11540" max="11540" width="2.5703125" style="433" bestFit="1" customWidth="1"/>
    <col min="11541" max="11543" width="7" style="433" bestFit="1" customWidth="1"/>
    <col min="11544" max="11544" width="2.5703125" style="433" bestFit="1" customWidth="1"/>
    <col min="11545" max="11545" width="2.85546875" style="433" bestFit="1" customWidth="1"/>
    <col min="11546" max="11546" width="2.5703125" style="433" bestFit="1" customWidth="1"/>
    <col min="11547" max="11548" width="7" style="433" bestFit="1" customWidth="1"/>
    <col min="11549" max="11549" width="8.28515625" style="433" bestFit="1" customWidth="1"/>
    <col min="11550" max="11552" width="2.85546875" style="433" bestFit="1" customWidth="1"/>
    <col min="11553" max="11554" width="7" style="433" bestFit="1" customWidth="1"/>
    <col min="11555" max="11555" width="8.28515625" style="433" bestFit="1" customWidth="1"/>
    <col min="11556" max="11556" width="9.140625" style="433" customWidth="1"/>
    <col min="11557" max="11557" width="9.42578125" style="433" bestFit="1" customWidth="1"/>
    <col min="11558" max="11558" width="6.5703125" style="433" bestFit="1" customWidth="1"/>
    <col min="11559" max="11559" width="6.7109375" style="433" bestFit="1" customWidth="1"/>
    <col min="11560" max="11560" width="8.85546875" style="433" customWidth="1"/>
    <col min="11561" max="11561" width="4.85546875" style="433" bestFit="1" customWidth="1"/>
    <col min="11562" max="11562" width="13.85546875" style="433" customWidth="1"/>
    <col min="11563" max="11563" width="18.140625" style="433" customWidth="1"/>
    <col min="11564" max="11776" width="13.85546875" style="433" customWidth="1"/>
    <col min="11777" max="11777" width="5.5703125" style="433" bestFit="1" customWidth="1"/>
    <col min="11778" max="11778" width="11.7109375" style="433" bestFit="1" customWidth="1"/>
    <col min="11779" max="11779" width="21.5703125" style="433" customWidth="1"/>
    <col min="11780" max="11780" width="23.42578125" style="433" customWidth="1"/>
    <col min="11781" max="11781" width="8.140625" style="433" customWidth="1"/>
    <col min="11782" max="11782" width="13.85546875" style="433" customWidth="1"/>
    <col min="11783" max="11783" width="16.7109375" style="433" customWidth="1"/>
    <col min="11784" max="11784" width="17.5703125" style="433" customWidth="1"/>
    <col min="11785" max="11785" width="12.85546875" style="433" customWidth="1"/>
    <col min="11786" max="11787" width="12.28515625" style="433" customWidth="1"/>
    <col min="11788" max="11789" width="2.5703125" style="433" bestFit="1" customWidth="1"/>
    <col min="11790" max="11790" width="3.42578125" style="433" bestFit="1" customWidth="1"/>
    <col min="11791" max="11793" width="7" style="433" bestFit="1" customWidth="1"/>
    <col min="11794" max="11794" width="2.85546875" style="433" bestFit="1" customWidth="1"/>
    <col min="11795" max="11795" width="3.42578125" style="433" bestFit="1" customWidth="1"/>
    <col min="11796" max="11796" width="2.5703125" style="433" bestFit="1" customWidth="1"/>
    <col min="11797" max="11799" width="7" style="433" bestFit="1" customWidth="1"/>
    <col min="11800" max="11800" width="2.5703125" style="433" bestFit="1" customWidth="1"/>
    <col min="11801" max="11801" width="2.85546875" style="433" bestFit="1" customWidth="1"/>
    <col min="11802" max="11802" width="2.5703125" style="433" bestFit="1" customWidth="1"/>
    <col min="11803" max="11804" width="7" style="433" bestFit="1" customWidth="1"/>
    <col min="11805" max="11805" width="8.28515625" style="433" bestFit="1" customWidth="1"/>
    <col min="11806" max="11808" width="2.85546875" style="433" bestFit="1" customWidth="1"/>
    <col min="11809" max="11810" width="7" style="433" bestFit="1" customWidth="1"/>
    <col min="11811" max="11811" width="8.28515625" style="433" bestFit="1" customWidth="1"/>
    <col min="11812" max="11812" width="9.140625" style="433" customWidth="1"/>
    <col min="11813" max="11813" width="9.42578125" style="433" bestFit="1" customWidth="1"/>
    <col min="11814" max="11814" width="6.5703125" style="433" bestFit="1" customWidth="1"/>
    <col min="11815" max="11815" width="6.7109375" style="433" bestFit="1" customWidth="1"/>
    <col min="11816" max="11816" width="8.85546875" style="433" customWidth="1"/>
    <col min="11817" max="11817" width="4.85546875" style="433" bestFit="1" customWidth="1"/>
    <col min="11818" max="11818" width="13.85546875" style="433" customWidth="1"/>
    <col min="11819" max="11819" width="18.140625" style="433" customWidth="1"/>
    <col min="11820" max="12032" width="13.85546875" style="433" customWidth="1"/>
    <col min="12033" max="12033" width="5.5703125" style="433" bestFit="1" customWidth="1"/>
    <col min="12034" max="12034" width="11.7109375" style="433" bestFit="1" customWidth="1"/>
    <col min="12035" max="12035" width="21.5703125" style="433" customWidth="1"/>
    <col min="12036" max="12036" width="23.42578125" style="433" customWidth="1"/>
    <col min="12037" max="12037" width="8.140625" style="433" customWidth="1"/>
    <col min="12038" max="12038" width="13.85546875" style="433" customWidth="1"/>
    <col min="12039" max="12039" width="16.7109375" style="433" customWidth="1"/>
    <col min="12040" max="12040" width="17.5703125" style="433" customWidth="1"/>
    <col min="12041" max="12041" width="12.85546875" style="433" customWidth="1"/>
    <col min="12042" max="12043" width="12.28515625" style="433" customWidth="1"/>
    <col min="12044" max="12045" width="2.5703125" style="433" bestFit="1" customWidth="1"/>
    <col min="12046" max="12046" width="3.42578125" style="433" bestFit="1" customWidth="1"/>
    <col min="12047" max="12049" width="7" style="433" bestFit="1" customWidth="1"/>
    <col min="12050" max="12050" width="2.85546875" style="433" bestFit="1" customWidth="1"/>
    <col min="12051" max="12051" width="3.42578125" style="433" bestFit="1" customWidth="1"/>
    <col min="12052" max="12052" width="2.5703125" style="433" bestFit="1" customWidth="1"/>
    <col min="12053" max="12055" width="7" style="433" bestFit="1" customWidth="1"/>
    <col min="12056" max="12056" width="2.5703125" style="433" bestFit="1" customWidth="1"/>
    <col min="12057" max="12057" width="2.85546875" style="433" bestFit="1" customWidth="1"/>
    <col min="12058" max="12058" width="2.5703125" style="433" bestFit="1" customWidth="1"/>
    <col min="12059" max="12060" width="7" style="433" bestFit="1" customWidth="1"/>
    <col min="12061" max="12061" width="8.28515625" style="433" bestFit="1" customWidth="1"/>
    <col min="12062" max="12064" width="2.85546875" style="433" bestFit="1" customWidth="1"/>
    <col min="12065" max="12066" width="7" style="433" bestFit="1" customWidth="1"/>
    <col min="12067" max="12067" width="8.28515625" style="433" bestFit="1" customWidth="1"/>
    <col min="12068" max="12068" width="9.140625" style="433" customWidth="1"/>
    <col min="12069" max="12069" width="9.42578125" style="433" bestFit="1" customWidth="1"/>
    <col min="12070" max="12070" width="6.5703125" style="433" bestFit="1" customWidth="1"/>
    <col min="12071" max="12071" width="6.7109375" style="433" bestFit="1" customWidth="1"/>
    <col min="12072" max="12072" width="8.85546875" style="433" customWidth="1"/>
    <col min="12073" max="12073" width="4.85546875" style="433" bestFit="1" customWidth="1"/>
    <col min="12074" max="12074" width="13.85546875" style="433" customWidth="1"/>
    <col min="12075" max="12075" width="18.140625" style="433" customWidth="1"/>
    <col min="12076" max="12288" width="13.85546875" style="433" customWidth="1"/>
    <col min="12289" max="12289" width="5.5703125" style="433" bestFit="1" customWidth="1"/>
    <col min="12290" max="12290" width="11.7109375" style="433" bestFit="1" customWidth="1"/>
    <col min="12291" max="12291" width="21.5703125" style="433" customWidth="1"/>
    <col min="12292" max="12292" width="23.42578125" style="433" customWidth="1"/>
    <col min="12293" max="12293" width="8.140625" style="433" customWidth="1"/>
    <col min="12294" max="12294" width="13.85546875" style="433" customWidth="1"/>
    <col min="12295" max="12295" width="16.7109375" style="433" customWidth="1"/>
    <col min="12296" max="12296" width="17.5703125" style="433" customWidth="1"/>
    <col min="12297" max="12297" width="12.85546875" style="433" customWidth="1"/>
    <col min="12298" max="12299" width="12.28515625" style="433" customWidth="1"/>
    <col min="12300" max="12301" width="2.5703125" style="433" bestFit="1" customWidth="1"/>
    <col min="12302" max="12302" width="3.42578125" style="433" bestFit="1" customWidth="1"/>
    <col min="12303" max="12305" width="7" style="433" bestFit="1" customWidth="1"/>
    <col min="12306" max="12306" width="2.85546875" style="433" bestFit="1" customWidth="1"/>
    <col min="12307" max="12307" width="3.42578125" style="433" bestFit="1" customWidth="1"/>
    <col min="12308" max="12308" width="2.5703125" style="433" bestFit="1" customWidth="1"/>
    <col min="12309" max="12311" width="7" style="433" bestFit="1" customWidth="1"/>
    <col min="12312" max="12312" width="2.5703125" style="433" bestFit="1" customWidth="1"/>
    <col min="12313" max="12313" width="2.85546875" style="433" bestFit="1" customWidth="1"/>
    <col min="12314" max="12314" width="2.5703125" style="433" bestFit="1" customWidth="1"/>
    <col min="12315" max="12316" width="7" style="433" bestFit="1" customWidth="1"/>
    <col min="12317" max="12317" width="8.28515625" style="433" bestFit="1" customWidth="1"/>
    <col min="12318" max="12320" width="2.85546875" style="433" bestFit="1" customWidth="1"/>
    <col min="12321" max="12322" width="7" style="433" bestFit="1" customWidth="1"/>
    <col min="12323" max="12323" width="8.28515625" style="433" bestFit="1" customWidth="1"/>
    <col min="12324" max="12324" width="9.140625" style="433" customWidth="1"/>
    <col min="12325" max="12325" width="9.42578125" style="433" bestFit="1" customWidth="1"/>
    <col min="12326" max="12326" width="6.5703125" style="433" bestFit="1" customWidth="1"/>
    <col min="12327" max="12327" width="6.7109375" style="433" bestFit="1" customWidth="1"/>
    <col min="12328" max="12328" width="8.85546875" style="433" customWidth="1"/>
    <col min="12329" max="12329" width="4.85546875" style="433" bestFit="1" customWidth="1"/>
    <col min="12330" max="12330" width="13.85546875" style="433" customWidth="1"/>
    <col min="12331" max="12331" width="18.140625" style="433" customWidth="1"/>
    <col min="12332" max="12544" width="13.85546875" style="433" customWidth="1"/>
    <col min="12545" max="12545" width="5.5703125" style="433" bestFit="1" customWidth="1"/>
    <col min="12546" max="12546" width="11.7109375" style="433" bestFit="1" customWidth="1"/>
    <col min="12547" max="12547" width="21.5703125" style="433" customWidth="1"/>
    <col min="12548" max="12548" width="23.42578125" style="433" customWidth="1"/>
    <col min="12549" max="12549" width="8.140625" style="433" customWidth="1"/>
    <col min="12550" max="12550" width="13.85546875" style="433" customWidth="1"/>
    <col min="12551" max="12551" width="16.7109375" style="433" customWidth="1"/>
    <col min="12552" max="12552" width="17.5703125" style="433" customWidth="1"/>
    <col min="12553" max="12553" width="12.85546875" style="433" customWidth="1"/>
    <col min="12554" max="12555" width="12.28515625" style="433" customWidth="1"/>
    <col min="12556" max="12557" width="2.5703125" style="433" bestFit="1" customWidth="1"/>
    <col min="12558" max="12558" width="3.42578125" style="433" bestFit="1" customWidth="1"/>
    <col min="12559" max="12561" width="7" style="433" bestFit="1" customWidth="1"/>
    <col min="12562" max="12562" width="2.85546875" style="433" bestFit="1" customWidth="1"/>
    <col min="12563" max="12563" width="3.42578125" style="433" bestFit="1" customWidth="1"/>
    <col min="12564" max="12564" width="2.5703125" style="433" bestFit="1" customWidth="1"/>
    <col min="12565" max="12567" width="7" style="433" bestFit="1" customWidth="1"/>
    <col min="12568" max="12568" width="2.5703125" style="433" bestFit="1" customWidth="1"/>
    <col min="12569" max="12569" width="2.85546875" style="433" bestFit="1" customWidth="1"/>
    <col min="12570" max="12570" width="2.5703125" style="433" bestFit="1" customWidth="1"/>
    <col min="12571" max="12572" width="7" style="433" bestFit="1" customWidth="1"/>
    <col min="12573" max="12573" width="8.28515625" style="433" bestFit="1" customWidth="1"/>
    <col min="12574" max="12576" width="2.85546875" style="433" bestFit="1" customWidth="1"/>
    <col min="12577" max="12578" width="7" style="433" bestFit="1" customWidth="1"/>
    <col min="12579" max="12579" width="8.28515625" style="433" bestFit="1" customWidth="1"/>
    <col min="12580" max="12580" width="9.140625" style="433" customWidth="1"/>
    <col min="12581" max="12581" width="9.42578125" style="433" bestFit="1" customWidth="1"/>
    <col min="12582" max="12582" width="6.5703125" style="433" bestFit="1" customWidth="1"/>
    <col min="12583" max="12583" width="6.7109375" style="433" bestFit="1" customWidth="1"/>
    <col min="12584" max="12584" width="8.85546875" style="433" customWidth="1"/>
    <col min="12585" max="12585" width="4.85546875" style="433" bestFit="1" customWidth="1"/>
    <col min="12586" max="12586" width="13.85546875" style="433" customWidth="1"/>
    <col min="12587" max="12587" width="18.140625" style="433" customWidth="1"/>
    <col min="12588" max="12800" width="13.85546875" style="433" customWidth="1"/>
    <col min="12801" max="12801" width="5.5703125" style="433" bestFit="1" customWidth="1"/>
    <col min="12802" max="12802" width="11.7109375" style="433" bestFit="1" customWidth="1"/>
    <col min="12803" max="12803" width="21.5703125" style="433" customWidth="1"/>
    <col min="12804" max="12804" width="23.42578125" style="433" customWidth="1"/>
    <col min="12805" max="12805" width="8.140625" style="433" customWidth="1"/>
    <col min="12806" max="12806" width="13.85546875" style="433" customWidth="1"/>
    <col min="12807" max="12807" width="16.7109375" style="433" customWidth="1"/>
    <col min="12808" max="12808" width="17.5703125" style="433" customWidth="1"/>
    <col min="12809" max="12809" width="12.85546875" style="433" customWidth="1"/>
    <col min="12810" max="12811" width="12.28515625" style="433" customWidth="1"/>
    <col min="12812" max="12813" width="2.5703125" style="433" bestFit="1" customWidth="1"/>
    <col min="12814" max="12814" width="3.42578125" style="433" bestFit="1" customWidth="1"/>
    <col min="12815" max="12817" width="7" style="433" bestFit="1" customWidth="1"/>
    <col min="12818" max="12818" width="2.85546875" style="433" bestFit="1" customWidth="1"/>
    <col min="12819" max="12819" width="3.42578125" style="433" bestFit="1" customWidth="1"/>
    <col min="12820" max="12820" width="2.5703125" style="433" bestFit="1" customWidth="1"/>
    <col min="12821" max="12823" width="7" style="433" bestFit="1" customWidth="1"/>
    <col min="12824" max="12824" width="2.5703125" style="433" bestFit="1" customWidth="1"/>
    <col min="12825" max="12825" width="2.85546875" style="433" bestFit="1" customWidth="1"/>
    <col min="12826" max="12826" width="2.5703125" style="433" bestFit="1" customWidth="1"/>
    <col min="12827" max="12828" width="7" style="433" bestFit="1" customWidth="1"/>
    <col min="12829" max="12829" width="8.28515625" style="433" bestFit="1" customWidth="1"/>
    <col min="12830" max="12832" width="2.85546875" style="433" bestFit="1" customWidth="1"/>
    <col min="12833" max="12834" width="7" style="433" bestFit="1" customWidth="1"/>
    <col min="12835" max="12835" width="8.28515625" style="433" bestFit="1" customWidth="1"/>
    <col min="12836" max="12836" width="9.140625" style="433" customWidth="1"/>
    <col min="12837" max="12837" width="9.42578125" style="433" bestFit="1" customWidth="1"/>
    <col min="12838" max="12838" width="6.5703125" style="433" bestFit="1" customWidth="1"/>
    <col min="12839" max="12839" width="6.7109375" style="433" bestFit="1" customWidth="1"/>
    <col min="12840" max="12840" width="8.85546875" style="433" customWidth="1"/>
    <col min="12841" max="12841" width="4.85546875" style="433" bestFit="1" customWidth="1"/>
    <col min="12842" max="12842" width="13.85546875" style="433" customWidth="1"/>
    <col min="12843" max="12843" width="18.140625" style="433" customWidth="1"/>
    <col min="12844" max="13056" width="13.85546875" style="433" customWidth="1"/>
    <col min="13057" max="13057" width="5.5703125" style="433" bestFit="1" customWidth="1"/>
    <col min="13058" max="13058" width="11.7109375" style="433" bestFit="1" customWidth="1"/>
    <col min="13059" max="13059" width="21.5703125" style="433" customWidth="1"/>
    <col min="13060" max="13060" width="23.42578125" style="433" customWidth="1"/>
    <col min="13061" max="13061" width="8.140625" style="433" customWidth="1"/>
    <col min="13062" max="13062" width="13.85546875" style="433" customWidth="1"/>
    <col min="13063" max="13063" width="16.7109375" style="433" customWidth="1"/>
    <col min="13064" max="13064" width="17.5703125" style="433" customWidth="1"/>
    <col min="13065" max="13065" width="12.85546875" style="433" customWidth="1"/>
    <col min="13066" max="13067" width="12.28515625" style="433" customWidth="1"/>
    <col min="13068" max="13069" width="2.5703125" style="433" bestFit="1" customWidth="1"/>
    <col min="13070" max="13070" width="3.42578125" style="433" bestFit="1" customWidth="1"/>
    <col min="13071" max="13073" width="7" style="433" bestFit="1" customWidth="1"/>
    <col min="13074" max="13074" width="2.85546875" style="433" bestFit="1" customWidth="1"/>
    <col min="13075" max="13075" width="3.42578125" style="433" bestFit="1" customWidth="1"/>
    <col min="13076" max="13076" width="2.5703125" style="433" bestFit="1" customWidth="1"/>
    <col min="13077" max="13079" width="7" style="433" bestFit="1" customWidth="1"/>
    <col min="13080" max="13080" width="2.5703125" style="433" bestFit="1" customWidth="1"/>
    <col min="13081" max="13081" width="2.85546875" style="433" bestFit="1" customWidth="1"/>
    <col min="13082" max="13082" width="2.5703125" style="433" bestFit="1" customWidth="1"/>
    <col min="13083" max="13084" width="7" style="433" bestFit="1" customWidth="1"/>
    <col min="13085" max="13085" width="8.28515625" style="433" bestFit="1" customWidth="1"/>
    <col min="13086" max="13088" width="2.85546875" style="433" bestFit="1" customWidth="1"/>
    <col min="13089" max="13090" width="7" style="433" bestFit="1" customWidth="1"/>
    <col min="13091" max="13091" width="8.28515625" style="433" bestFit="1" customWidth="1"/>
    <col min="13092" max="13092" width="9.140625" style="433" customWidth="1"/>
    <col min="13093" max="13093" width="9.42578125" style="433" bestFit="1" customWidth="1"/>
    <col min="13094" max="13094" width="6.5703125" style="433" bestFit="1" customWidth="1"/>
    <col min="13095" max="13095" width="6.7109375" style="433" bestFit="1" customWidth="1"/>
    <col min="13096" max="13096" width="8.85546875" style="433" customWidth="1"/>
    <col min="13097" max="13097" width="4.85546875" style="433" bestFit="1" customWidth="1"/>
    <col min="13098" max="13098" width="13.85546875" style="433" customWidth="1"/>
    <col min="13099" max="13099" width="18.140625" style="433" customWidth="1"/>
    <col min="13100" max="13312" width="13.85546875" style="433" customWidth="1"/>
    <col min="13313" max="13313" width="5.5703125" style="433" bestFit="1" customWidth="1"/>
    <col min="13314" max="13314" width="11.7109375" style="433" bestFit="1" customWidth="1"/>
    <col min="13315" max="13315" width="21.5703125" style="433" customWidth="1"/>
    <col min="13316" max="13316" width="23.42578125" style="433" customWidth="1"/>
    <col min="13317" max="13317" width="8.140625" style="433" customWidth="1"/>
    <col min="13318" max="13318" width="13.85546875" style="433" customWidth="1"/>
    <col min="13319" max="13319" width="16.7109375" style="433" customWidth="1"/>
    <col min="13320" max="13320" width="17.5703125" style="433" customWidth="1"/>
    <col min="13321" max="13321" width="12.85546875" style="433" customWidth="1"/>
    <col min="13322" max="13323" width="12.28515625" style="433" customWidth="1"/>
    <col min="13324" max="13325" width="2.5703125" style="433" bestFit="1" customWidth="1"/>
    <col min="13326" max="13326" width="3.42578125" style="433" bestFit="1" customWidth="1"/>
    <col min="13327" max="13329" width="7" style="433" bestFit="1" customWidth="1"/>
    <col min="13330" max="13330" width="2.85546875" style="433" bestFit="1" customWidth="1"/>
    <col min="13331" max="13331" width="3.42578125" style="433" bestFit="1" customWidth="1"/>
    <col min="13332" max="13332" width="2.5703125" style="433" bestFit="1" customWidth="1"/>
    <col min="13333" max="13335" width="7" style="433" bestFit="1" customWidth="1"/>
    <col min="13336" max="13336" width="2.5703125" style="433" bestFit="1" customWidth="1"/>
    <col min="13337" max="13337" width="2.85546875" style="433" bestFit="1" customWidth="1"/>
    <col min="13338" max="13338" width="2.5703125" style="433" bestFit="1" customWidth="1"/>
    <col min="13339" max="13340" width="7" style="433" bestFit="1" customWidth="1"/>
    <col min="13341" max="13341" width="8.28515625" style="433" bestFit="1" customWidth="1"/>
    <col min="13342" max="13344" width="2.85546875" style="433" bestFit="1" customWidth="1"/>
    <col min="13345" max="13346" width="7" style="433" bestFit="1" customWidth="1"/>
    <col min="13347" max="13347" width="8.28515625" style="433" bestFit="1" customWidth="1"/>
    <col min="13348" max="13348" width="9.140625" style="433" customWidth="1"/>
    <col min="13349" max="13349" width="9.42578125" style="433" bestFit="1" customWidth="1"/>
    <col min="13350" max="13350" width="6.5703125" style="433" bestFit="1" customWidth="1"/>
    <col min="13351" max="13351" width="6.7109375" style="433" bestFit="1" customWidth="1"/>
    <col min="13352" max="13352" width="8.85546875" style="433" customWidth="1"/>
    <col min="13353" max="13353" width="4.85546875" style="433" bestFit="1" customWidth="1"/>
    <col min="13354" max="13354" width="13.85546875" style="433" customWidth="1"/>
    <col min="13355" max="13355" width="18.140625" style="433" customWidth="1"/>
    <col min="13356" max="13568" width="13.85546875" style="433" customWidth="1"/>
    <col min="13569" max="13569" width="5.5703125" style="433" bestFit="1" customWidth="1"/>
    <col min="13570" max="13570" width="11.7109375" style="433" bestFit="1" customWidth="1"/>
    <col min="13571" max="13571" width="21.5703125" style="433" customWidth="1"/>
    <col min="13572" max="13572" width="23.42578125" style="433" customWidth="1"/>
    <col min="13573" max="13573" width="8.140625" style="433" customWidth="1"/>
    <col min="13574" max="13574" width="13.85546875" style="433" customWidth="1"/>
    <col min="13575" max="13575" width="16.7109375" style="433" customWidth="1"/>
    <col min="13576" max="13576" width="17.5703125" style="433" customWidth="1"/>
    <col min="13577" max="13577" width="12.85546875" style="433" customWidth="1"/>
    <col min="13578" max="13579" width="12.28515625" style="433" customWidth="1"/>
    <col min="13580" max="13581" width="2.5703125" style="433" bestFit="1" customWidth="1"/>
    <col min="13582" max="13582" width="3.42578125" style="433" bestFit="1" customWidth="1"/>
    <col min="13583" max="13585" width="7" style="433" bestFit="1" customWidth="1"/>
    <col min="13586" max="13586" width="2.85546875" style="433" bestFit="1" customWidth="1"/>
    <col min="13587" max="13587" width="3.42578125" style="433" bestFit="1" customWidth="1"/>
    <col min="13588" max="13588" width="2.5703125" style="433" bestFit="1" customWidth="1"/>
    <col min="13589" max="13591" width="7" style="433" bestFit="1" customWidth="1"/>
    <col min="13592" max="13592" width="2.5703125" style="433" bestFit="1" customWidth="1"/>
    <col min="13593" max="13593" width="2.85546875" style="433" bestFit="1" customWidth="1"/>
    <col min="13594" max="13594" width="2.5703125" style="433" bestFit="1" customWidth="1"/>
    <col min="13595" max="13596" width="7" style="433" bestFit="1" customWidth="1"/>
    <col min="13597" max="13597" width="8.28515625" style="433" bestFit="1" customWidth="1"/>
    <col min="13598" max="13600" width="2.85546875" style="433" bestFit="1" customWidth="1"/>
    <col min="13601" max="13602" width="7" style="433" bestFit="1" customWidth="1"/>
    <col min="13603" max="13603" width="8.28515625" style="433" bestFit="1" customWidth="1"/>
    <col min="13604" max="13604" width="9.140625" style="433" customWidth="1"/>
    <col min="13605" max="13605" width="9.42578125" style="433" bestFit="1" customWidth="1"/>
    <col min="13606" max="13606" width="6.5703125" style="433" bestFit="1" customWidth="1"/>
    <col min="13607" max="13607" width="6.7109375" style="433" bestFit="1" customWidth="1"/>
    <col min="13608" max="13608" width="8.85546875" style="433" customWidth="1"/>
    <col min="13609" max="13609" width="4.85546875" style="433" bestFit="1" customWidth="1"/>
    <col min="13610" max="13610" width="13.85546875" style="433" customWidth="1"/>
    <col min="13611" max="13611" width="18.140625" style="433" customWidth="1"/>
    <col min="13612" max="13824" width="13.85546875" style="433" customWidth="1"/>
    <col min="13825" max="13825" width="5.5703125" style="433" bestFit="1" customWidth="1"/>
    <col min="13826" max="13826" width="11.7109375" style="433" bestFit="1" customWidth="1"/>
    <col min="13827" max="13827" width="21.5703125" style="433" customWidth="1"/>
    <col min="13828" max="13828" width="23.42578125" style="433" customWidth="1"/>
    <col min="13829" max="13829" width="8.140625" style="433" customWidth="1"/>
    <col min="13830" max="13830" width="13.85546875" style="433" customWidth="1"/>
    <col min="13831" max="13831" width="16.7109375" style="433" customWidth="1"/>
    <col min="13832" max="13832" width="17.5703125" style="433" customWidth="1"/>
    <col min="13833" max="13833" width="12.85546875" style="433" customWidth="1"/>
    <col min="13834" max="13835" width="12.28515625" style="433" customWidth="1"/>
    <col min="13836" max="13837" width="2.5703125" style="433" bestFit="1" customWidth="1"/>
    <col min="13838" max="13838" width="3.42578125" style="433" bestFit="1" customWidth="1"/>
    <col min="13839" max="13841" width="7" style="433" bestFit="1" customWidth="1"/>
    <col min="13842" max="13842" width="2.85546875" style="433" bestFit="1" customWidth="1"/>
    <col min="13843" max="13843" width="3.42578125" style="433" bestFit="1" customWidth="1"/>
    <col min="13844" max="13844" width="2.5703125" style="433" bestFit="1" customWidth="1"/>
    <col min="13845" max="13847" width="7" style="433" bestFit="1" customWidth="1"/>
    <col min="13848" max="13848" width="2.5703125" style="433" bestFit="1" customWidth="1"/>
    <col min="13849" max="13849" width="2.85546875" style="433" bestFit="1" customWidth="1"/>
    <col min="13850" max="13850" width="2.5703125" style="433" bestFit="1" customWidth="1"/>
    <col min="13851" max="13852" width="7" style="433" bestFit="1" customWidth="1"/>
    <col min="13853" max="13853" width="8.28515625" style="433" bestFit="1" customWidth="1"/>
    <col min="13854" max="13856" width="2.85546875" style="433" bestFit="1" customWidth="1"/>
    <col min="13857" max="13858" width="7" style="433" bestFit="1" customWidth="1"/>
    <col min="13859" max="13859" width="8.28515625" style="433" bestFit="1" customWidth="1"/>
    <col min="13860" max="13860" width="9.140625" style="433" customWidth="1"/>
    <col min="13861" max="13861" width="9.42578125" style="433" bestFit="1" customWidth="1"/>
    <col min="13862" max="13862" width="6.5703125" style="433" bestFit="1" customWidth="1"/>
    <col min="13863" max="13863" width="6.7109375" style="433" bestFit="1" customWidth="1"/>
    <col min="13864" max="13864" width="8.85546875" style="433" customWidth="1"/>
    <col min="13865" max="13865" width="4.85546875" style="433" bestFit="1" customWidth="1"/>
    <col min="13866" max="13866" width="13.85546875" style="433" customWidth="1"/>
    <col min="13867" max="13867" width="18.140625" style="433" customWidth="1"/>
    <col min="13868" max="14080" width="13.85546875" style="433" customWidth="1"/>
    <col min="14081" max="14081" width="5.5703125" style="433" bestFit="1" customWidth="1"/>
    <col min="14082" max="14082" width="11.7109375" style="433" bestFit="1" customWidth="1"/>
    <col min="14083" max="14083" width="21.5703125" style="433" customWidth="1"/>
    <col min="14084" max="14084" width="23.42578125" style="433" customWidth="1"/>
    <col min="14085" max="14085" width="8.140625" style="433" customWidth="1"/>
    <col min="14086" max="14086" width="13.85546875" style="433" customWidth="1"/>
    <col min="14087" max="14087" width="16.7109375" style="433" customWidth="1"/>
    <col min="14088" max="14088" width="17.5703125" style="433" customWidth="1"/>
    <col min="14089" max="14089" width="12.85546875" style="433" customWidth="1"/>
    <col min="14090" max="14091" width="12.28515625" style="433" customWidth="1"/>
    <col min="14092" max="14093" width="2.5703125" style="433" bestFit="1" customWidth="1"/>
    <col min="14094" max="14094" width="3.42578125" style="433" bestFit="1" customWidth="1"/>
    <col min="14095" max="14097" width="7" style="433" bestFit="1" customWidth="1"/>
    <col min="14098" max="14098" width="2.85546875" style="433" bestFit="1" customWidth="1"/>
    <col min="14099" max="14099" width="3.42578125" style="433" bestFit="1" customWidth="1"/>
    <col min="14100" max="14100" width="2.5703125" style="433" bestFit="1" customWidth="1"/>
    <col min="14101" max="14103" width="7" style="433" bestFit="1" customWidth="1"/>
    <col min="14104" max="14104" width="2.5703125" style="433" bestFit="1" customWidth="1"/>
    <col min="14105" max="14105" width="2.85546875" style="433" bestFit="1" customWidth="1"/>
    <col min="14106" max="14106" width="2.5703125" style="433" bestFit="1" customWidth="1"/>
    <col min="14107" max="14108" width="7" style="433" bestFit="1" customWidth="1"/>
    <col min="14109" max="14109" width="8.28515625" style="433" bestFit="1" customWidth="1"/>
    <col min="14110" max="14112" width="2.85546875" style="433" bestFit="1" customWidth="1"/>
    <col min="14113" max="14114" width="7" style="433" bestFit="1" customWidth="1"/>
    <col min="14115" max="14115" width="8.28515625" style="433" bestFit="1" customWidth="1"/>
    <col min="14116" max="14116" width="9.140625" style="433" customWidth="1"/>
    <col min="14117" max="14117" width="9.42578125" style="433" bestFit="1" customWidth="1"/>
    <col min="14118" max="14118" width="6.5703125" style="433" bestFit="1" customWidth="1"/>
    <col min="14119" max="14119" width="6.7109375" style="433" bestFit="1" customWidth="1"/>
    <col min="14120" max="14120" width="8.85546875" style="433" customWidth="1"/>
    <col min="14121" max="14121" width="4.85546875" style="433" bestFit="1" customWidth="1"/>
    <col min="14122" max="14122" width="13.85546875" style="433" customWidth="1"/>
    <col min="14123" max="14123" width="18.140625" style="433" customWidth="1"/>
    <col min="14124" max="14336" width="13.85546875" style="433" customWidth="1"/>
    <col min="14337" max="14337" width="5.5703125" style="433" bestFit="1" customWidth="1"/>
    <col min="14338" max="14338" width="11.7109375" style="433" bestFit="1" customWidth="1"/>
    <col min="14339" max="14339" width="21.5703125" style="433" customWidth="1"/>
    <col min="14340" max="14340" width="23.42578125" style="433" customWidth="1"/>
    <col min="14341" max="14341" width="8.140625" style="433" customWidth="1"/>
    <col min="14342" max="14342" width="13.85546875" style="433" customWidth="1"/>
    <col min="14343" max="14343" width="16.7109375" style="433" customWidth="1"/>
    <col min="14344" max="14344" width="17.5703125" style="433" customWidth="1"/>
    <col min="14345" max="14345" width="12.85546875" style="433" customWidth="1"/>
    <col min="14346" max="14347" width="12.28515625" style="433" customWidth="1"/>
    <col min="14348" max="14349" width="2.5703125" style="433" bestFit="1" customWidth="1"/>
    <col min="14350" max="14350" width="3.42578125" style="433" bestFit="1" customWidth="1"/>
    <col min="14351" max="14353" width="7" style="433" bestFit="1" customWidth="1"/>
    <col min="14354" max="14354" width="2.85546875" style="433" bestFit="1" customWidth="1"/>
    <col min="14355" max="14355" width="3.42578125" style="433" bestFit="1" customWidth="1"/>
    <col min="14356" max="14356" width="2.5703125" style="433" bestFit="1" customWidth="1"/>
    <col min="14357" max="14359" width="7" style="433" bestFit="1" customWidth="1"/>
    <col min="14360" max="14360" width="2.5703125" style="433" bestFit="1" customWidth="1"/>
    <col min="14361" max="14361" width="2.85546875" style="433" bestFit="1" customWidth="1"/>
    <col min="14362" max="14362" width="2.5703125" style="433" bestFit="1" customWidth="1"/>
    <col min="14363" max="14364" width="7" style="433" bestFit="1" customWidth="1"/>
    <col min="14365" max="14365" width="8.28515625" style="433" bestFit="1" customWidth="1"/>
    <col min="14366" max="14368" width="2.85546875" style="433" bestFit="1" customWidth="1"/>
    <col min="14369" max="14370" width="7" style="433" bestFit="1" customWidth="1"/>
    <col min="14371" max="14371" width="8.28515625" style="433" bestFit="1" customWidth="1"/>
    <col min="14372" max="14372" width="9.140625" style="433" customWidth="1"/>
    <col min="14373" max="14373" width="9.42578125" style="433" bestFit="1" customWidth="1"/>
    <col min="14374" max="14374" width="6.5703125" style="433" bestFit="1" customWidth="1"/>
    <col min="14375" max="14375" width="6.7109375" style="433" bestFit="1" customWidth="1"/>
    <col min="14376" max="14376" width="8.85546875" style="433" customWidth="1"/>
    <col min="14377" max="14377" width="4.85546875" style="433" bestFit="1" customWidth="1"/>
    <col min="14378" max="14378" width="13.85546875" style="433" customWidth="1"/>
    <col min="14379" max="14379" width="18.140625" style="433" customWidth="1"/>
    <col min="14380" max="14592" width="13.85546875" style="433" customWidth="1"/>
    <col min="14593" max="14593" width="5.5703125" style="433" bestFit="1" customWidth="1"/>
    <col min="14594" max="14594" width="11.7109375" style="433" bestFit="1" customWidth="1"/>
    <col min="14595" max="14595" width="21.5703125" style="433" customWidth="1"/>
    <col min="14596" max="14596" width="23.42578125" style="433" customWidth="1"/>
    <col min="14597" max="14597" width="8.140625" style="433" customWidth="1"/>
    <col min="14598" max="14598" width="13.85546875" style="433" customWidth="1"/>
    <col min="14599" max="14599" width="16.7109375" style="433" customWidth="1"/>
    <col min="14600" max="14600" width="17.5703125" style="433" customWidth="1"/>
    <col min="14601" max="14601" width="12.85546875" style="433" customWidth="1"/>
    <col min="14602" max="14603" width="12.28515625" style="433" customWidth="1"/>
    <col min="14604" max="14605" width="2.5703125" style="433" bestFit="1" customWidth="1"/>
    <col min="14606" max="14606" width="3.42578125" style="433" bestFit="1" customWidth="1"/>
    <col min="14607" max="14609" width="7" style="433" bestFit="1" customWidth="1"/>
    <col min="14610" max="14610" width="2.85546875" style="433" bestFit="1" customWidth="1"/>
    <col min="14611" max="14611" width="3.42578125" style="433" bestFit="1" customWidth="1"/>
    <col min="14612" max="14612" width="2.5703125" style="433" bestFit="1" customWidth="1"/>
    <col min="14613" max="14615" width="7" style="433" bestFit="1" customWidth="1"/>
    <col min="14616" max="14616" width="2.5703125" style="433" bestFit="1" customWidth="1"/>
    <col min="14617" max="14617" width="2.85546875" style="433" bestFit="1" customWidth="1"/>
    <col min="14618" max="14618" width="2.5703125" style="433" bestFit="1" customWidth="1"/>
    <col min="14619" max="14620" width="7" style="433" bestFit="1" customWidth="1"/>
    <col min="14621" max="14621" width="8.28515625" style="433" bestFit="1" customWidth="1"/>
    <col min="14622" max="14624" width="2.85546875" style="433" bestFit="1" customWidth="1"/>
    <col min="14625" max="14626" width="7" style="433" bestFit="1" customWidth="1"/>
    <col min="14627" max="14627" width="8.28515625" style="433" bestFit="1" customWidth="1"/>
    <col min="14628" max="14628" width="9.140625" style="433" customWidth="1"/>
    <col min="14629" max="14629" width="9.42578125" style="433" bestFit="1" customWidth="1"/>
    <col min="14630" max="14630" width="6.5703125" style="433" bestFit="1" customWidth="1"/>
    <col min="14631" max="14631" width="6.7109375" style="433" bestFit="1" customWidth="1"/>
    <col min="14632" max="14632" width="8.85546875" style="433" customWidth="1"/>
    <col min="14633" max="14633" width="4.85546875" style="433" bestFit="1" customWidth="1"/>
    <col min="14634" max="14634" width="13.85546875" style="433" customWidth="1"/>
    <col min="14635" max="14635" width="18.140625" style="433" customWidth="1"/>
    <col min="14636" max="14848" width="13.85546875" style="433" customWidth="1"/>
    <col min="14849" max="14849" width="5.5703125" style="433" bestFit="1" customWidth="1"/>
    <col min="14850" max="14850" width="11.7109375" style="433" bestFit="1" customWidth="1"/>
    <col min="14851" max="14851" width="21.5703125" style="433" customWidth="1"/>
    <col min="14852" max="14852" width="23.42578125" style="433" customWidth="1"/>
    <col min="14853" max="14853" width="8.140625" style="433" customWidth="1"/>
    <col min="14854" max="14854" width="13.85546875" style="433" customWidth="1"/>
    <col min="14855" max="14855" width="16.7109375" style="433" customWidth="1"/>
    <col min="14856" max="14856" width="17.5703125" style="433" customWidth="1"/>
    <col min="14857" max="14857" width="12.85546875" style="433" customWidth="1"/>
    <col min="14858" max="14859" width="12.28515625" style="433" customWidth="1"/>
    <col min="14860" max="14861" width="2.5703125" style="433" bestFit="1" customWidth="1"/>
    <col min="14862" max="14862" width="3.42578125" style="433" bestFit="1" customWidth="1"/>
    <col min="14863" max="14865" width="7" style="433" bestFit="1" customWidth="1"/>
    <col min="14866" max="14866" width="2.85546875" style="433" bestFit="1" customWidth="1"/>
    <col min="14867" max="14867" width="3.42578125" style="433" bestFit="1" customWidth="1"/>
    <col min="14868" max="14868" width="2.5703125" style="433" bestFit="1" customWidth="1"/>
    <col min="14869" max="14871" width="7" style="433" bestFit="1" customWidth="1"/>
    <col min="14872" max="14872" width="2.5703125" style="433" bestFit="1" customWidth="1"/>
    <col min="14873" max="14873" width="2.85546875" style="433" bestFit="1" customWidth="1"/>
    <col min="14874" max="14874" width="2.5703125" style="433" bestFit="1" customWidth="1"/>
    <col min="14875" max="14876" width="7" style="433" bestFit="1" customWidth="1"/>
    <col min="14877" max="14877" width="8.28515625" style="433" bestFit="1" customWidth="1"/>
    <col min="14878" max="14880" width="2.85546875" style="433" bestFit="1" customWidth="1"/>
    <col min="14881" max="14882" width="7" style="433" bestFit="1" customWidth="1"/>
    <col min="14883" max="14883" width="8.28515625" style="433" bestFit="1" customWidth="1"/>
    <col min="14884" max="14884" width="9.140625" style="433" customWidth="1"/>
    <col min="14885" max="14885" width="9.42578125" style="433" bestFit="1" customWidth="1"/>
    <col min="14886" max="14886" width="6.5703125" style="433" bestFit="1" customWidth="1"/>
    <col min="14887" max="14887" width="6.7109375" style="433" bestFit="1" customWidth="1"/>
    <col min="14888" max="14888" width="8.85546875" style="433" customWidth="1"/>
    <col min="14889" max="14889" width="4.85546875" style="433" bestFit="1" customWidth="1"/>
    <col min="14890" max="14890" width="13.85546875" style="433" customWidth="1"/>
    <col min="14891" max="14891" width="18.140625" style="433" customWidth="1"/>
    <col min="14892" max="15104" width="13.85546875" style="433" customWidth="1"/>
    <col min="15105" max="15105" width="5.5703125" style="433" bestFit="1" customWidth="1"/>
    <col min="15106" max="15106" width="11.7109375" style="433" bestFit="1" customWidth="1"/>
    <col min="15107" max="15107" width="21.5703125" style="433" customWidth="1"/>
    <col min="15108" max="15108" width="23.42578125" style="433" customWidth="1"/>
    <col min="15109" max="15109" width="8.140625" style="433" customWidth="1"/>
    <col min="15110" max="15110" width="13.85546875" style="433" customWidth="1"/>
    <col min="15111" max="15111" width="16.7109375" style="433" customWidth="1"/>
    <col min="15112" max="15112" width="17.5703125" style="433" customWidth="1"/>
    <col min="15113" max="15113" width="12.85546875" style="433" customWidth="1"/>
    <col min="15114" max="15115" width="12.28515625" style="433" customWidth="1"/>
    <col min="15116" max="15117" width="2.5703125" style="433" bestFit="1" customWidth="1"/>
    <col min="15118" max="15118" width="3.42578125" style="433" bestFit="1" customWidth="1"/>
    <col min="15119" max="15121" width="7" style="433" bestFit="1" customWidth="1"/>
    <col min="15122" max="15122" width="2.85546875" style="433" bestFit="1" customWidth="1"/>
    <col min="15123" max="15123" width="3.42578125" style="433" bestFit="1" customWidth="1"/>
    <col min="15124" max="15124" width="2.5703125" style="433" bestFit="1" customWidth="1"/>
    <col min="15125" max="15127" width="7" style="433" bestFit="1" customWidth="1"/>
    <col min="15128" max="15128" width="2.5703125" style="433" bestFit="1" customWidth="1"/>
    <col min="15129" max="15129" width="2.85546875" style="433" bestFit="1" customWidth="1"/>
    <col min="15130" max="15130" width="2.5703125" style="433" bestFit="1" customWidth="1"/>
    <col min="15131" max="15132" width="7" style="433" bestFit="1" customWidth="1"/>
    <col min="15133" max="15133" width="8.28515625" style="433" bestFit="1" customWidth="1"/>
    <col min="15134" max="15136" width="2.85546875" style="433" bestFit="1" customWidth="1"/>
    <col min="15137" max="15138" width="7" style="433" bestFit="1" customWidth="1"/>
    <col min="15139" max="15139" width="8.28515625" style="433" bestFit="1" customWidth="1"/>
    <col min="15140" max="15140" width="9.140625" style="433" customWidth="1"/>
    <col min="15141" max="15141" width="9.42578125" style="433" bestFit="1" customWidth="1"/>
    <col min="15142" max="15142" width="6.5703125" style="433" bestFit="1" customWidth="1"/>
    <col min="15143" max="15143" width="6.7109375" style="433" bestFit="1" customWidth="1"/>
    <col min="15144" max="15144" width="8.85546875" style="433" customWidth="1"/>
    <col min="15145" max="15145" width="4.85546875" style="433" bestFit="1" customWidth="1"/>
    <col min="15146" max="15146" width="13.85546875" style="433" customWidth="1"/>
    <col min="15147" max="15147" width="18.140625" style="433" customWidth="1"/>
    <col min="15148" max="15360" width="13.85546875" style="433" customWidth="1"/>
    <col min="15361" max="15361" width="5.5703125" style="433" bestFit="1" customWidth="1"/>
    <col min="15362" max="15362" width="11.7109375" style="433" bestFit="1" customWidth="1"/>
    <col min="15363" max="15363" width="21.5703125" style="433" customWidth="1"/>
    <col min="15364" max="15364" width="23.42578125" style="433" customWidth="1"/>
    <col min="15365" max="15365" width="8.140625" style="433" customWidth="1"/>
    <col min="15366" max="15366" width="13.85546875" style="433" customWidth="1"/>
    <col min="15367" max="15367" width="16.7109375" style="433" customWidth="1"/>
    <col min="15368" max="15368" width="17.5703125" style="433" customWidth="1"/>
    <col min="15369" max="15369" width="12.85546875" style="433" customWidth="1"/>
    <col min="15370" max="15371" width="12.28515625" style="433" customWidth="1"/>
    <col min="15372" max="15373" width="2.5703125" style="433" bestFit="1" customWidth="1"/>
    <col min="15374" max="15374" width="3.42578125" style="433" bestFit="1" customWidth="1"/>
    <col min="15375" max="15377" width="7" style="433" bestFit="1" customWidth="1"/>
    <col min="15378" max="15378" width="2.85546875" style="433" bestFit="1" customWidth="1"/>
    <col min="15379" max="15379" width="3.42578125" style="433" bestFit="1" customWidth="1"/>
    <col min="15380" max="15380" width="2.5703125" style="433" bestFit="1" customWidth="1"/>
    <col min="15381" max="15383" width="7" style="433" bestFit="1" customWidth="1"/>
    <col min="15384" max="15384" width="2.5703125" style="433" bestFit="1" customWidth="1"/>
    <col min="15385" max="15385" width="2.85546875" style="433" bestFit="1" customWidth="1"/>
    <col min="15386" max="15386" width="2.5703125" style="433" bestFit="1" customWidth="1"/>
    <col min="15387" max="15388" width="7" style="433" bestFit="1" customWidth="1"/>
    <col min="15389" max="15389" width="8.28515625" style="433" bestFit="1" customWidth="1"/>
    <col min="15390" max="15392" width="2.85546875" style="433" bestFit="1" customWidth="1"/>
    <col min="15393" max="15394" width="7" style="433" bestFit="1" customWidth="1"/>
    <col min="15395" max="15395" width="8.28515625" style="433" bestFit="1" customWidth="1"/>
    <col min="15396" max="15396" width="9.140625" style="433" customWidth="1"/>
    <col min="15397" max="15397" width="9.42578125" style="433" bestFit="1" customWidth="1"/>
    <col min="15398" max="15398" width="6.5703125" style="433" bestFit="1" customWidth="1"/>
    <col min="15399" max="15399" width="6.7109375" style="433" bestFit="1" customWidth="1"/>
    <col min="15400" max="15400" width="8.85546875" style="433" customWidth="1"/>
    <col min="15401" max="15401" width="4.85546875" style="433" bestFit="1" customWidth="1"/>
    <col min="15402" max="15402" width="13.85546875" style="433" customWidth="1"/>
    <col min="15403" max="15403" width="18.140625" style="433" customWidth="1"/>
    <col min="15404" max="15616" width="13.85546875" style="433" customWidth="1"/>
    <col min="15617" max="15617" width="5.5703125" style="433" bestFit="1" customWidth="1"/>
    <col min="15618" max="15618" width="11.7109375" style="433" bestFit="1" customWidth="1"/>
    <col min="15619" max="15619" width="21.5703125" style="433" customWidth="1"/>
    <col min="15620" max="15620" width="23.42578125" style="433" customWidth="1"/>
    <col min="15621" max="15621" width="8.140625" style="433" customWidth="1"/>
    <col min="15622" max="15622" width="13.85546875" style="433" customWidth="1"/>
    <col min="15623" max="15623" width="16.7109375" style="433" customWidth="1"/>
    <col min="15624" max="15624" width="17.5703125" style="433" customWidth="1"/>
    <col min="15625" max="15625" width="12.85546875" style="433" customWidth="1"/>
    <col min="15626" max="15627" width="12.28515625" style="433" customWidth="1"/>
    <col min="15628" max="15629" width="2.5703125" style="433" bestFit="1" customWidth="1"/>
    <col min="15630" max="15630" width="3.42578125" style="433" bestFit="1" customWidth="1"/>
    <col min="15631" max="15633" width="7" style="433" bestFit="1" customWidth="1"/>
    <col min="15634" max="15634" width="2.85546875" style="433" bestFit="1" customWidth="1"/>
    <col min="15635" max="15635" width="3.42578125" style="433" bestFit="1" customWidth="1"/>
    <col min="15636" max="15636" width="2.5703125" style="433" bestFit="1" customWidth="1"/>
    <col min="15637" max="15639" width="7" style="433" bestFit="1" customWidth="1"/>
    <col min="15640" max="15640" width="2.5703125" style="433" bestFit="1" customWidth="1"/>
    <col min="15641" max="15641" width="2.85546875" style="433" bestFit="1" customWidth="1"/>
    <col min="15642" max="15642" width="2.5703125" style="433" bestFit="1" customWidth="1"/>
    <col min="15643" max="15644" width="7" style="433" bestFit="1" customWidth="1"/>
    <col min="15645" max="15645" width="8.28515625" style="433" bestFit="1" customWidth="1"/>
    <col min="15646" max="15648" width="2.85546875" style="433" bestFit="1" customWidth="1"/>
    <col min="15649" max="15650" width="7" style="433" bestFit="1" customWidth="1"/>
    <col min="15651" max="15651" width="8.28515625" style="433" bestFit="1" customWidth="1"/>
    <col min="15652" max="15652" width="9.140625" style="433" customWidth="1"/>
    <col min="15653" max="15653" width="9.42578125" style="433" bestFit="1" customWidth="1"/>
    <col min="15654" max="15654" width="6.5703125" style="433" bestFit="1" customWidth="1"/>
    <col min="15655" max="15655" width="6.7109375" style="433" bestFit="1" customWidth="1"/>
    <col min="15656" max="15656" width="8.85546875" style="433" customWidth="1"/>
    <col min="15657" max="15657" width="4.85546875" style="433" bestFit="1" customWidth="1"/>
    <col min="15658" max="15658" width="13.85546875" style="433" customWidth="1"/>
    <col min="15659" max="15659" width="18.140625" style="433" customWidth="1"/>
    <col min="15660" max="15872" width="13.85546875" style="433" customWidth="1"/>
    <col min="15873" max="15873" width="5.5703125" style="433" bestFit="1" customWidth="1"/>
    <col min="15874" max="15874" width="11.7109375" style="433" bestFit="1" customWidth="1"/>
    <col min="15875" max="15875" width="21.5703125" style="433" customWidth="1"/>
    <col min="15876" max="15876" width="23.42578125" style="433" customWidth="1"/>
    <col min="15877" max="15877" width="8.140625" style="433" customWidth="1"/>
    <col min="15878" max="15878" width="13.85546875" style="433" customWidth="1"/>
    <col min="15879" max="15879" width="16.7109375" style="433" customWidth="1"/>
    <col min="15880" max="15880" width="17.5703125" style="433" customWidth="1"/>
    <col min="15881" max="15881" width="12.85546875" style="433" customWidth="1"/>
    <col min="15882" max="15883" width="12.28515625" style="433" customWidth="1"/>
    <col min="15884" max="15885" width="2.5703125" style="433" bestFit="1" customWidth="1"/>
    <col min="15886" max="15886" width="3.42578125" style="433" bestFit="1" customWidth="1"/>
    <col min="15887" max="15889" width="7" style="433" bestFit="1" customWidth="1"/>
    <col min="15890" max="15890" width="2.85546875" style="433" bestFit="1" customWidth="1"/>
    <col min="15891" max="15891" width="3.42578125" style="433" bestFit="1" customWidth="1"/>
    <col min="15892" max="15892" width="2.5703125" style="433" bestFit="1" customWidth="1"/>
    <col min="15893" max="15895" width="7" style="433" bestFit="1" customWidth="1"/>
    <col min="15896" max="15896" width="2.5703125" style="433" bestFit="1" customWidth="1"/>
    <col min="15897" max="15897" width="2.85546875" style="433" bestFit="1" customWidth="1"/>
    <col min="15898" max="15898" width="2.5703125" style="433" bestFit="1" customWidth="1"/>
    <col min="15899" max="15900" width="7" style="433" bestFit="1" customWidth="1"/>
    <col min="15901" max="15901" width="8.28515625" style="433" bestFit="1" customWidth="1"/>
    <col min="15902" max="15904" width="2.85546875" style="433" bestFit="1" customWidth="1"/>
    <col min="15905" max="15906" width="7" style="433" bestFit="1" customWidth="1"/>
    <col min="15907" max="15907" width="8.28515625" style="433" bestFit="1" customWidth="1"/>
    <col min="15908" max="15908" width="9.140625" style="433" customWidth="1"/>
    <col min="15909" max="15909" width="9.42578125" style="433" bestFit="1" customWidth="1"/>
    <col min="15910" max="15910" width="6.5703125" style="433" bestFit="1" customWidth="1"/>
    <col min="15911" max="15911" width="6.7109375" style="433" bestFit="1" customWidth="1"/>
    <col min="15912" max="15912" width="8.85546875" style="433" customWidth="1"/>
    <col min="15913" max="15913" width="4.85546875" style="433" bestFit="1" customWidth="1"/>
    <col min="15914" max="15914" width="13.85546875" style="433" customWidth="1"/>
    <col min="15915" max="15915" width="18.140625" style="433" customWidth="1"/>
    <col min="15916" max="16128" width="13.85546875" style="433" customWidth="1"/>
    <col min="16129" max="16129" width="5.5703125" style="433" bestFit="1" customWidth="1"/>
    <col min="16130" max="16130" width="11.7109375" style="433" bestFit="1" customWidth="1"/>
    <col min="16131" max="16131" width="21.5703125" style="433" customWidth="1"/>
    <col min="16132" max="16132" width="23.42578125" style="433" customWidth="1"/>
    <col min="16133" max="16133" width="8.140625" style="433" customWidth="1"/>
    <col min="16134" max="16134" width="13.85546875" style="433" customWidth="1"/>
    <col min="16135" max="16135" width="16.7109375" style="433" customWidth="1"/>
    <col min="16136" max="16136" width="17.5703125" style="433" customWidth="1"/>
    <col min="16137" max="16137" width="12.85546875" style="433" customWidth="1"/>
    <col min="16138" max="16139" width="12.28515625" style="433" customWidth="1"/>
    <col min="16140" max="16141" width="2.5703125" style="433" bestFit="1" customWidth="1"/>
    <col min="16142" max="16142" width="3.42578125" style="433" bestFit="1" customWidth="1"/>
    <col min="16143" max="16145" width="7" style="433" bestFit="1" customWidth="1"/>
    <col min="16146" max="16146" width="2.85546875" style="433" bestFit="1" customWidth="1"/>
    <col min="16147" max="16147" width="3.42578125" style="433" bestFit="1" customWidth="1"/>
    <col min="16148" max="16148" width="2.5703125" style="433" bestFit="1" customWidth="1"/>
    <col min="16149" max="16151" width="7" style="433" bestFit="1" customWidth="1"/>
    <col min="16152" max="16152" width="2.5703125" style="433" bestFit="1" customWidth="1"/>
    <col min="16153" max="16153" width="2.85546875" style="433" bestFit="1" customWidth="1"/>
    <col min="16154" max="16154" width="2.5703125" style="433" bestFit="1" customWidth="1"/>
    <col min="16155" max="16156" width="7" style="433" bestFit="1" customWidth="1"/>
    <col min="16157" max="16157" width="8.28515625" style="433" bestFit="1" customWidth="1"/>
    <col min="16158" max="16160" width="2.85546875" style="433" bestFit="1" customWidth="1"/>
    <col min="16161" max="16162" width="7" style="433" bestFit="1" customWidth="1"/>
    <col min="16163" max="16163" width="8.28515625" style="433" bestFit="1" customWidth="1"/>
    <col min="16164" max="16164" width="9.140625" style="433" customWidth="1"/>
    <col min="16165" max="16165" width="9.42578125" style="433" bestFit="1" customWidth="1"/>
    <col min="16166" max="16166" width="6.5703125" style="433" bestFit="1" customWidth="1"/>
    <col min="16167" max="16167" width="6.7109375" style="433" bestFit="1" customWidth="1"/>
    <col min="16168" max="16168" width="8.85546875" style="433" customWidth="1"/>
    <col min="16169" max="16169" width="4.85546875" style="433" bestFit="1" customWidth="1"/>
    <col min="16170" max="16170" width="13.85546875" style="433" customWidth="1"/>
    <col min="16171" max="16171" width="18.140625" style="433" customWidth="1"/>
    <col min="16172" max="16384" width="13.85546875" style="433" customWidth="1"/>
  </cols>
  <sheetData>
    <row r="1" spans="1:55">
      <c r="A1" s="871" t="s">
        <v>0</v>
      </c>
      <c r="B1" s="871"/>
      <c r="C1" s="871"/>
      <c r="D1" s="871"/>
      <c r="E1" s="871"/>
      <c r="F1" s="871"/>
      <c r="G1" s="871"/>
      <c r="H1" s="871"/>
      <c r="I1" s="871"/>
      <c r="J1" s="871"/>
      <c r="K1" s="871"/>
      <c r="L1" s="871"/>
      <c r="M1" s="871"/>
      <c r="N1" s="871"/>
      <c r="O1" s="871"/>
      <c r="P1" s="871"/>
      <c r="Q1" s="871"/>
      <c r="R1" s="871"/>
      <c r="S1" s="871"/>
      <c r="T1" s="871"/>
      <c r="U1" s="871"/>
      <c r="V1" s="871"/>
      <c r="W1" s="871"/>
      <c r="X1" s="871"/>
      <c r="Y1" s="871"/>
      <c r="Z1" s="871"/>
      <c r="AA1" s="871"/>
      <c r="AB1" s="871"/>
      <c r="AC1" s="871"/>
      <c r="AD1" s="871"/>
      <c r="AE1" s="871"/>
      <c r="AF1" s="871"/>
      <c r="AG1" s="871"/>
      <c r="AH1" s="871"/>
      <c r="AI1" s="871"/>
      <c r="AJ1" s="871"/>
      <c r="AK1" s="871"/>
      <c r="AL1" s="871"/>
      <c r="AM1" s="871"/>
      <c r="AN1" s="871"/>
      <c r="AO1" s="871"/>
      <c r="AP1" s="871"/>
      <c r="AQ1" s="871"/>
      <c r="AR1" s="871"/>
    </row>
    <row r="2" spans="1:55">
      <c r="A2" s="871" t="s">
        <v>1</v>
      </c>
      <c r="B2" s="871"/>
      <c r="C2" s="871"/>
      <c r="D2" s="871"/>
      <c r="E2" s="871"/>
      <c r="F2" s="871"/>
      <c r="G2" s="871"/>
      <c r="H2" s="871"/>
      <c r="I2" s="871"/>
      <c r="J2" s="871"/>
      <c r="K2" s="871"/>
      <c r="L2" s="871"/>
      <c r="M2" s="871"/>
      <c r="N2" s="871"/>
      <c r="O2" s="871"/>
      <c r="P2" s="871"/>
      <c r="Q2" s="871"/>
      <c r="R2" s="871"/>
      <c r="S2" s="871"/>
      <c r="T2" s="871"/>
      <c r="U2" s="871"/>
      <c r="V2" s="871"/>
      <c r="W2" s="871"/>
      <c r="X2" s="871"/>
      <c r="Y2" s="871"/>
      <c r="Z2" s="871"/>
      <c r="AA2" s="871"/>
      <c r="AB2" s="871"/>
      <c r="AC2" s="871"/>
      <c r="AD2" s="871"/>
      <c r="AE2" s="871"/>
      <c r="AF2" s="871"/>
      <c r="AG2" s="871"/>
      <c r="AH2" s="871"/>
      <c r="AI2" s="871"/>
      <c r="AJ2" s="871"/>
      <c r="AK2" s="871"/>
      <c r="AL2" s="871"/>
      <c r="AM2" s="871"/>
      <c r="AN2" s="871"/>
      <c r="AO2" s="871"/>
      <c r="AP2" s="871"/>
      <c r="AQ2" s="871"/>
      <c r="AR2" s="871"/>
    </row>
    <row r="3" spans="1:55" ht="18" customHeight="1">
      <c r="A3" s="434"/>
      <c r="B3" s="434"/>
      <c r="C3" s="434"/>
      <c r="D3" s="435" t="s">
        <v>158</v>
      </c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  <c r="P3" s="435"/>
      <c r="Q3" s="435"/>
      <c r="R3" s="435"/>
      <c r="S3" s="435"/>
      <c r="T3" s="435"/>
      <c r="U3" s="435"/>
      <c r="V3" s="435"/>
      <c r="W3" s="435"/>
      <c r="X3" s="435"/>
      <c r="Y3" s="435"/>
      <c r="Z3" s="435"/>
      <c r="AA3" s="435"/>
      <c r="AB3" s="435"/>
      <c r="AC3" s="435"/>
      <c r="AD3" s="435"/>
      <c r="AE3" s="435"/>
      <c r="AF3" s="435"/>
      <c r="AG3" s="435"/>
      <c r="AH3" s="435"/>
      <c r="AI3" s="435"/>
      <c r="AJ3" s="435"/>
      <c r="AK3" s="435"/>
      <c r="AL3" s="435"/>
      <c r="AM3" s="435"/>
      <c r="AN3" s="435"/>
      <c r="AO3" s="435"/>
      <c r="AP3" s="435"/>
      <c r="AQ3" s="435"/>
      <c r="AR3" s="435"/>
    </row>
    <row r="4" spans="1:55" ht="20.25" customHeight="1">
      <c r="A4" s="434"/>
      <c r="B4" s="434"/>
      <c r="C4" s="434"/>
      <c r="D4" s="435" t="s">
        <v>1477</v>
      </c>
      <c r="E4" s="435"/>
      <c r="F4" s="435"/>
      <c r="G4" s="435"/>
      <c r="H4" s="435"/>
      <c r="I4" s="435"/>
      <c r="J4" s="435"/>
      <c r="K4" s="435"/>
      <c r="L4" s="435"/>
      <c r="M4" s="435"/>
      <c r="N4" s="435"/>
      <c r="O4" s="435"/>
      <c r="P4" s="435"/>
      <c r="Q4" s="435"/>
      <c r="R4" s="435"/>
      <c r="S4" s="435"/>
      <c r="T4" s="435"/>
      <c r="U4" s="435"/>
      <c r="V4" s="435"/>
      <c r="W4" s="435"/>
      <c r="X4" s="435"/>
      <c r="Y4" s="435"/>
      <c r="Z4" s="435"/>
      <c r="AA4" s="435"/>
      <c r="AB4" s="435"/>
      <c r="AC4" s="435"/>
      <c r="AD4" s="435"/>
      <c r="AE4" s="435"/>
      <c r="AF4" s="435"/>
      <c r="AG4" s="435"/>
      <c r="AH4" s="435"/>
      <c r="AI4" s="435"/>
      <c r="AJ4" s="435"/>
      <c r="AK4" s="435"/>
      <c r="AL4" s="435"/>
      <c r="AM4" s="435"/>
      <c r="AN4" s="435"/>
      <c r="AO4" s="435"/>
      <c r="AP4" s="435"/>
      <c r="AQ4" s="435"/>
      <c r="AR4" s="435"/>
    </row>
    <row r="5" spans="1:55" ht="19.5" customHeight="1">
      <c r="A5" s="434"/>
      <c r="B5" s="434"/>
      <c r="C5" s="434"/>
      <c r="D5" s="435" t="s">
        <v>160</v>
      </c>
      <c r="E5" s="435"/>
      <c r="F5" s="435"/>
      <c r="G5" s="434"/>
      <c r="H5" s="434"/>
      <c r="I5" s="434"/>
      <c r="J5" s="434"/>
      <c r="K5" s="436"/>
      <c r="L5" s="436"/>
      <c r="M5" s="436"/>
      <c r="N5" s="436"/>
      <c r="O5" s="436"/>
      <c r="P5" s="436"/>
      <c r="Q5" s="436"/>
      <c r="R5" s="436"/>
      <c r="S5" s="436"/>
      <c r="T5" s="436"/>
      <c r="U5" s="436"/>
      <c r="V5" s="436"/>
      <c r="W5" s="436"/>
      <c r="X5" s="436"/>
      <c r="Y5" s="436"/>
      <c r="Z5" s="436"/>
      <c r="AA5" s="436"/>
      <c r="AB5" s="436"/>
      <c r="AC5" s="436"/>
      <c r="AD5" s="436"/>
      <c r="AE5" s="436"/>
      <c r="AF5" s="436"/>
      <c r="AG5" s="436"/>
      <c r="AH5" s="436"/>
      <c r="AI5" s="436"/>
      <c r="AJ5" s="436"/>
      <c r="AK5" s="436"/>
      <c r="AL5" s="436"/>
      <c r="AM5" s="436"/>
      <c r="AN5" s="436"/>
      <c r="AO5" s="436"/>
      <c r="AP5" s="436"/>
      <c r="AQ5" s="436"/>
      <c r="AR5" s="436"/>
      <c r="AS5" s="437"/>
      <c r="AT5" s="437"/>
      <c r="AU5" s="437"/>
      <c r="AV5" s="437"/>
      <c r="AW5" s="437"/>
      <c r="AX5" s="437"/>
      <c r="AY5" s="437"/>
      <c r="AZ5" s="437"/>
      <c r="BA5" s="437"/>
      <c r="BB5" s="437"/>
      <c r="BC5" s="437"/>
    </row>
    <row r="6" spans="1:55" s="243" customFormat="1" ht="15.75" customHeight="1">
      <c r="A6" s="872" t="s">
        <v>5</v>
      </c>
      <c r="B6" s="872"/>
      <c r="C6" s="872"/>
      <c r="D6" s="873" t="s">
        <v>6</v>
      </c>
      <c r="E6" s="874" t="s">
        <v>7</v>
      </c>
      <c r="F6" s="872" t="s">
        <v>8</v>
      </c>
      <c r="G6" s="872" t="s">
        <v>9</v>
      </c>
      <c r="H6" s="872" t="s">
        <v>10</v>
      </c>
      <c r="I6" s="872" t="s">
        <v>11</v>
      </c>
      <c r="J6" s="872" t="s">
        <v>12</v>
      </c>
      <c r="K6" s="872" t="s">
        <v>13</v>
      </c>
      <c r="L6" s="876" t="s">
        <v>14</v>
      </c>
      <c r="M6" s="877"/>
      <c r="N6" s="877"/>
      <c r="O6" s="877"/>
      <c r="P6" s="877"/>
      <c r="Q6" s="877"/>
      <c r="R6" s="877"/>
      <c r="S6" s="877"/>
      <c r="T6" s="877"/>
      <c r="U6" s="877"/>
      <c r="V6" s="877"/>
      <c r="W6" s="877"/>
      <c r="X6" s="877"/>
      <c r="Y6" s="877"/>
      <c r="Z6" s="877"/>
      <c r="AA6" s="877"/>
      <c r="AB6" s="877"/>
      <c r="AC6" s="877"/>
      <c r="AD6" s="877"/>
      <c r="AE6" s="877"/>
      <c r="AF6" s="877"/>
      <c r="AG6" s="877"/>
      <c r="AH6" s="877"/>
      <c r="AI6" s="877"/>
      <c r="AJ6" s="878"/>
      <c r="AK6" s="872" t="s">
        <v>15</v>
      </c>
      <c r="AL6" s="872"/>
      <c r="AM6" s="872"/>
      <c r="AN6" s="872"/>
      <c r="AO6" s="872"/>
      <c r="AP6" s="872" t="s">
        <v>16</v>
      </c>
      <c r="AQ6" s="872" t="s">
        <v>17</v>
      </c>
      <c r="AR6" s="872" t="s">
        <v>18</v>
      </c>
    </row>
    <row r="7" spans="1:55" s="243" customFormat="1">
      <c r="A7" s="872" t="s">
        <v>20</v>
      </c>
      <c r="B7" s="872" t="s">
        <v>21</v>
      </c>
      <c r="C7" s="872" t="s">
        <v>22</v>
      </c>
      <c r="D7" s="873"/>
      <c r="E7" s="874"/>
      <c r="F7" s="872"/>
      <c r="G7" s="872"/>
      <c r="H7" s="872"/>
      <c r="I7" s="872"/>
      <c r="J7" s="872"/>
      <c r="K7" s="872"/>
      <c r="L7" s="875" t="s">
        <v>23</v>
      </c>
      <c r="M7" s="875"/>
      <c r="N7" s="875"/>
      <c r="O7" s="875"/>
      <c r="P7" s="875"/>
      <c r="Q7" s="875"/>
      <c r="R7" s="875" t="s">
        <v>24</v>
      </c>
      <c r="S7" s="875"/>
      <c r="T7" s="875"/>
      <c r="U7" s="875"/>
      <c r="V7" s="875"/>
      <c r="W7" s="875"/>
      <c r="X7" s="875" t="s">
        <v>25</v>
      </c>
      <c r="Y7" s="875"/>
      <c r="Z7" s="875"/>
      <c r="AA7" s="875"/>
      <c r="AB7" s="875"/>
      <c r="AC7" s="875"/>
      <c r="AD7" s="875" t="s">
        <v>26</v>
      </c>
      <c r="AE7" s="875"/>
      <c r="AF7" s="875"/>
      <c r="AG7" s="875"/>
      <c r="AH7" s="875"/>
      <c r="AI7" s="875"/>
      <c r="AJ7" s="874" t="s">
        <v>162</v>
      </c>
      <c r="AK7" s="872" t="s">
        <v>28</v>
      </c>
      <c r="AL7" s="872" t="s">
        <v>29</v>
      </c>
      <c r="AM7" s="872" t="s">
        <v>30</v>
      </c>
      <c r="AN7" s="872" t="s">
        <v>163</v>
      </c>
      <c r="AO7" s="872" t="s">
        <v>32</v>
      </c>
      <c r="AP7" s="872"/>
      <c r="AQ7" s="872"/>
      <c r="AR7" s="872"/>
    </row>
    <row r="8" spans="1:55" s="243" customFormat="1">
      <c r="A8" s="872"/>
      <c r="B8" s="872"/>
      <c r="C8" s="872"/>
      <c r="D8" s="873"/>
      <c r="E8" s="874"/>
      <c r="F8" s="872"/>
      <c r="G8" s="872"/>
      <c r="H8" s="872"/>
      <c r="I8" s="872"/>
      <c r="J8" s="872"/>
      <c r="K8" s="872"/>
      <c r="L8" s="875" t="s">
        <v>33</v>
      </c>
      <c r="M8" s="875"/>
      <c r="N8" s="875"/>
      <c r="O8" s="875" t="s">
        <v>34</v>
      </c>
      <c r="P8" s="875"/>
      <c r="Q8" s="875"/>
      <c r="R8" s="875" t="s">
        <v>33</v>
      </c>
      <c r="S8" s="875"/>
      <c r="T8" s="875"/>
      <c r="U8" s="875" t="s">
        <v>34</v>
      </c>
      <c r="V8" s="875"/>
      <c r="W8" s="875"/>
      <c r="X8" s="875" t="s">
        <v>33</v>
      </c>
      <c r="Y8" s="875"/>
      <c r="Z8" s="875"/>
      <c r="AA8" s="875" t="s">
        <v>34</v>
      </c>
      <c r="AB8" s="875"/>
      <c r="AC8" s="875"/>
      <c r="AD8" s="875" t="s">
        <v>33</v>
      </c>
      <c r="AE8" s="875"/>
      <c r="AF8" s="875"/>
      <c r="AG8" s="875" t="s">
        <v>34</v>
      </c>
      <c r="AH8" s="875"/>
      <c r="AI8" s="875"/>
      <c r="AJ8" s="874"/>
      <c r="AK8" s="872"/>
      <c r="AL8" s="872"/>
      <c r="AM8" s="872"/>
      <c r="AN8" s="872"/>
      <c r="AO8" s="872"/>
      <c r="AP8" s="872"/>
      <c r="AQ8" s="872"/>
      <c r="AR8" s="872"/>
    </row>
    <row r="9" spans="1:55" s="243" customFormat="1">
      <c r="A9" s="872"/>
      <c r="B9" s="872"/>
      <c r="C9" s="872"/>
      <c r="D9" s="873"/>
      <c r="E9" s="874"/>
      <c r="F9" s="872"/>
      <c r="G9" s="872"/>
      <c r="H9" s="872"/>
      <c r="I9" s="872"/>
      <c r="J9" s="872"/>
      <c r="K9" s="872"/>
      <c r="L9" s="244" t="s">
        <v>35</v>
      </c>
      <c r="M9" s="244" t="s">
        <v>36</v>
      </c>
      <c r="N9" s="244" t="s">
        <v>37</v>
      </c>
      <c r="O9" s="244" t="s">
        <v>35</v>
      </c>
      <c r="P9" s="244" t="s">
        <v>36</v>
      </c>
      <c r="Q9" s="244" t="s">
        <v>37</v>
      </c>
      <c r="R9" s="244" t="s">
        <v>38</v>
      </c>
      <c r="S9" s="244" t="s">
        <v>37</v>
      </c>
      <c r="T9" s="244" t="s">
        <v>39</v>
      </c>
      <c r="U9" s="244" t="s">
        <v>38</v>
      </c>
      <c r="V9" s="244" t="s">
        <v>37</v>
      </c>
      <c r="W9" s="244" t="s">
        <v>39</v>
      </c>
      <c r="X9" s="244" t="s">
        <v>39</v>
      </c>
      <c r="Y9" s="244" t="s">
        <v>38</v>
      </c>
      <c r="Z9" s="244" t="s">
        <v>40</v>
      </c>
      <c r="AA9" s="244" t="s">
        <v>39</v>
      </c>
      <c r="AB9" s="244" t="s">
        <v>38</v>
      </c>
      <c r="AC9" s="244" t="s">
        <v>40</v>
      </c>
      <c r="AD9" s="244" t="s">
        <v>41</v>
      </c>
      <c r="AE9" s="244" t="s">
        <v>42</v>
      </c>
      <c r="AF9" s="244" t="s">
        <v>43</v>
      </c>
      <c r="AG9" s="244" t="s">
        <v>41</v>
      </c>
      <c r="AH9" s="244" t="s">
        <v>42</v>
      </c>
      <c r="AI9" s="244" t="s">
        <v>43</v>
      </c>
      <c r="AJ9" s="874"/>
      <c r="AK9" s="872"/>
      <c r="AL9" s="872"/>
      <c r="AM9" s="872"/>
      <c r="AN9" s="872"/>
      <c r="AO9" s="872"/>
      <c r="AP9" s="872"/>
      <c r="AQ9" s="872"/>
      <c r="AR9" s="872"/>
    </row>
    <row r="10" spans="1:55" ht="78.75">
      <c r="A10" s="471" t="s">
        <v>147</v>
      </c>
      <c r="B10" s="471" t="s">
        <v>1459</v>
      </c>
      <c r="C10" s="471" t="s">
        <v>1478</v>
      </c>
      <c r="D10" s="472" t="s">
        <v>1479</v>
      </c>
      <c r="E10" s="473"/>
      <c r="F10" s="474"/>
      <c r="G10" s="474"/>
      <c r="H10" s="474"/>
      <c r="I10" s="475">
        <v>67</v>
      </c>
      <c r="J10" s="476">
        <f>(AJ10/AJ$20)*100</f>
        <v>66.999534330211617</v>
      </c>
      <c r="K10" s="475"/>
      <c r="L10" s="477"/>
      <c r="M10" s="477"/>
      <c r="N10" s="477"/>
      <c r="O10" s="478">
        <f>+O11</f>
        <v>6474</v>
      </c>
      <c r="P10" s="478">
        <f>+P11</f>
        <v>6475</v>
      </c>
      <c r="Q10" s="478">
        <f>+Q11</f>
        <v>6474</v>
      </c>
      <c r="R10" s="477"/>
      <c r="S10" s="477"/>
      <c r="T10" s="477"/>
      <c r="U10" s="478">
        <f>+U11</f>
        <v>6475</v>
      </c>
      <c r="V10" s="478">
        <f>+V11</f>
        <v>6475</v>
      </c>
      <c r="W10" s="478">
        <f>+W11</f>
        <v>6474</v>
      </c>
      <c r="X10" s="477"/>
      <c r="Y10" s="477"/>
      <c r="Z10" s="477"/>
      <c r="AA10" s="478">
        <f>+AA11</f>
        <v>6474</v>
      </c>
      <c r="AB10" s="478">
        <f>+AB11</f>
        <v>6475</v>
      </c>
      <c r="AC10" s="478">
        <f>+AC11</f>
        <v>6474</v>
      </c>
      <c r="AD10" s="477"/>
      <c r="AE10" s="477"/>
      <c r="AF10" s="477"/>
      <c r="AG10" s="478">
        <f>+AG11</f>
        <v>6474</v>
      </c>
      <c r="AH10" s="478">
        <f>+AH11</f>
        <v>6475</v>
      </c>
      <c r="AI10" s="478">
        <f>+AI11</f>
        <v>6475</v>
      </c>
      <c r="AJ10" s="478">
        <f>+AJ11</f>
        <v>77694</v>
      </c>
      <c r="AK10" s="478">
        <f t="shared" ref="AK10:AK15" si="0">+AJ10</f>
        <v>77694</v>
      </c>
      <c r="AL10" s="477"/>
      <c r="AM10" s="477"/>
      <c r="AN10" s="477"/>
      <c r="AO10" s="477"/>
      <c r="AP10" s="479"/>
      <c r="AQ10" s="479"/>
      <c r="AR10" s="479"/>
    </row>
    <row r="11" spans="1:55" ht="94.5">
      <c r="A11" s="480" t="s">
        <v>147</v>
      </c>
      <c r="B11" s="480" t="s">
        <v>1459</v>
      </c>
      <c r="C11" s="457" t="s">
        <v>1480</v>
      </c>
      <c r="D11" s="460" t="s">
        <v>1481</v>
      </c>
      <c r="E11" s="451">
        <v>15</v>
      </c>
      <c r="F11" s="354" t="s">
        <v>171</v>
      </c>
      <c r="G11" s="353" t="s">
        <v>1482</v>
      </c>
      <c r="H11" s="353" t="s">
        <v>1483</v>
      </c>
      <c r="I11" s="451">
        <v>100</v>
      </c>
      <c r="J11" s="481"/>
      <c r="K11" s="451">
        <f>AJ11/AJ10*100</f>
        <v>100</v>
      </c>
      <c r="L11" s="482">
        <v>1</v>
      </c>
      <c r="M11" s="482">
        <v>1</v>
      </c>
      <c r="N11" s="482">
        <v>1</v>
      </c>
      <c r="O11" s="482">
        <v>6474</v>
      </c>
      <c r="P11" s="482">
        <v>6475</v>
      </c>
      <c r="Q11" s="482">
        <v>6474</v>
      </c>
      <c r="R11" s="482">
        <v>1</v>
      </c>
      <c r="S11" s="482">
        <v>2</v>
      </c>
      <c r="T11" s="482">
        <v>1</v>
      </c>
      <c r="U11" s="482">
        <v>6475</v>
      </c>
      <c r="V11" s="482">
        <v>6475</v>
      </c>
      <c r="W11" s="482">
        <v>6474</v>
      </c>
      <c r="X11" s="482">
        <v>2</v>
      </c>
      <c r="Y11" s="482">
        <v>1</v>
      </c>
      <c r="Z11" s="482">
        <v>1</v>
      </c>
      <c r="AA11" s="482">
        <v>6474</v>
      </c>
      <c r="AB11" s="482">
        <v>6475</v>
      </c>
      <c r="AC11" s="482">
        <v>6474</v>
      </c>
      <c r="AD11" s="482">
        <v>2</v>
      </c>
      <c r="AE11" s="482">
        <v>1</v>
      </c>
      <c r="AF11" s="482">
        <v>1</v>
      </c>
      <c r="AG11" s="482">
        <v>6474</v>
      </c>
      <c r="AH11" s="482">
        <v>6475</v>
      </c>
      <c r="AI11" s="482">
        <v>6475</v>
      </c>
      <c r="AJ11" s="482">
        <f>SUM(O11,P11,Q11,U11,V11,W11,AA11,AB11,AC11,AG11,AH11,AI11)</f>
        <v>77694</v>
      </c>
      <c r="AK11" s="482">
        <f t="shared" si="0"/>
        <v>77694</v>
      </c>
      <c r="AL11" s="482"/>
      <c r="AM11" s="482"/>
      <c r="AN11" s="482"/>
      <c r="AO11" s="482"/>
      <c r="AP11" s="355" t="s">
        <v>1484</v>
      </c>
      <c r="AQ11" s="355" t="s">
        <v>1485</v>
      </c>
      <c r="AR11" s="190"/>
    </row>
    <row r="12" spans="1:55" ht="78.75">
      <c r="A12" s="471" t="s">
        <v>147</v>
      </c>
      <c r="B12" s="471" t="s">
        <v>1459</v>
      </c>
      <c r="C12" s="471" t="s">
        <v>1486</v>
      </c>
      <c r="D12" s="472" t="s">
        <v>1487</v>
      </c>
      <c r="E12" s="473"/>
      <c r="F12" s="474"/>
      <c r="G12" s="474"/>
      <c r="H12" s="474"/>
      <c r="I12" s="475">
        <v>8</v>
      </c>
      <c r="J12" s="476">
        <f>(AJ12/AJ$20)*100</f>
        <v>7.8353253652058434</v>
      </c>
      <c r="K12" s="475"/>
      <c r="L12" s="477"/>
      <c r="M12" s="477"/>
      <c r="N12" s="477"/>
      <c r="O12" s="478"/>
      <c r="P12" s="478"/>
      <c r="Q12" s="478"/>
      <c r="R12" s="477"/>
      <c r="S12" s="477"/>
      <c r="T12" s="477"/>
      <c r="U12" s="478"/>
      <c r="V12" s="478"/>
      <c r="W12" s="478"/>
      <c r="X12" s="477"/>
      <c r="Y12" s="477"/>
      <c r="Z12" s="477"/>
      <c r="AA12" s="478"/>
      <c r="AB12" s="478"/>
      <c r="AC12" s="478"/>
      <c r="AD12" s="477"/>
      <c r="AE12" s="477"/>
      <c r="AF12" s="477"/>
      <c r="AG12" s="478"/>
      <c r="AH12" s="478"/>
      <c r="AI12" s="478">
        <f>+AI13</f>
        <v>9086</v>
      </c>
      <c r="AJ12" s="478">
        <f>+AJ13</f>
        <v>9086</v>
      </c>
      <c r="AK12" s="478">
        <f t="shared" si="0"/>
        <v>9086</v>
      </c>
      <c r="AL12" s="477"/>
      <c r="AM12" s="477"/>
      <c r="AN12" s="477"/>
      <c r="AO12" s="477"/>
      <c r="AP12" s="479"/>
      <c r="AQ12" s="479"/>
      <c r="AR12" s="479"/>
    </row>
    <row r="13" spans="1:55" ht="94.5">
      <c r="A13" s="480" t="s">
        <v>147</v>
      </c>
      <c r="B13" s="480" t="s">
        <v>1459</v>
      </c>
      <c r="C13" s="457" t="s">
        <v>1488</v>
      </c>
      <c r="D13" s="460" t="s">
        <v>1489</v>
      </c>
      <c r="E13" s="451">
        <f>SUM(L13,M13,N13,R13,S13,T13,X13,Y13,Z13,AD13,AE13,AF13)</f>
        <v>1</v>
      </c>
      <c r="F13" s="354" t="s">
        <v>168</v>
      </c>
      <c r="G13" s="353" t="s">
        <v>1490</v>
      </c>
      <c r="H13" s="353" t="s">
        <v>1491</v>
      </c>
      <c r="I13" s="451">
        <v>100</v>
      </c>
      <c r="J13" s="481"/>
      <c r="K13" s="451">
        <f>AJ13/AJ12*100</f>
        <v>100</v>
      </c>
      <c r="L13" s="482"/>
      <c r="M13" s="482"/>
      <c r="N13" s="482"/>
      <c r="O13" s="482"/>
      <c r="P13" s="482"/>
      <c r="Q13" s="482"/>
      <c r="R13" s="482"/>
      <c r="S13" s="482"/>
      <c r="T13" s="482"/>
      <c r="U13" s="482"/>
      <c r="V13" s="482"/>
      <c r="W13" s="482"/>
      <c r="X13" s="482"/>
      <c r="Y13" s="482"/>
      <c r="Z13" s="482"/>
      <c r="AA13" s="482"/>
      <c r="AB13" s="482"/>
      <c r="AC13" s="482"/>
      <c r="AD13" s="482"/>
      <c r="AE13" s="482"/>
      <c r="AF13" s="482">
        <v>1</v>
      </c>
      <c r="AG13" s="482"/>
      <c r="AH13" s="482"/>
      <c r="AI13" s="23">
        <v>9086</v>
      </c>
      <c r="AJ13" s="482">
        <f>SUM(O13,P13,Q13,U13,V13,W13,AA13,AB13,AC13,AG13,AH13,AI13)</f>
        <v>9086</v>
      </c>
      <c r="AK13" s="482">
        <f t="shared" si="0"/>
        <v>9086</v>
      </c>
      <c r="AL13" s="482"/>
      <c r="AM13" s="482"/>
      <c r="AN13" s="482"/>
      <c r="AO13" s="482"/>
      <c r="AP13" s="355" t="s">
        <v>1484</v>
      </c>
      <c r="AQ13" s="355" t="s">
        <v>1485</v>
      </c>
      <c r="AR13" s="355"/>
    </row>
    <row r="14" spans="1:55" ht="63">
      <c r="A14" s="471" t="s">
        <v>147</v>
      </c>
      <c r="B14" s="471" t="s">
        <v>1459</v>
      </c>
      <c r="C14" s="471" t="s">
        <v>1492</v>
      </c>
      <c r="D14" s="472" t="s">
        <v>1493</v>
      </c>
      <c r="E14" s="473"/>
      <c r="F14" s="474"/>
      <c r="G14" s="474"/>
      <c r="H14" s="474"/>
      <c r="I14" s="475">
        <v>10</v>
      </c>
      <c r="J14" s="476">
        <f>(AJ14/AJ$20)*100</f>
        <v>9.9998275297080088</v>
      </c>
      <c r="K14" s="475"/>
      <c r="L14" s="477"/>
      <c r="M14" s="477"/>
      <c r="N14" s="477"/>
      <c r="O14" s="478"/>
      <c r="P14" s="478"/>
      <c r="Q14" s="478"/>
      <c r="R14" s="477"/>
      <c r="S14" s="477"/>
      <c r="T14" s="477"/>
      <c r="U14" s="478"/>
      <c r="V14" s="478"/>
      <c r="W14" s="478"/>
      <c r="X14" s="477"/>
      <c r="Y14" s="477"/>
      <c r="Z14" s="477"/>
      <c r="AA14" s="478"/>
      <c r="AB14" s="478"/>
      <c r="AC14" s="478">
        <f>+AC15</f>
        <v>11596</v>
      </c>
      <c r="AD14" s="477"/>
      <c r="AE14" s="477"/>
      <c r="AF14" s="477"/>
      <c r="AG14" s="478"/>
      <c r="AH14" s="478"/>
      <c r="AI14" s="478"/>
      <c r="AJ14" s="478">
        <f>+AJ15</f>
        <v>11596</v>
      </c>
      <c r="AK14" s="478">
        <f t="shared" si="0"/>
        <v>11596</v>
      </c>
      <c r="AL14" s="477"/>
      <c r="AM14" s="477"/>
      <c r="AN14" s="477"/>
      <c r="AO14" s="477"/>
      <c r="AP14" s="479"/>
      <c r="AQ14" s="479"/>
      <c r="AR14" s="479"/>
    </row>
    <row r="15" spans="1:55" ht="78.75">
      <c r="A15" s="480" t="s">
        <v>147</v>
      </c>
      <c r="B15" s="480" t="s">
        <v>1459</v>
      </c>
      <c r="C15" s="457" t="s">
        <v>1494</v>
      </c>
      <c r="D15" s="460" t="s">
        <v>1495</v>
      </c>
      <c r="E15" s="451">
        <f>SUM(L15,M15,N15,R15,S15,T15,X15,Y15,Z15,AD15,AE15,AF15)</f>
        <v>1</v>
      </c>
      <c r="F15" s="356" t="s">
        <v>1496</v>
      </c>
      <c r="G15" s="355" t="s">
        <v>1497</v>
      </c>
      <c r="H15" s="355" t="s">
        <v>1498</v>
      </c>
      <c r="I15" s="451">
        <v>100</v>
      </c>
      <c r="J15" s="481"/>
      <c r="K15" s="451">
        <f>AJ15/AJ14*100</f>
        <v>100</v>
      </c>
      <c r="L15" s="483"/>
      <c r="M15" s="483"/>
      <c r="N15" s="483"/>
      <c r="O15" s="483"/>
      <c r="P15" s="483"/>
      <c r="Q15" s="483"/>
      <c r="R15" s="483"/>
      <c r="S15" s="483"/>
      <c r="T15" s="483"/>
      <c r="U15" s="483"/>
      <c r="V15" s="483"/>
      <c r="W15" s="483"/>
      <c r="X15" s="483"/>
      <c r="Y15" s="483"/>
      <c r="Z15" s="483">
        <v>1</v>
      </c>
      <c r="AA15" s="483"/>
      <c r="AB15" s="483"/>
      <c r="AC15" s="484">
        <v>11596</v>
      </c>
      <c r="AD15" s="483"/>
      <c r="AE15" s="483"/>
      <c r="AF15" s="483"/>
      <c r="AG15" s="483"/>
      <c r="AH15" s="483"/>
      <c r="AI15" s="485"/>
      <c r="AJ15" s="482">
        <f>SUM(O15,P15,Q15,U15,V15,W15,AA15,AB15,AC15,AG15,AH15,AI15)</f>
        <v>11596</v>
      </c>
      <c r="AK15" s="482">
        <f t="shared" si="0"/>
        <v>11596</v>
      </c>
      <c r="AL15" s="482"/>
      <c r="AM15" s="482"/>
      <c r="AN15" s="482"/>
      <c r="AO15" s="482"/>
      <c r="AP15" s="355" t="s">
        <v>1484</v>
      </c>
      <c r="AQ15" s="355" t="s">
        <v>1485</v>
      </c>
      <c r="AR15" s="486"/>
    </row>
    <row r="16" spans="1:55" ht="78.75">
      <c r="A16" s="471" t="s">
        <v>147</v>
      </c>
      <c r="B16" s="471" t="s">
        <v>1459</v>
      </c>
      <c r="C16" s="471" t="s">
        <v>1499</v>
      </c>
      <c r="D16" s="472" t="s">
        <v>1500</v>
      </c>
      <c r="E16" s="473"/>
      <c r="F16" s="474"/>
      <c r="G16" s="474"/>
      <c r="H16" s="474"/>
      <c r="I16" s="475">
        <v>1</v>
      </c>
      <c r="J16" s="476">
        <f>(AJ16/AJ$20)*100</f>
        <v>1.0831134337110433</v>
      </c>
      <c r="K16" s="475"/>
      <c r="L16" s="477"/>
      <c r="M16" s="477"/>
      <c r="N16" s="477"/>
      <c r="O16" s="478"/>
      <c r="P16" s="478"/>
      <c r="Q16" s="478"/>
      <c r="R16" s="477"/>
      <c r="S16" s="477"/>
      <c r="T16" s="477"/>
      <c r="U16" s="478"/>
      <c r="V16" s="478">
        <f t="shared" ref="U16:W18" si="1">+V17</f>
        <v>1256</v>
      </c>
      <c r="W16" s="478"/>
      <c r="X16" s="477"/>
      <c r="Y16" s="477"/>
      <c r="Z16" s="477"/>
      <c r="AA16" s="478"/>
      <c r="AB16" s="478"/>
      <c r="AC16" s="478"/>
      <c r="AD16" s="477"/>
      <c r="AE16" s="477"/>
      <c r="AF16" s="477"/>
      <c r="AG16" s="478"/>
      <c r="AH16" s="478"/>
      <c r="AI16" s="478"/>
      <c r="AJ16" s="478">
        <f>+AJ17</f>
        <v>1256</v>
      </c>
      <c r="AK16" s="478">
        <f>+AK17</f>
        <v>1256</v>
      </c>
      <c r="AL16" s="477"/>
      <c r="AM16" s="477"/>
      <c r="AN16" s="477"/>
      <c r="AO16" s="477"/>
      <c r="AP16" s="479"/>
      <c r="AQ16" s="479"/>
      <c r="AR16" s="479"/>
    </row>
    <row r="17" spans="1:44" ht="157.5">
      <c r="A17" s="480" t="s">
        <v>147</v>
      </c>
      <c r="B17" s="480" t="s">
        <v>1459</v>
      </c>
      <c r="C17" s="457" t="s">
        <v>1501</v>
      </c>
      <c r="D17" s="460" t="s">
        <v>1502</v>
      </c>
      <c r="E17" s="451">
        <f>SUM(L17,M17,N17,R17,S17,T17,X17,Y17,Z17,AD17,AE17,AF17)</f>
        <v>1</v>
      </c>
      <c r="F17" s="356" t="s">
        <v>1503</v>
      </c>
      <c r="G17" s="355" t="s">
        <v>1504</v>
      </c>
      <c r="H17" s="487" t="s">
        <v>1505</v>
      </c>
      <c r="I17" s="451">
        <v>100</v>
      </c>
      <c r="J17" s="481"/>
      <c r="K17" s="451">
        <f>AJ17/AJ16*100</f>
        <v>100</v>
      </c>
      <c r="L17" s="482"/>
      <c r="M17" s="482"/>
      <c r="N17" s="482"/>
      <c r="O17" s="482"/>
      <c r="P17" s="482"/>
      <c r="Q17" s="482"/>
      <c r="R17" s="482"/>
      <c r="S17" s="482">
        <v>1</v>
      </c>
      <c r="T17" s="482"/>
      <c r="U17" s="482"/>
      <c r="V17" s="482">
        <v>1256</v>
      </c>
      <c r="W17" s="482"/>
      <c r="X17" s="482"/>
      <c r="Y17" s="482"/>
      <c r="Z17" s="482"/>
      <c r="AA17" s="482"/>
      <c r="AB17" s="482"/>
      <c r="AC17" s="482"/>
      <c r="AD17" s="482"/>
      <c r="AE17" s="482"/>
      <c r="AF17" s="482"/>
      <c r="AG17" s="482"/>
      <c r="AH17" s="482"/>
      <c r="AI17" s="482"/>
      <c r="AJ17" s="482">
        <f>SUM(O17,P17,Q17,U17,V17,W17,AA17,AB17,AC17,AG17,AH17,AI17)</f>
        <v>1256</v>
      </c>
      <c r="AK17" s="482">
        <f>+AJ17</f>
        <v>1256</v>
      </c>
      <c r="AL17" s="482"/>
      <c r="AM17" s="482"/>
      <c r="AN17" s="482"/>
      <c r="AO17" s="482"/>
      <c r="AP17" s="355" t="s">
        <v>1484</v>
      </c>
      <c r="AQ17" s="355" t="s">
        <v>1485</v>
      </c>
      <c r="AR17" s="486"/>
    </row>
    <row r="18" spans="1:44" ht="47.25">
      <c r="A18" s="471" t="s">
        <v>147</v>
      </c>
      <c r="B18" s="471" t="s">
        <v>1459</v>
      </c>
      <c r="C18" s="471" t="s">
        <v>1506</v>
      </c>
      <c r="D18" s="472" t="s">
        <v>1507</v>
      </c>
      <c r="E18" s="473"/>
      <c r="F18" s="474"/>
      <c r="G18" s="474"/>
      <c r="H18" s="474"/>
      <c r="I18" s="475">
        <v>14</v>
      </c>
      <c r="J18" s="476">
        <f>(AJ18/AJ$20)*100</f>
        <v>14.082199341163484</v>
      </c>
      <c r="K18" s="475"/>
      <c r="L18" s="477"/>
      <c r="M18" s="477"/>
      <c r="N18" s="477"/>
      <c r="O18" s="478">
        <f>+O19</f>
        <v>1256</v>
      </c>
      <c r="P18" s="478">
        <f>+P19</f>
        <v>1256</v>
      </c>
      <c r="Q18" s="478">
        <f>+Q19</f>
        <v>1256</v>
      </c>
      <c r="R18" s="477"/>
      <c r="S18" s="477"/>
      <c r="T18" s="477"/>
      <c r="U18" s="478">
        <f t="shared" si="1"/>
        <v>1256</v>
      </c>
      <c r="V18" s="478">
        <f t="shared" si="1"/>
        <v>1256</v>
      </c>
      <c r="W18" s="478">
        <f t="shared" si="1"/>
        <v>1256</v>
      </c>
      <c r="X18" s="477"/>
      <c r="Y18" s="477"/>
      <c r="Z18" s="477"/>
      <c r="AA18" s="478">
        <f>+AA19</f>
        <v>1256</v>
      </c>
      <c r="AB18" s="478">
        <f>+AB19</f>
        <v>2514</v>
      </c>
      <c r="AC18" s="478">
        <f>+AC19</f>
        <v>1256</v>
      </c>
      <c r="AD18" s="477"/>
      <c r="AE18" s="477"/>
      <c r="AF18" s="477"/>
      <c r="AG18" s="478">
        <f>+AG19</f>
        <v>1256</v>
      </c>
      <c r="AH18" s="478">
        <f>+AH19</f>
        <v>1256</v>
      </c>
      <c r="AI18" s="478">
        <f>+AI19</f>
        <v>1256</v>
      </c>
      <c r="AJ18" s="478">
        <f>+AJ19</f>
        <v>16330</v>
      </c>
      <c r="AK18" s="478">
        <f>+AJ18</f>
        <v>16330</v>
      </c>
      <c r="AL18" s="477"/>
      <c r="AM18" s="477"/>
      <c r="AN18" s="477"/>
      <c r="AO18" s="477"/>
      <c r="AP18" s="479"/>
      <c r="AQ18" s="479"/>
      <c r="AR18" s="479"/>
    </row>
    <row r="19" spans="1:44" ht="126">
      <c r="A19" s="480" t="s">
        <v>147</v>
      </c>
      <c r="B19" s="480" t="s">
        <v>1459</v>
      </c>
      <c r="C19" s="457" t="s">
        <v>1508</v>
      </c>
      <c r="D19" s="460" t="s">
        <v>1509</v>
      </c>
      <c r="E19" s="451">
        <f>SUM(L19,M19,N19,R19,S19,T19,X19,Y19,Z19,AD19,AE19,AF19)</f>
        <v>13</v>
      </c>
      <c r="F19" s="356" t="s">
        <v>168</v>
      </c>
      <c r="G19" s="355" t="s">
        <v>1510</v>
      </c>
      <c r="H19" s="487" t="s">
        <v>1511</v>
      </c>
      <c r="I19" s="451">
        <v>100</v>
      </c>
      <c r="J19" s="481"/>
      <c r="K19" s="451">
        <f>AJ19/AJ18*100</f>
        <v>100</v>
      </c>
      <c r="L19" s="482">
        <v>1</v>
      </c>
      <c r="M19" s="482">
        <v>1</v>
      </c>
      <c r="N19" s="482">
        <v>1</v>
      </c>
      <c r="O19" s="482">
        <v>1256</v>
      </c>
      <c r="P19" s="482">
        <v>1256</v>
      </c>
      <c r="Q19" s="482">
        <v>1256</v>
      </c>
      <c r="R19" s="482">
        <v>1</v>
      </c>
      <c r="S19" s="482">
        <v>1</v>
      </c>
      <c r="T19" s="482">
        <v>1</v>
      </c>
      <c r="U19" s="482">
        <v>1256</v>
      </c>
      <c r="V19" s="482">
        <v>1256</v>
      </c>
      <c r="W19" s="482">
        <v>1256</v>
      </c>
      <c r="X19" s="482">
        <v>2</v>
      </c>
      <c r="Y19" s="482">
        <v>1</v>
      </c>
      <c r="Z19" s="482">
        <v>1</v>
      </c>
      <c r="AA19" s="482">
        <v>1256</v>
      </c>
      <c r="AB19" s="482">
        <v>2514</v>
      </c>
      <c r="AC19" s="482">
        <v>1256</v>
      </c>
      <c r="AD19" s="482">
        <v>1</v>
      </c>
      <c r="AE19" s="482">
        <v>1</v>
      </c>
      <c r="AF19" s="482">
        <v>1</v>
      </c>
      <c r="AG19" s="482">
        <v>1256</v>
      </c>
      <c r="AH19" s="482">
        <v>1256</v>
      </c>
      <c r="AI19" s="482">
        <v>1256</v>
      </c>
      <c r="AJ19" s="482">
        <f>SUM(O19,P19,Q19,U19,V19,W19,AA19,AB19,AC19,AG19,AH19,AI19)</f>
        <v>16330</v>
      </c>
      <c r="AK19" s="482">
        <f>+AJ19</f>
        <v>16330</v>
      </c>
      <c r="AL19" s="482"/>
      <c r="AM19" s="482"/>
      <c r="AN19" s="482"/>
      <c r="AO19" s="482"/>
      <c r="AP19" s="355" t="s">
        <v>1484</v>
      </c>
      <c r="AQ19" s="355" t="s">
        <v>1485</v>
      </c>
      <c r="AR19" s="486"/>
    </row>
    <row r="20" spans="1:44">
      <c r="A20" s="488"/>
      <c r="B20" s="488"/>
      <c r="C20" s="488"/>
      <c r="D20" s="489" t="s">
        <v>156</v>
      </c>
      <c r="E20" s="488"/>
      <c r="F20" s="488"/>
      <c r="G20" s="488"/>
      <c r="H20" s="488"/>
      <c r="I20" s="490">
        <f>I18+I16+I14+I12+I10</f>
        <v>100</v>
      </c>
      <c r="J20" s="490">
        <f>J18+J16+J14+J12+J10</f>
        <v>100</v>
      </c>
      <c r="K20" s="488"/>
      <c r="L20" s="491"/>
      <c r="M20" s="491"/>
      <c r="N20" s="491"/>
      <c r="O20" s="492">
        <f>O18+O16+O14+O12+O10</f>
        <v>7730</v>
      </c>
      <c r="P20" s="492">
        <f>P18+P16+P14+P12+P10</f>
        <v>7731</v>
      </c>
      <c r="Q20" s="492">
        <f>Q18+Q16+Q14+Q12+Q10</f>
        <v>7730</v>
      </c>
      <c r="R20" s="493"/>
      <c r="S20" s="493"/>
      <c r="T20" s="493"/>
      <c r="U20" s="492">
        <f>U18+U16+U14+U12+U10</f>
        <v>7731</v>
      </c>
      <c r="V20" s="492">
        <f>V18+V16+V14+V12+V10</f>
        <v>8987</v>
      </c>
      <c r="W20" s="492">
        <f>W18+W16+W14+W12+W10</f>
        <v>7730</v>
      </c>
      <c r="X20" s="491"/>
      <c r="Y20" s="491"/>
      <c r="Z20" s="491"/>
      <c r="AA20" s="492">
        <f>AA18+AA16+AA14+AA12+AA10</f>
        <v>7730</v>
      </c>
      <c r="AB20" s="492">
        <f>AB18+AB16+AB14+AB12+AB10</f>
        <v>8989</v>
      </c>
      <c r="AC20" s="492">
        <f>AC18+AC16+AC14+AC12+AC10</f>
        <v>19326</v>
      </c>
      <c r="AD20" s="491"/>
      <c r="AE20" s="491"/>
      <c r="AF20" s="491"/>
      <c r="AG20" s="492">
        <f>AG18+AG16+AG14+AG12+AG10</f>
        <v>7730</v>
      </c>
      <c r="AH20" s="492">
        <f>AH18+AH16+AH14+AH12+AH10</f>
        <v>7731</v>
      </c>
      <c r="AI20" s="492">
        <f>AI18+AI16+AI14+AI12+AI10</f>
        <v>16817</v>
      </c>
      <c r="AJ20" s="492">
        <f>AJ18+AJ16+AJ14+AJ12+AJ10</f>
        <v>115962</v>
      </c>
      <c r="AK20" s="492">
        <f>AK18+AK16+AK14+AK12+AK10</f>
        <v>115962</v>
      </c>
      <c r="AL20" s="491"/>
      <c r="AM20" s="491"/>
      <c r="AN20" s="491"/>
      <c r="AO20" s="491"/>
      <c r="AP20" s="488"/>
      <c r="AQ20" s="488"/>
      <c r="AR20" s="488"/>
    </row>
    <row r="21" spans="1:44">
      <c r="AJ21" s="482"/>
    </row>
  </sheetData>
  <autoFilter ref="A6:AR21">
    <filterColumn colId="0" showButton="0"/>
    <filterColumn colId="1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6" showButton="0"/>
    <filterColumn colId="37" showButton="0"/>
    <filterColumn colId="38" showButton="0"/>
    <filterColumn colId="39" showButton="0"/>
  </autoFilter>
  <mergeCells count="37">
    <mergeCell ref="AM7:AM9"/>
    <mergeCell ref="AN7:AN9"/>
    <mergeCell ref="AO7:AO9"/>
    <mergeCell ref="L8:N8"/>
    <mergeCell ref="O8:Q8"/>
    <mergeCell ref="R8:T8"/>
    <mergeCell ref="U8:W8"/>
    <mergeCell ref="X8:Z8"/>
    <mergeCell ref="AA8:AC8"/>
    <mergeCell ref="AD8:AF8"/>
    <mergeCell ref="X7:AC7"/>
    <mergeCell ref="AK7:AK9"/>
    <mergeCell ref="AL7:AL9"/>
    <mergeCell ref="A7:A9"/>
    <mergeCell ref="B7:B9"/>
    <mergeCell ref="C7:C9"/>
    <mergeCell ref="L7:Q7"/>
    <mergeCell ref="R7:W7"/>
    <mergeCell ref="K6:K9"/>
    <mergeCell ref="L6:AJ6"/>
    <mergeCell ref="AG8:AI8"/>
    <mergeCell ref="A1:AR1"/>
    <mergeCell ref="A2:AR2"/>
    <mergeCell ref="A6:C6"/>
    <mergeCell ref="D6:D9"/>
    <mergeCell ref="E6:E9"/>
    <mergeCell ref="F6:F9"/>
    <mergeCell ref="G6:G9"/>
    <mergeCell ref="H6:H9"/>
    <mergeCell ref="I6:I9"/>
    <mergeCell ref="J6:J9"/>
    <mergeCell ref="AK6:AO6"/>
    <mergeCell ref="AP6:AP9"/>
    <mergeCell ref="AQ6:AQ9"/>
    <mergeCell ref="AR6:AR9"/>
    <mergeCell ref="AD7:AI7"/>
    <mergeCell ref="AJ7:AJ9"/>
  </mergeCells>
  <printOptions horizontalCentered="1"/>
  <pageMargins left="0.98425196850393704" right="0.78740157480314965" top="0.98425196850393704" bottom="0.78740157480314965" header="0.31496062992125984" footer="0.31496062992125984"/>
  <pageSetup paperSize="5" scale="43" orientation="landscape" r:id="rId1"/>
  <headerFooter alignWithMargins="0">
    <oddFooter>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BT17"/>
  <sheetViews>
    <sheetView showGridLines="0" view="pageBreakPreview" topLeftCell="A6" zoomScaleNormal="100" zoomScaleSheetLayoutView="100" workbookViewId="0">
      <selection activeCell="AQ10" sqref="AQ10"/>
    </sheetView>
  </sheetViews>
  <sheetFormatPr baseColWidth="10" defaultRowHeight="15.75"/>
  <cols>
    <col min="1" max="1" width="5" style="433" bestFit="1" customWidth="1"/>
    <col min="2" max="2" width="10.5703125" style="433" bestFit="1" customWidth="1"/>
    <col min="3" max="3" width="18.5703125" style="433" bestFit="1" customWidth="1"/>
    <col min="4" max="4" width="20.85546875" style="433" customWidth="1"/>
    <col min="5" max="5" width="6.28515625" style="433" customWidth="1"/>
    <col min="6" max="6" width="12.28515625" style="433" customWidth="1"/>
    <col min="7" max="7" width="22" style="433" customWidth="1"/>
    <col min="8" max="8" width="13.7109375" style="433" customWidth="1"/>
    <col min="9" max="9" width="11.42578125" style="433" customWidth="1"/>
    <col min="10" max="10" width="12.5703125" style="433" customWidth="1"/>
    <col min="11" max="11" width="14.28515625" style="433" customWidth="1"/>
    <col min="12" max="14" width="4.42578125" style="433" bestFit="1" customWidth="1"/>
    <col min="15" max="17" width="7.28515625" style="470" bestFit="1" customWidth="1"/>
    <col min="18" max="20" width="4.42578125" style="470" bestFit="1" customWidth="1"/>
    <col min="21" max="21" width="8.42578125" style="470" bestFit="1" customWidth="1"/>
    <col min="22" max="22" width="7.28515625" style="470" bestFit="1" customWidth="1"/>
    <col min="23" max="23" width="7.28515625" style="433" bestFit="1" customWidth="1"/>
    <col min="24" max="26" width="4.42578125" style="433" bestFit="1" customWidth="1"/>
    <col min="27" max="27" width="8.42578125" style="433" bestFit="1" customWidth="1"/>
    <col min="28" max="29" width="7.28515625" style="433" bestFit="1" customWidth="1"/>
    <col min="30" max="32" width="4.42578125" style="433" bestFit="1" customWidth="1"/>
    <col min="33" max="33" width="8.42578125" style="433" bestFit="1" customWidth="1"/>
    <col min="34" max="35" width="7.28515625" style="433" bestFit="1" customWidth="1"/>
    <col min="36" max="36" width="12" style="433" bestFit="1" customWidth="1"/>
    <col min="37" max="37" width="8.7109375" style="470" customWidth="1"/>
    <col min="38" max="38" width="7.5703125" style="433" customWidth="1"/>
    <col min="39" max="39" width="6.140625" style="433" customWidth="1"/>
    <col min="40" max="40" width="8.140625" style="433" customWidth="1"/>
    <col min="41" max="41" width="5" style="433" customWidth="1"/>
    <col min="42" max="42" width="12.140625" style="433" customWidth="1"/>
    <col min="43" max="43" width="13.85546875" style="433" customWidth="1"/>
    <col min="44" max="44" width="13.42578125" style="433" customWidth="1"/>
    <col min="45" max="16384" width="11.42578125" style="433"/>
  </cols>
  <sheetData>
    <row r="1" spans="1:72">
      <c r="A1" s="871" t="s">
        <v>0</v>
      </c>
      <c r="B1" s="871"/>
      <c r="C1" s="871"/>
      <c r="D1" s="871"/>
      <c r="E1" s="871"/>
      <c r="F1" s="871"/>
      <c r="G1" s="871"/>
      <c r="H1" s="871"/>
      <c r="I1" s="871"/>
      <c r="J1" s="871"/>
      <c r="K1" s="871"/>
      <c r="L1" s="871"/>
      <c r="M1" s="871"/>
      <c r="N1" s="871"/>
      <c r="O1" s="871"/>
      <c r="P1" s="871"/>
      <c r="Q1" s="871"/>
      <c r="R1" s="871"/>
      <c r="S1" s="871"/>
      <c r="T1" s="871"/>
      <c r="U1" s="871"/>
      <c r="V1" s="871"/>
      <c r="W1" s="871"/>
      <c r="X1" s="871"/>
      <c r="Y1" s="871"/>
      <c r="Z1" s="871"/>
      <c r="AA1" s="871"/>
      <c r="AB1" s="871"/>
      <c r="AC1" s="871"/>
      <c r="AD1" s="871"/>
      <c r="AE1" s="871"/>
      <c r="AF1" s="871"/>
      <c r="AG1" s="871"/>
      <c r="AH1" s="871"/>
      <c r="AI1" s="871"/>
      <c r="AJ1" s="871"/>
      <c r="AK1" s="871"/>
      <c r="AL1" s="871"/>
      <c r="AM1" s="871"/>
      <c r="AN1" s="871"/>
      <c r="AO1" s="871"/>
      <c r="AP1" s="871"/>
      <c r="AQ1" s="871"/>
      <c r="AR1" s="871"/>
    </row>
    <row r="2" spans="1:72">
      <c r="A2" s="871" t="s">
        <v>1</v>
      </c>
      <c r="B2" s="871"/>
      <c r="C2" s="871"/>
      <c r="D2" s="871"/>
      <c r="E2" s="871"/>
      <c r="F2" s="871"/>
      <c r="G2" s="871"/>
      <c r="H2" s="871"/>
      <c r="I2" s="871"/>
      <c r="J2" s="871"/>
      <c r="K2" s="871"/>
      <c r="L2" s="871"/>
      <c r="M2" s="871"/>
      <c r="N2" s="871"/>
      <c r="O2" s="871"/>
      <c r="P2" s="871"/>
      <c r="Q2" s="871"/>
      <c r="R2" s="871"/>
      <c r="S2" s="871"/>
      <c r="T2" s="871"/>
      <c r="U2" s="871"/>
      <c r="V2" s="871"/>
      <c r="W2" s="871"/>
      <c r="X2" s="871"/>
      <c r="Y2" s="871"/>
      <c r="Z2" s="871"/>
      <c r="AA2" s="871"/>
      <c r="AB2" s="871"/>
      <c r="AC2" s="871"/>
      <c r="AD2" s="871"/>
      <c r="AE2" s="871"/>
      <c r="AF2" s="871"/>
      <c r="AG2" s="871"/>
      <c r="AH2" s="871"/>
      <c r="AI2" s="871"/>
      <c r="AJ2" s="871"/>
      <c r="AK2" s="871"/>
      <c r="AL2" s="871"/>
      <c r="AM2" s="871"/>
      <c r="AN2" s="871"/>
      <c r="AO2" s="871"/>
      <c r="AP2" s="871"/>
      <c r="AQ2" s="871"/>
      <c r="AR2" s="871"/>
    </row>
    <row r="3" spans="1:72">
      <c r="A3" s="434"/>
      <c r="B3" s="434"/>
      <c r="C3" s="434"/>
      <c r="D3" s="435" t="s">
        <v>1451</v>
      </c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  <c r="P3" s="435"/>
      <c r="Q3" s="435"/>
      <c r="R3" s="435"/>
      <c r="S3" s="435"/>
      <c r="T3" s="435"/>
      <c r="U3" s="435"/>
      <c r="V3" s="435"/>
      <c r="W3" s="435"/>
      <c r="X3" s="435"/>
      <c r="Y3" s="435"/>
      <c r="Z3" s="435"/>
      <c r="AA3" s="435"/>
      <c r="AB3" s="435"/>
      <c r="AC3" s="435"/>
      <c r="AD3" s="435"/>
      <c r="AE3" s="435"/>
      <c r="AF3" s="435"/>
      <c r="AG3" s="435"/>
      <c r="AH3" s="435"/>
      <c r="AI3" s="435"/>
      <c r="AJ3" s="435"/>
      <c r="AK3" s="435"/>
      <c r="AL3" s="435"/>
      <c r="AM3" s="435"/>
      <c r="AN3" s="435"/>
      <c r="AO3" s="435"/>
      <c r="AP3" s="435"/>
      <c r="AQ3" s="435"/>
      <c r="AR3" s="435"/>
    </row>
    <row r="4" spans="1:72">
      <c r="A4" s="434"/>
      <c r="B4" s="434"/>
      <c r="C4" s="434"/>
      <c r="D4" s="435" t="s">
        <v>1452</v>
      </c>
      <c r="E4" s="435"/>
      <c r="F4" s="435"/>
      <c r="G4" s="435"/>
      <c r="H4" s="435"/>
      <c r="I4" s="435"/>
      <c r="J4" s="435"/>
      <c r="K4" s="435"/>
      <c r="L4" s="435"/>
      <c r="M4" s="435"/>
      <c r="N4" s="435"/>
      <c r="O4" s="435"/>
      <c r="P4" s="435"/>
      <c r="Q4" s="435"/>
      <c r="R4" s="435"/>
      <c r="S4" s="435"/>
      <c r="T4" s="435"/>
      <c r="U4" s="435"/>
      <c r="V4" s="435"/>
      <c r="W4" s="435"/>
      <c r="X4" s="435"/>
      <c r="Y4" s="435"/>
      <c r="Z4" s="435"/>
      <c r="AA4" s="435"/>
      <c r="AB4" s="435"/>
      <c r="AC4" s="435"/>
      <c r="AD4" s="435"/>
      <c r="AE4" s="435"/>
      <c r="AF4" s="435"/>
      <c r="AG4" s="435"/>
      <c r="AH4" s="435"/>
      <c r="AI4" s="435"/>
      <c r="AJ4" s="435"/>
      <c r="AK4" s="435"/>
      <c r="AL4" s="435"/>
      <c r="AM4" s="435"/>
      <c r="AN4" s="435"/>
      <c r="AO4" s="435"/>
      <c r="AP4" s="435"/>
      <c r="AQ4" s="435"/>
      <c r="AR4" s="435"/>
    </row>
    <row r="5" spans="1:72">
      <c r="A5" s="434"/>
      <c r="B5" s="434"/>
      <c r="C5" s="434"/>
      <c r="D5" s="435" t="s">
        <v>1453</v>
      </c>
      <c r="E5" s="435"/>
      <c r="F5" s="435"/>
      <c r="G5" s="434"/>
      <c r="H5" s="434"/>
      <c r="I5" s="434"/>
      <c r="J5" s="434"/>
      <c r="K5" s="436"/>
      <c r="L5" s="436"/>
      <c r="M5" s="436"/>
      <c r="N5" s="436"/>
      <c r="O5" s="436"/>
      <c r="P5" s="436"/>
      <c r="Q5" s="436"/>
      <c r="R5" s="436"/>
      <c r="S5" s="436"/>
      <c r="T5" s="436"/>
      <c r="U5" s="436"/>
      <c r="V5" s="436"/>
      <c r="W5" s="436"/>
      <c r="X5" s="436"/>
      <c r="Y5" s="436"/>
      <c r="Z5" s="436"/>
      <c r="AA5" s="436"/>
      <c r="AB5" s="436"/>
      <c r="AC5" s="436"/>
      <c r="AD5" s="436"/>
      <c r="AE5" s="436"/>
      <c r="AF5" s="436"/>
      <c r="AG5" s="436"/>
      <c r="AH5" s="436"/>
      <c r="AI5" s="436"/>
      <c r="AJ5" s="436"/>
      <c r="AK5" s="436"/>
      <c r="AL5" s="436"/>
      <c r="AM5" s="436"/>
      <c r="AN5" s="436"/>
      <c r="AO5" s="436"/>
      <c r="AP5" s="436"/>
      <c r="AQ5" s="436"/>
      <c r="AR5" s="436"/>
      <c r="AT5" s="437"/>
      <c r="AU5" s="437"/>
      <c r="AV5" s="437"/>
      <c r="AW5" s="437"/>
      <c r="AX5" s="437"/>
      <c r="AY5" s="437"/>
      <c r="AZ5" s="437"/>
      <c r="BA5" s="437"/>
      <c r="BB5" s="437"/>
      <c r="BC5" s="437"/>
      <c r="BD5" s="437"/>
      <c r="BE5" s="437"/>
      <c r="BF5" s="437"/>
      <c r="BG5" s="437"/>
      <c r="BH5" s="437"/>
      <c r="BI5" s="437"/>
      <c r="BJ5" s="437"/>
      <c r="BK5" s="437"/>
      <c r="BL5" s="437"/>
      <c r="BM5" s="437"/>
      <c r="BN5" s="437"/>
      <c r="BO5" s="437"/>
      <c r="BP5" s="437"/>
      <c r="BQ5" s="437"/>
      <c r="BR5" s="437"/>
      <c r="BS5" s="437"/>
      <c r="BT5" s="437"/>
    </row>
    <row r="6" spans="1:72">
      <c r="A6" s="879" t="s">
        <v>5</v>
      </c>
      <c r="B6" s="879"/>
      <c r="C6" s="879"/>
      <c r="D6" s="880" t="s">
        <v>1454</v>
      </c>
      <c r="E6" s="880" t="s">
        <v>161</v>
      </c>
      <c r="F6" s="879" t="s">
        <v>404</v>
      </c>
      <c r="G6" s="879" t="s">
        <v>9</v>
      </c>
      <c r="H6" s="879" t="s">
        <v>10</v>
      </c>
      <c r="I6" s="879" t="s">
        <v>406</v>
      </c>
      <c r="J6" s="879" t="s">
        <v>407</v>
      </c>
      <c r="K6" s="879" t="s">
        <v>1455</v>
      </c>
      <c r="L6" s="894" t="s">
        <v>409</v>
      </c>
      <c r="M6" s="895"/>
      <c r="N6" s="895"/>
      <c r="O6" s="895"/>
      <c r="P6" s="895"/>
      <c r="Q6" s="895"/>
      <c r="R6" s="895"/>
      <c r="S6" s="895"/>
      <c r="T6" s="895"/>
      <c r="U6" s="895"/>
      <c r="V6" s="895"/>
      <c r="W6" s="895"/>
      <c r="X6" s="895"/>
      <c r="Y6" s="895"/>
      <c r="Z6" s="895"/>
      <c r="AA6" s="895"/>
      <c r="AB6" s="895"/>
      <c r="AC6" s="895"/>
      <c r="AD6" s="895"/>
      <c r="AE6" s="895"/>
      <c r="AF6" s="895"/>
      <c r="AG6" s="895"/>
      <c r="AH6" s="895"/>
      <c r="AI6" s="895"/>
      <c r="AJ6" s="896"/>
      <c r="AK6" s="879" t="s">
        <v>15</v>
      </c>
      <c r="AL6" s="879"/>
      <c r="AM6" s="879"/>
      <c r="AN6" s="879"/>
      <c r="AO6" s="879"/>
      <c r="AP6" s="879" t="s">
        <v>16</v>
      </c>
      <c r="AQ6" s="879" t="s">
        <v>17</v>
      </c>
      <c r="AR6" s="879" t="s">
        <v>18</v>
      </c>
    </row>
    <row r="7" spans="1:72">
      <c r="A7" s="879" t="s">
        <v>20</v>
      </c>
      <c r="B7" s="879" t="s">
        <v>21</v>
      </c>
      <c r="C7" s="879" t="s">
        <v>22</v>
      </c>
      <c r="D7" s="880"/>
      <c r="E7" s="880"/>
      <c r="F7" s="879"/>
      <c r="G7" s="879"/>
      <c r="H7" s="879"/>
      <c r="I7" s="879"/>
      <c r="J7" s="879"/>
      <c r="K7" s="879"/>
      <c r="L7" s="881" t="s">
        <v>23</v>
      </c>
      <c r="M7" s="881"/>
      <c r="N7" s="881"/>
      <c r="O7" s="881"/>
      <c r="P7" s="881"/>
      <c r="Q7" s="881"/>
      <c r="R7" s="881" t="s">
        <v>24</v>
      </c>
      <c r="S7" s="881"/>
      <c r="T7" s="881"/>
      <c r="U7" s="881"/>
      <c r="V7" s="881"/>
      <c r="W7" s="881"/>
      <c r="X7" s="881" t="s">
        <v>25</v>
      </c>
      <c r="Y7" s="881"/>
      <c r="Z7" s="881"/>
      <c r="AA7" s="881"/>
      <c r="AB7" s="881"/>
      <c r="AC7" s="881"/>
      <c r="AD7" s="881" t="s">
        <v>26</v>
      </c>
      <c r="AE7" s="881"/>
      <c r="AF7" s="881"/>
      <c r="AG7" s="881"/>
      <c r="AH7" s="881"/>
      <c r="AI7" s="881"/>
      <c r="AJ7" s="880" t="s">
        <v>162</v>
      </c>
      <c r="AK7" s="879" t="s">
        <v>648</v>
      </c>
      <c r="AL7" s="879" t="s">
        <v>413</v>
      </c>
      <c r="AM7" s="879" t="s">
        <v>1456</v>
      </c>
      <c r="AN7" s="879" t="s">
        <v>1457</v>
      </c>
      <c r="AO7" s="879" t="s">
        <v>416</v>
      </c>
      <c r="AP7" s="879"/>
      <c r="AQ7" s="879"/>
      <c r="AR7" s="879"/>
    </row>
    <row r="8" spans="1:72">
      <c r="A8" s="879"/>
      <c r="B8" s="879"/>
      <c r="C8" s="879"/>
      <c r="D8" s="880"/>
      <c r="E8" s="880"/>
      <c r="F8" s="879"/>
      <c r="G8" s="879"/>
      <c r="H8" s="879"/>
      <c r="I8" s="879"/>
      <c r="J8" s="879"/>
      <c r="K8" s="879"/>
      <c r="L8" s="881" t="s">
        <v>649</v>
      </c>
      <c r="M8" s="881"/>
      <c r="N8" s="881"/>
      <c r="O8" s="881" t="s">
        <v>1458</v>
      </c>
      <c r="P8" s="881"/>
      <c r="Q8" s="881"/>
      <c r="R8" s="881" t="s">
        <v>649</v>
      </c>
      <c r="S8" s="881"/>
      <c r="T8" s="881"/>
      <c r="U8" s="881" t="s">
        <v>1458</v>
      </c>
      <c r="V8" s="881"/>
      <c r="W8" s="881"/>
      <c r="X8" s="881" t="s">
        <v>649</v>
      </c>
      <c r="Y8" s="881"/>
      <c r="Z8" s="881"/>
      <c r="AA8" s="881" t="s">
        <v>1458</v>
      </c>
      <c r="AB8" s="881"/>
      <c r="AC8" s="881"/>
      <c r="AD8" s="881" t="s">
        <v>649</v>
      </c>
      <c r="AE8" s="881"/>
      <c r="AF8" s="881"/>
      <c r="AG8" s="881" t="s">
        <v>1458</v>
      </c>
      <c r="AH8" s="881"/>
      <c r="AI8" s="881"/>
      <c r="AJ8" s="880"/>
      <c r="AK8" s="879"/>
      <c r="AL8" s="879"/>
      <c r="AM8" s="879"/>
      <c r="AN8" s="879"/>
      <c r="AO8" s="879"/>
      <c r="AP8" s="879"/>
      <c r="AQ8" s="879"/>
      <c r="AR8" s="879"/>
    </row>
    <row r="9" spans="1:72">
      <c r="A9" s="879"/>
      <c r="B9" s="879"/>
      <c r="C9" s="879"/>
      <c r="D9" s="880"/>
      <c r="E9" s="880"/>
      <c r="F9" s="879"/>
      <c r="G9" s="879"/>
      <c r="H9" s="879"/>
      <c r="I9" s="879"/>
      <c r="J9" s="879"/>
      <c r="K9" s="879"/>
      <c r="L9" s="438" t="s">
        <v>35</v>
      </c>
      <c r="M9" s="438" t="s">
        <v>36</v>
      </c>
      <c r="N9" s="438" t="s">
        <v>37</v>
      </c>
      <c r="O9" s="438" t="s">
        <v>35</v>
      </c>
      <c r="P9" s="438" t="s">
        <v>36</v>
      </c>
      <c r="Q9" s="438" t="s">
        <v>37</v>
      </c>
      <c r="R9" s="438" t="s">
        <v>38</v>
      </c>
      <c r="S9" s="438" t="s">
        <v>37</v>
      </c>
      <c r="T9" s="438" t="s">
        <v>39</v>
      </c>
      <c r="U9" s="438" t="s">
        <v>38</v>
      </c>
      <c r="V9" s="438" t="s">
        <v>37</v>
      </c>
      <c r="W9" s="438" t="s">
        <v>39</v>
      </c>
      <c r="X9" s="438" t="s">
        <v>39</v>
      </c>
      <c r="Y9" s="438" t="s">
        <v>38</v>
      </c>
      <c r="Z9" s="438" t="s">
        <v>40</v>
      </c>
      <c r="AA9" s="438" t="s">
        <v>39</v>
      </c>
      <c r="AB9" s="438" t="s">
        <v>38</v>
      </c>
      <c r="AC9" s="438" t="s">
        <v>40</v>
      </c>
      <c r="AD9" s="438" t="s">
        <v>41</v>
      </c>
      <c r="AE9" s="438" t="s">
        <v>42</v>
      </c>
      <c r="AF9" s="438" t="s">
        <v>43</v>
      </c>
      <c r="AG9" s="438" t="s">
        <v>41</v>
      </c>
      <c r="AH9" s="438" t="s">
        <v>42</v>
      </c>
      <c r="AI9" s="438" t="s">
        <v>43</v>
      </c>
      <c r="AJ9" s="880"/>
      <c r="AK9" s="879"/>
      <c r="AL9" s="879"/>
      <c r="AM9" s="879"/>
      <c r="AN9" s="879"/>
      <c r="AO9" s="879"/>
      <c r="AP9" s="879"/>
      <c r="AQ9" s="879"/>
      <c r="AR9" s="879"/>
    </row>
    <row r="10" spans="1:72" ht="78.75">
      <c r="A10" s="439" t="s">
        <v>147</v>
      </c>
      <c r="B10" s="439" t="s">
        <v>1459</v>
      </c>
      <c r="C10" s="439" t="s">
        <v>1460</v>
      </c>
      <c r="D10" s="440" t="s">
        <v>1461</v>
      </c>
      <c r="E10" s="441"/>
      <c r="F10" s="442"/>
      <c r="G10" s="443"/>
      <c r="H10" s="444"/>
      <c r="I10" s="445">
        <v>100</v>
      </c>
      <c r="J10" s="446">
        <v>100</v>
      </c>
      <c r="K10" s="446"/>
      <c r="L10" s="442"/>
      <c r="M10" s="442"/>
      <c r="N10" s="442"/>
      <c r="O10" s="447">
        <f>SUM(O11:O16)</f>
        <v>10010</v>
      </c>
      <c r="P10" s="447">
        <f t="shared" ref="P10:Q10" si="0">SUM(P11:P16)</f>
        <v>10010</v>
      </c>
      <c r="Q10" s="447">
        <f t="shared" si="0"/>
        <v>10510</v>
      </c>
      <c r="R10" s="442"/>
      <c r="S10" s="442"/>
      <c r="T10" s="442"/>
      <c r="U10" s="447">
        <f t="shared" ref="U10:W10" si="1">SUM(U11:U16)</f>
        <v>10010</v>
      </c>
      <c r="V10" s="447">
        <f t="shared" si="1"/>
        <v>10010</v>
      </c>
      <c r="W10" s="447">
        <f t="shared" si="1"/>
        <v>10510</v>
      </c>
      <c r="X10" s="442"/>
      <c r="Y10" s="442"/>
      <c r="Z10" s="442"/>
      <c r="AA10" s="447">
        <f t="shared" ref="AA10:AC10" si="2">SUM(AA11:AA16)</f>
        <v>10010</v>
      </c>
      <c r="AB10" s="447">
        <f t="shared" si="2"/>
        <v>10010</v>
      </c>
      <c r="AC10" s="447">
        <f t="shared" si="2"/>
        <v>10510</v>
      </c>
      <c r="AD10" s="442"/>
      <c r="AE10" s="442"/>
      <c r="AF10" s="442"/>
      <c r="AG10" s="447">
        <f t="shared" ref="AG10:AK10" si="3">SUM(AG11:AG16)</f>
        <v>10010</v>
      </c>
      <c r="AH10" s="447">
        <f t="shared" si="3"/>
        <v>10015</v>
      </c>
      <c r="AI10" s="447">
        <f t="shared" si="3"/>
        <v>10615</v>
      </c>
      <c r="AJ10" s="447">
        <f t="shared" si="3"/>
        <v>122230</v>
      </c>
      <c r="AK10" s="447">
        <f t="shared" si="3"/>
        <v>122230</v>
      </c>
      <c r="AL10" s="439"/>
      <c r="AM10" s="439"/>
      <c r="AN10" s="439"/>
      <c r="AO10" s="439"/>
      <c r="AP10" s="439" t="s">
        <v>1462</v>
      </c>
      <c r="AQ10" s="439" t="s">
        <v>1463</v>
      </c>
      <c r="AR10" s="439"/>
    </row>
    <row r="11" spans="1:72" ht="47.25">
      <c r="A11" s="448" t="s">
        <v>147</v>
      </c>
      <c r="B11" s="448" t="s">
        <v>1459</v>
      </c>
      <c r="C11" s="448" t="s">
        <v>1464</v>
      </c>
      <c r="D11" s="449" t="s">
        <v>1465</v>
      </c>
      <c r="E11" s="450">
        <f>L11+M11+N11+R11+S11+T11+X11+Y11+Z11+AD11+ AE11+ AF11</f>
        <v>1440</v>
      </c>
      <c r="F11" s="451" t="s">
        <v>171</v>
      </c>
      <c r="G11" s="449" t="s">
        <v>1466</v>
      </c>
      <c r="H11" s="452" t="s">
        <v>1467</v>
      </c>
      <c r="I11" s="453">
        <v>45</v>
      </c>
      <c r="J11" s="882"/>
      <c r="K11" s="453">
        <v>45</v>
      </c>
      <c r="L11" s="454">
        <v>120</v>
      </c>
      <c r="M11" s="454">
        <v>120</v>
      </c>
      <c r="N11" s="454">
        <v>120</v>
      </c>
      <c r="O11" s="455">
        <v>4580</v>
      </c>
      <c r="P11" s="455">
        <v>4580</v>
      </c>
      <c r="Q11" s="455">
        <v>4580</v>
      </c>
      <c r="R11" s="455">
        <v>120</v>
      </c>
      <c r="S11" s="455">
        <v>120</v>
      </c>
      <c r="T11" s="455">
        <v>120</v>
      </c>
      <c r="U11" s="455">
        <v>4580</v>
      </c>
      <c r="V11" s="455">
        <v>4580</v>
      </c>
      <c r="W11" s="455">
        <v>4580</v>
      </c>
      <c r="X11" s="455">
        <v>120</v>
      </c>
      <c r="Y11" s="455">
        <v>120</v>
      </c>
      <c r="Z11" s="455">
        <v>120</v>
      </c>
      <c r="AA11" s="455">
        <v>4580</v>
      </c>
      <c r="AB11" s="455">
        <v>4580</v>
      </c>
      <c r="AC11" s="455">
        <v>4580</v>
      </c>
      <c r="AD11" s="455">
        <v>120</v>
      </c>
      <c r="AE11" s="455">
        <v>120</v>
      </c>
      <c r="AF11" s="455">
        <v>120</v>
      </c>
      <c r="AG11" s="455">
        <v>4580</v>
      </c>
      <c r="AH11" s="455">
        <v>4580</v>
      </c>
      <c r="AI11" s="455">
        <v>4580</v>
      </c>
      <c r="AJ11" s="450">
        <f>O11+P11+Q11+U11+V11+W11+AA11+AB11+AC11+AG11+AH11+AI11</f>
        <v>54960</v>
      </c>
      <c r="AK11" s="450">
        <f t="shared" ref="AK11:AK15" si="4">+AJ11</f>
        <v>54960</v>
      </c>
      <c r="AL11" s="456"/>
      <c r="AM11" s="456"/>
      <c r="AN11" s="456"/>
      <c r="AO11" s="456"/>
      <c r="AP11" s="457" t="s">
        <v>1462</v>
      </c>
      <c r="AQ11" s="448" t="s">
        <v>1463</v>
      </c>
      <c r="AR11" s="457"/>
    </row>
    <row r="12" spans="1:72" ht="31.5" customHeight="1">
      <c r="A12" s="885" t="s">
        <v>147</v>
      </c>
      <c r="B12" s="885" t="s">
        <v>1459</v>
      </c>
      <c r="C12" s="885" t="s">
        <v>1468</v>
      </c>
      <c r="D12" s="888" t="s">
        <v>1469</v>
      </c>
      <c r="E12" s="450">
        <f>L12+M12+N12+R12+S12+T12+X12+Y12+Z12+AD12+ AE12+ AF12</f>
        <v>100</v>
      </c>
      <c r="F12" s="458" t="s">
        <v>234</v>
      </c>
      <c r="G12" s="449" t="s">
        <v>1470</v>
      </c>
      <c r="H12" s="452" t="s">
        <v>171</v>
      </c>
      <c r="I12" s="891">
        <v>40</v>
      </c>
      <c r="J12" s="883"/>
      <c r="K12" s="891">
        <v>40</v>
      </c>
      <c r="L12" s="459">
        <v>8</v>
      </c>
      <c r="M12" s="459">
        <v>8</v>
      </c>
      <c r="N12" s="459">
        <v>9</v>
      </c>
      <c r="O12" s="455">
        <v>975</v>
      </c>
      <c r="P12" s="455">
        <v>975</v>
      </c>
      <c r="Q12" s="455">
        <v>1100</v>
      </c>
      <c r="R12" s="459">
        <v>8</v>
      </c>
      <c r="S12" s="459">
        <v>8</v>
      </c>
      <c r="T12" s="459">
        <v>9</v>
      </c>
      <c r="U12" s="455">
        <v>975</v>
      </c>
      <c r="V12" s="455">
        <v>975</v>
      </c>
      <c r="W12" s="455">
        <v>1100</v>
      </c>
      <c r="X12" s="459">
        <v>8</v>
      </c>
      <c r="Y12" s="459">
        <v>8</v>
      </c>
      <c r="Z12" s="459">
        <v>9</v>
      </c>
      <c r="AA12" s="455">
        <v>975</v>
      </c>
      <c r="AB12" s="455">
        <v>975</v>
      </c>
      <c r="AC12" s="455">
        <v>1100</v>
      </c>
      <c r="AD12" s="459">
        <v>8</v>
      </c>
      <c r="AE12" s="459">
        <v>8</v>
      </c>
      <c r="AF12" s="459">
        <v>9</v>
      </c>
      <c r="AG12" s="455">
        <v>975</v>
      </c>
      <c r="AH12" s="455">
        <v>975</v>
      </c>
      <c r="AI12" s="455">
        <f>1100+25</f>
        <v>1125</v>
      </c>
      <c r="AJ12" s="450">
        <f>O12+P12+Q12+U12+V12+W12+AA12+AB12+AC12+AG12+AH12+AI12</f>
        <v>12225</v>
      </c>
      <c r="AK12" s="450">
        <f t="shared" si="4"/>
        <v>12225</v>
      </c>
      <c r="AL12" s="451"/>
      <c r="AM12" s="457"/>
      <c r="AN12" s="457"/>
      <c r="AO12" s="457"/>
      <c r="AP12" s="457" t="s">
        <v>1462</v>
      </c>
      <c r="AQ12" s="448" t="s">
        <v>1463</v>
      </c>
      <c r="AR12" s="456"/>
    </row>
    <row r="13" spans="1:72" ht="47.25">
      <c r="A13" s="886"/>
      <c r="B13" s="886"/>
      <c r="C13" s="886"/>
      <c r="D13" s="889"/>
      <c r="E13" s="450">
        <f t="shared" ref="E13:E15" si="5">L13+M13+N13+R13+S13+T13+X13+Y13+Z13+AD13+ AE13+ AF13</f>
        <v>100</v>
      </c>
      <c r="F13" s="458" t="s">
        <v>234</v>
      </c>
      <c r="G13" s="449" t="s">
        <v>1471</v>
      </c>
      <c r="H13" s="452" t="s">
        <v>171</v>
      </c>
      <c r="I13" s="892"/>
      <c r="J13" s="883"/>
      <c r="K13" s="892"/>
      <c r="L13" s="459">
        <v>8</v>
      </c>
      <c r="M13" s="459">
        <v>8</v>
      </c>
      <c r="N13" s="459">
        <v>9</v>
      </c>
      <c r="O13" s="455">
        <v>975</v>
      </c>
      <c r="P13" s="455">
        <v>975</v>
      </c>
      <c r="Q13" s="455">
        <v>1100</v>
      </c>
      <c r="R13" s="459">
        <v>8</v>
      </c>
      <c r="S13" s="459">
        <v>8</v>
      </c>
      <c r="T13" s="459">
        <v>9</v>
      </c>
      <c r="U13" s="455">
        <v>975</v>
      </c>
      <c r="V13" s="455">
        <v>975</v>
      </c>
      <c r="W13" s="455">
        <v>1100</v>
      </c>
      <c r="X13" s="459">
        <v>8</v>
      </c>
      <c r="Y13" s="459">
        <v>8</v>
      </c>
      <c r="Z13" s="459">
        <v>9</v>
      </c>
      <c r="AA13" s="455">
        <v>975</v>
      </c>
      <c r="AB13" s="455">
        <v>975</v>
      </c>
      <c r="AC13" s="455">
        <v>1100</v>
      </c>
      <c r="AD13" s="459">
        <v>8</v>
      </c>
      <c r="AE13" s="459">
        <v>8</v>
      </c>
      <c r="AF13" s="459">
        <v>9</v>
      </c>
      <c r="AG13" s="455">
        <v>975</v>
      </c>
      <c r="AH13" s="455">
        <v>975</v>
      </c>
      <c r="AI13" s="455">
        <f t="shared" ref="AI13:AI15" si="6">1100+25</f>
        <v>1125</v>
      </c>
      <c r="AJ13" s="450">
        <f t="shared" ref="AJ13:AJ15" si="7">O13+P13+Q13+U13+V13+W13+AA13+AB13+AC13+AG13+AH13+AI13</f>
        <v>12225</v>
      </c>
      <c r="AK13" s="450">
        <f t="shared" si="4"/>
        <v>12225</v>
      </c>
      <c r="AL13" s="451"/>
      <c r="AM13" s="457"/>
      <c r="AN13" s="457"/>
      <c r="AO13" s="457"/>
      <c r="AP13" s="457" t="s">
        <v>1462</v>
      </c>
      <c r="AQ13" s="448" t="s">
        <v>1463</v>
      </c>
      <c r="AR13" s="456"/>
    </row>
    <row r="14" spans="1:72" ht="47.25">
      <c r="A14" s="886"/>
      <c r="B14" s="886"/>
      <c r="C14" s="886"/>
      <c r="D14" s="889"/>
      <c r="E14" s="450">
        <f t="shared" si="5"/>
        <v>100</v>
      </c>
      <c r="F14" s="458" t="s">
        <v>234</v>
      </c>
      <c r="G14" s="449" t="s">
        <v>1472</v>
      </c>
      <c r="H14" s="452" t="s">
        <v>171</v>
      </c>
      <c r="I14" s="892"/>
      <c r="J14" s="883"/>
      <c r="K14" s="892"/>
      <c r="L14" s="459">
        <v>8</v>
      </c>
      <c r="M14" s="459">
        <v>8</v>
      </c>
      <c r="N14" s="459">
        <v>9</v>
      </c>
      <c r="O14" s="455">
        <v>975</v>
      </c>
      <c r="P14" s="455">
        <v>975</v>
      </c>
      <c r="Q14" s="455">
        <v>1100</v>
      </c>
      <c r="R14" s="459">
        <v>8</v>
      </c>
      <c r="S14" s="459">
        <v>8</v>
      </c>
      <c r="T14" s="459">
        <v>9</v>
      </c>
      <c r="U14" s="455">
        <v>975</v>
      </c>
      <c r="V14" s="455">
        <v>975</v>
      </c>
      <c r="W14" s="455">
        <v>1100</v>
      </c>
      <c r="X14" s="459">
        <v>8</v>
      </c>
      <c r="Y14" s="459">
        <v>8</v>
      </c>
      <c r="Z14" s="459">
        <v>9</v>
      </c>
      <c r="AA14" s="455">
        <v>975</v>
      </c>
      <c r="AB14" s="455">
        <v>975</v>
      </c>
      <c r="AC14" s="455">
        <v>1100</v>
      </c>
      <c r="AD14" s="459">
        <v>8</v>
      </c>
      <c r="AE14" s="459">
        <v>8</v>
      </c>
      <c r="AF14" s="459">
        <v>9</v>
      </c>
      <c r="AG14" s="455">
        <v>975</v>
      </c>
      <c r="AH14" s="455">
        <v>975</v>
      </c>
      <c r="AI14" s="455">
        <f t="shared" si="6"/>
        <v>1125</v>
      </c>
      <c r="AJ14" s="450">
        <f t="shared" si="7"/>
        <v>12225</v>
      </c>
      <c r="AK14" s="450">
        <f t="shared" si="4"/>
        <v>12225</v>
      </c>
      <c r="AL14" s="451"/>
      <c r="AM14" s="457"/>
      <c r="AN14" s="457"/>
      <c r="AO14" s="457"/>
      <c r="AP14" s="457" t="s">
        <v>1462</v>
      </c>
      <c r="AQ14" s="448" t="s">
        <v>1463</v>
      </c>
      <c r="AR14" s="456"/>
    </row>
    <row r="15" spans="1:72" ht="47.25">
      <c r="A15" s="887"/>
      <c r="B15" s="887"/>
      <c r="C15" s="887"/>
      <c r="D15" s="890"/>
      <c r="E15" s="450">
        <f t="shared" si="5"/>
        <v>100</v>
      </c>
      <c r="F15" s="458" t="s">
        <v>234</v>
      </c>
      <c r="G15" s="449" t="s">
        <v>1473</v>
      </c>
      <c r="H15" s="452" t="s">
        <v>171</v>
      </c>
      <c r="I15" s="893"/>
      <c r="J15" s="883"/>
      <c r="K15" s="893"/>
      <c r="L15" s="459">
        <v>8</v>
      </c>
      <c r="M15" s="459">
        <v>8</v>
      </c>
      <c r="N15" s="459">
        <v>9</v>
      </c>
      <c r="O15" s="455">
        <v>975</v>
      </c>
      <c r="P15" s="455">
        <v>975</v>
      </c>
      <c r="Q15" s="455">
        <v>1100</v>
      </c>
      <c r="R15" s="459">
        <v>8</v>
      </c>
      <c r="S15" s="459">
        <v>8</v>
      </c>
      <c r="T15" s="459">
        <v>9</v>
      </c>
      <c r="U15" s="455">
        <v>975</v>
      </c>
      <c r="V15" s="455">
        <v>975</v>
      </c>
      <c r="W15" s="455">
        <v>1100</v>
      </c>
      <c r="X15" s="459">
        <v>8</v>
      </c>
      <c r="Y15" s="459">
        <v>8</v>
      </c>
      <c r="Z15" s="459">
        <v>9</v>
      </c>
      <c r="AA15" s="455">
        <v>975</v>
      </c>
      <c r="AB15" s="455">
        <v>975</v>
      </c>
      <c r="AC15" s="455">
        <v>1100</v>
      </c>
      <c r="AD15" s="459">
        <v>8</v>
      </c>
      <c r="AE15" s="459">
        <v>8</v>
      </c>
      <c r="AF15" s="459">
        <v>9</v>
      </c>
      <c r="AG15" s="455">
        <v>975</v>
      </c>
      <c r="AH15" s="455">
        <v>975</v>
      </c>
      <c r="AI15" s="455">
        <f t="shared" si="6"/>
        <v>1125</v>
      </c>
      <c r="AJ15" s="450">
        <f t="shared" si="7"/>
        <v>12225</v>
      </c>
      <c r="AK15" s="450">
        <f t="shared" si="4"/>
        <v>12225</v>
      </c>
      <c r="AL15" s="451"/>
      <c r="AM15" s="457"/>
      <c r="AN15" s="457"/>
      <c r="AO15" s="457"/>
      <c r="AP15" s="457" t="s">
        <v>1462</v>
      </c>
      <c r="AQ15" s="448" t="s">
        <v>1463</v>
      </c>
      <c r="AR15" s="456"/>
    </row>
    <row r="16" spans="1:72" ht="63">
      <c r="A16" s="448" t="s">
        <v>147</v>
      </c>
      <c r="B16" s="448" t="s">
        <v>1459</v>
      </c>
      <c r="C16" s="448" t="s">
        <v>1474</v>
      </c>
      <c r="D16" s="460" t="s">
        <v>1475</v>
      </c>
      <c r="E16" s="450">
        <f>L16+M16+N16+R16+S16+T16+X16+Y16+Z16+AD16+ AE16+ AF16</f>
        <v>100</v>
      </c>
      <c r="F16" s="458" t="s">
        <v>234</v>
      </c>
      <c r="G16" s="449" t="s">
        <v>1476</v>
      </c>
      <c r="H16" s="452" t="s">
        <v>171</v>
      </c>
      <c r="I16" s="453">
        <v>15</v>
      </c>
      <c r="J16" s="884"/>
      <c r="K16" s="453">
        <v>15</v>
      </c>
      <c r="L16" s="459">
        <v>8</v>
      </c>
      <c r="M16" s="459">
        <v>8</v>
      </c>
      <c r="N16" s="459">
        <v>9</v>
      </c>
      <c r="O16" s="455">
        <v>1530</v>
      </c>
      <c r="P16" s="455">
        <v>1530</v>
      </c>
      <c r="Q16" s="455">
        <v>1530</v>
      </c>
      <c r="R16" s="459">
        <v>8</v>
      </c>
      <c r="S16" s="459">
        <v>8</v>
      </c>
      <c r="T16" s="459">
        <v>9</v>
      </c>
      <c r="U16" s="455">
        <v>1530</v>
      </c>
      <c r="V16" s="455">
        <v>1530</v>
      </c>
      <c r="W16" s="455">
        <v>1530</v>
      </c>
      <c r="X16" s="459">
        <v>8</v>
      </c>
      <c r="Y16" s="459">
        <v>8</v>
      </c>
      <c r="Z16" s="459">
        <v>9</v>
      </c>
      <c r="AA16" s="455">
        <v>1530</v>
      </c>
      <c r="AB16" s="455">
        <v>1530</v>
      </c>
      <c r="AC16" s="455">
        <v>1530</v>
      </c>
      <c r="AD16" s="459">
        <v>8</v>
      </c>
      <c r="AE16" s="459">
        <v>8</v>
      </c>
      <c r="AF16" s="459">
        <v>9</v>
      </c>
      <c r="AG16" s="455">
        <v>1530</v>
      </c>
      <c r="AH16" s="455">
        <v>1535</v>
      </c>
      <c r="AI16" s="455">
        <v>1535</v>
      </c>
      <c r="AJ16" s="450">
        <f>O16+P16+Q16+U16+V16+W16+AA16+AB16+AC16+AG16+AH16+AI16</f>
        <v>18370</v>
      </c>
      <c r="AK16" s="450">
        <f>+AJ16</f>
        <v>18370</v>
      </c>
      <c r="AL16" s="456"/>
      <c r="AM16" s="456"/>
      <c r="AN16" s="456"/>
      <c r="AO16" s="456"/>
      <c r="AP16" s="457" t="s">
        <v>1462</v>
      </c>
      <c r="AQ16" s="448" t="s">
        <v>1463</v>
      </c>
      <c r="AR16" s="456"/>
    </row>
    <row r="17" spans="1:44">
      <c r="A17" s="461"/>
      <c r="B17" s="461"/>
      <c r="C17" s="462"/>
      <c r="D17" s="461" t="s">
        <v>156</v>
      </c>
      <c r="E17" s="463"/>
      <c r="F17" s="464"/>
      <c r="G17" s="465"/>
      <c r="H17" s="465"/>
      <c r="I17" s="466">
        <f>SUM(I11:I16)</f>
        <v>100</v>
      </c>
      <c r="J17" s="467"/>
      <c r="K17" s="466">
        <f>SUM(K11:K16)</f>
        <v>100</v>
      </c>
      <c r="L17" s="465"/>
      <c r="M17" s="465"/>
      <c r="N17" s="465"/>
      <c r="O17" s="468">
        <f t="shared" ref="O17:Q17" si="8">SUM(O11:O16)</f>
        <v>10010</v>
      </c>
      <c r="P17" s="468">
        <f t="shared" si="8"/>
        <v>10010</v>
      </c>
      <c r="Q17" s="468">
        <f t="shared" si="8"/>
        <v>10510</v>
      </c>
      <c r="R17" s="468"/>
      <c r="S17" s="468"/>
      <c r="T17" s="468"/>
      <c r="U17" s="468">
        <f t="shared" ref="U17:W17" si="9">SUM(U11:U16)</f>
        <v>10010</v>
      </c>
      <c r="V17" s="468">
        <f t="shared" si="9"/>
        <v>10010</v>
      </c>
      <c r="W17" s="468">
        <f t="shared" si="9"/>
        <v>10510</v>
      </c>
      <c r="X17" s="468"/>
      <c r="Y17" s="468"/>
      <c r="Z17" s="468"/>
      <c r="AA17" s="468">
        <f t="shared" ref="AA17:AC17" si="10">SUM(AA11:AA16)</f>
        <v>10010</v>
      </c>
      <c r="AB17" s="468">
        <f t="shared" si="10"/>
        <v>10010</v>
      </c>
      <c r="AC17" s="468">
        <f t="shared" si="10"/>
        <v>10510</v>
      </c>
      <c r="AD17" s="468"/>
      <c r="AE17" s="468"/>
      <c r="AF17" s="468"/>
      <c r="AG17" s="468">
        <f t="shared" ref="AG17:AJ17" si="11">SUM(AG11:AG16)</f>
        <v>10010</v>
      </c>
      <c r="AH17" s="468">
        <f t="shared" si="11"/>
        <v>10015</v>
      </c>
      <c r="AI17" s="468">
        <f t="shared" si="11"/>
        <v>10615</v>
      </c>
      <c r="AJ17" s="468">
        <f t="shared" si="11"/>
        <v>122230</v>
      </c>
      <c r="AK17" s="468">
        <f>SUM(AK11:AK16)</f>
        <v>122230</v>
      </c>
      <c r="AL17" s="461"/>
      <c r="AM17" s="461"/>
      <c r="AN17" s="461"/>
      <c r="AO17" s="461"/>
      <c r="AP17" s="469"/>
      <c r="AQ17" s="469"/>
      <c r="AR17" s="461"/>
    </row>
  </sheetData>
  <mergeCells count="44">
    <mergeCell ref="AG8:AI8"/>
    <mergeCell ref="J11:J16"/>
    <mergeCell ref="A12:A15"/>
    <mergeCell ref="B12:B15"/>
    <mergeCell ref="C12:C15"/>
    <mergeCell ref="D12:D15"/>
    <mergeCell ref="I12:I15"/>
    <mergeCell ref="K12:K15"/>
    <mergeCell ref="A7:A9"/>
    <mergeCell ref="B7:B9"/>
    <mergeCell ref="C7:C9"/>
    <mergeCell ref="K6:K9"/>
    <mergeCell ref="L6:AJ6"/>
    <mergeCell ref="AA8:AC8"/>
    <mergeCell ref="AD8:AF8"/>
    <mergeCell ref="L7:Q7"/>
    <mergeCell ref="R7:W7"/>
    <mergeCell ref="X7:AC7"/>
    <mergeCell ref="L8:N8"/>
    <mergeCell ref="O8:Q8"/>
    <mergeCell ref="R8:T8"/>
    <mergeCell ref="U8:W8"/>
    <mergeCell ref="X8:Z8"/>
    <mergeCell ref="AK7:AK9"/>
    <mergeCell ref="AL7:AL9"/>
    <mergeCell ref="AM7:AM9"/>
    <mergeCell ref="AN7:AN9"/>
    <mergeCell ref="AO7:AO9"/>
    <mergeCell ref="A1:AR1"/>
    <mergeCell ref="A2:AR2"/>
    <mergeCell ref="A6:C6"/>
    <mergeCell ref="D6:D9"/>
    <mergeCell ref="E6:E9"/>
    <mergeCell ref="F6:F9"/>
    <mergeCell ref="G6:G9"/>
    <mergeCell ref="H6:H9"/>
    <mergeCell ref="I6:I9"/>
    <mergeCell ref="J6:J9"/>
    <mergeCell ref="AK6:AO6"/>
    <mergeCell ref="AP6:AP9"/>
    <mergeCell ref="AQ6:AQ9"/>
    <mergeCell ref="AR6:AR9"/>
    <mergeCell ref="AD7:AI7"/>
    <mergeCell ref="AJ7:AJ9"/>
  </mergeCells>
  <printOptions horizontalCentered="1"/>
  <pageMargins left="0.98425196850393704" right="0.78740157480314965" top="0.98425196850393704" bottom="0.78740157480314965" header="0.31496062992125984" footer="0.31496062992125984"/>
  <pageSetup paperSize="5" scale="42" orientation="landscape" r:id="rId1"/>
  <headerFooter alignWithMargins="0"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BT37"/>
  <sheetViews>
    <sheetView showGridLines="0" view="pageBreakPreview" topLeftCell="A23" zoomScaleNormal="100" zoomScaleSheetLayoutView="100" workbookViewId="0">
      <selection activeCell="A23" sqref="A23"/>
    </sheetView>
  </sheetViews>
  <sheetFormatPr baseColWidth="10" defaultRowHeight="12.75"/>
  <cols>
    <col min="1" max="1" width="5" style="824" bestFit="1" customWidth="1"/>
    <col min="2" max="2" width="10.5703125" style="824" bestFit="1" customWidth="1"/>
    <col min="3" max="3" width="19" style="823" customWidth="1"/>
    <col min="4" max="4" width="22.42578125" style="823" customWidth="1"/>
    <col min="5" max="5" width="9.5703125" style="823" customWidth="1"/>
    <col min="6" max="6" width="12.28515625" style="823" customWidth="1"/>
    <col min="7" max="7" width="16" style="823" customWidth="1"/>
    <col min="8" max="8" width="15.5703125" style="823" customWidth="1"/>
    <col min="9" max="9" width="11.7109375" style="824" customWidth="1"/>
    <col min="10" max="10" width="9.7109375" style="824" customWidth="1"/>
    <col min="11" max="11" width="8" style="824" customWidth="1"/>
    <col min="12" max="14" width="8.42578125" style="824" bestFit="1" customWidth="1"/>
    <col min="15" max="17" width="7.28515625" style="825" bestFit="1" customWidth="1"/>
    <col min="18" max="20" width="8.42578125" style="825" bestFit="1" customWidth="1"/>
    <col min="21" max="22" width="7.28515625" style="825" bestFit="1" customWidth="1"/>
    <col min="23" max="23" width="7.28515625" style="824" bestFit="1" customWidth="1"/>
    <col min="24" max="26" width="8.42578125" style="824" bestFit="1" customWidth="1"/>
    <col min="27" max="29" width="7.28515625" style="824" bestFit="1" customWidth="1"/>
    <col min="30" max="32" width="8.42578125" style="824" bestFit="1" customWidth="1"/>
    <col min="33" max="35" width="7.28515625" style="824" bestFit="1" customWidth="1"/>
    <col min="36" max="36" width="9" style="824" customWidth="1"/>
    <col min="37" max="37" width="8.140625" style="825" bestFit="1" customWidth="1"/>
    <col min="38" max="38" width="6.7109375" style="824" customWidth="1"/>
    <col min="39" max="39" width="7.7109375" style="824" customWidth="1"/>
    <col min="40" max="40" width="8.140625" style="824" customWidth="1"/>
    <col min="41" max="41" width="5" style="824" customWidth="1"/>
    <col min="42" max="42" width="12.7109375" style="823" customWidth="1"/>
    <col min="43" max="43" width="14.7109375" style="823" customWidth="1"/>
    <col min="44" max="44" width="15.7109375" style="823" customWidth="1"/>
    <col min="45" max="45" width="9.28515625" style="824" customWidth="1"/>
    <col min="46" max="46" width="19.85546875" style="824" customWidth="1"/>
    <col min="47" max="47" width="25.28515625" style="824" customWidth="1"/>
    <col min="48" max="60" width="13" style="824" customWidth="1"/>
    <col min="61" max="68" width="14.42578125" style="824" customWidth="1"/>
    <col min="69" max="16384" width="11.42578125" style="824"/>
  </cols>
  <sheetData>
    <row r="1" spans="1:72" s="433" customFormat="1" ht="15.75">
      <c r="A1" s="871" t="s">
        <v>0</v>
      </c>
      <c r="B1" s="871"/>
      <c r="C1" s="871"/>
      <c r="D1" s="871"/>
      <c r="E1" s="871"/>
      <c r="F1" s="871"/>
      <c r="G1" s="871"/>
      <c r="H1" s="871"/>
      <c r="I1" s="871"/>
      <c r="J1" s="871"/>
      <c r="K1" s="871"/>
      <c r="L1" s="871"/>
      <c r="M1" s="871"/>
      <c r="N1" s="871"/>
      <c r="O1" s="871"/>
      <c r="P1" s="871"/>
      <c r="Q1" s="871"/>
      <c r="R1" s="871"/>
      <c r="S1" s="871"/>
      <c r="T1" s="871"/>
      <c r="U1" s="871"/>
      <c r="V1" s="871"/>
      <c r="W1" s="871"/>
      <c r="X1" s="871"/>
      <c r="Y1" s="871"/>
      <c r="Z1" s="871"/>
      <c r="AA1" s="871"/>
      <c r="AB1" s="871"/>
      <c r="AC1" s="871"/>
      <c r="AD1" s="871"/>
      <c r="AE1" s="871"/>
      <c r="AF1" s="871"/>
      <c r="AG1" s="871"/>
      <c r="AH1" s="871"/>
      <c r="AI1" s="871"/>
      <c r="AJ1" s="871"/>
      <c r="AK1" s="871"/>
      <c r="AL1" s="871"/>
      <c r="AM1" s="871"/>
      <c r="AN1" s="871"/>
      <c r="AO1" s="871"/>
      <c r="AP1" s="871"/>
      <c r="AQ1" s="871"/>
      <c r="AR1" s="871"/>
    </row>
    <row r="2" spans="1:72" s="433" customFormat="1" ht="15.75">
      <c r="A2" s="871" t="s">
        <v>1</v>
      </c>
      <c r="B2" s="871"/>
      <c r="C2" s="871"/>
      <c r="D2" s="871"/>
      <c r="E2" s="871"/>
      <c r="F2" s="871"/>
      <c r="G2" s="871"/>
      <c r="H2" s="871"/>
      <c r="I2" s="871"/>
      <c r="J2" s="871"/>
      <c r="K2" s="871"/>
      <c r="L2" s="871"/>
      <c r="M2" s="871"/>
      <c r="N2" s="871"/>
      <c r="O2" s="871"/>
      <c r="P2" s="871"/>
      <c r="Q2" s="871"/>
      <c r="R2" s="871"/>
      <c r="S2" s="871"/>
      <c r="T2" s="871"/>
      <c r="U2" s="871"/>
      <c r="V2" s="871"/>
      <c r="W2" s="871"/>
      <c r="X2" s="871"/>
      <c r="Y2" s="871"/>
      <c r="Z2" s="871"/>
      <c r="AA2" s="871"/>
      <c r="AB2" s="871"/>
      <c r="AC2" s="871"/>
      <c r="AD2" s="871"/>
      <c r="AE2" s="871"/>
      <c r="AF2" s="871"/>
      <c r="AG2" s="871"/>
      <c r="AH2" s="871"/>
      <c r="AI2" s="871"/>
      <c r="AJ2" s="871"/>
      <c r="AK2" s="871"/>
      <c r="AL2" s="871"/>
      <c r="AM2" s="871"/>
      <c r="AN2" s="871"/>
      <c r="AO2" s="871"/>
      <c r="AP2" s="871"/>
      <c r="AQ2" s="871"/>
      <c r="AR2" s="871"/>
    </row>
    <row r="3" spans="1:72" s="433" customFormat="1" ht="15.75">
      <c r="A3" s="434"/>
      <c r="B3" s="434"/>
      <c r="C3" s="575"/>
      <c r="D3" s="575" t="s">
        <v>1822</v>
      </c>
      <c r="E3" s="576"/>
      <c r="F3" s="576"/>
      <c r="G3" s="576"/>
      <c r="H3" s="576"/>
      <c r="I3" s="575"/>
      <c r="J3" s="575"/>
      <c r="K3" s="575"/>
      <c r="L3" s="575"/>
      <c r="M3" s="575"/>
      <c r="N3" s="575"/>
      <c r="O3" s="575"/>
      <c r="P3" s="575"/>
      <c r="Q3" s="575"/>
      <c r="R3" s="575"/>
      <c r="S3" s="575"/>
      <c r="T3" s="575"/>
      <c r="U3" s="575"/>
      <c r="V3" s="575"/>
      <c r="W3" s="575"/>
      <c r="X3" s="575"/>
      <c r="Y3" s="575"/>
      <c r="Z3" s="575"/>
      <c r="AA3" s="575"/>
      <c r="AB3" s="575"/>
      <c r="AC3" s="575"/>
      <c r="AD3" s="575"/>
      <c r="AE3" s="575"/>
      <c r="AF3" s="575"/>
      <c r="AG3" s="575"/>
      <c r="AH3" s="575"/>
      <c r="AI3" s="575"/>
      <c r="AJ3" s="575"/>
      <c r="AK3" s="575"/>
      <c r="AL3" s="575"/>
      <c r="AM3" s="575"/>
      <c r="AN3" s="575"/>
      <c r="AO3" s="575"/>
      <c r="AP3" s="576"/>
      <c r="AQ3" s="576"/>
      <c r="AR3" s="576"/>
    </row>
    <row r="4" spans="1:72" s="433" customFormat="1" ht="15.75">
      <c r="A4" s="434"/>
      <c r="B4" s="434"/>
      <c r="C4" s="575"/>
      <c r="D4" s="575" t="s">
        <v>2218</v>
      </c>
      <c r="E4" s="576"/>
      <c r="F4" s="576"/>
      <c r="G4" s="576"/>
      <c r="H4" s="576"/>
      <c r="I4" s="575"/>
      <c r="J4" s="575"/>
      <c r="K4" s="575"/>
      <c r="L4" s="575"/>
      <c r="M4" s="575"/>
      <c r="N4" s="575"/>
      <c r="O4" s="575"/>
      <c r="P4" s="575"/>
      <c r="Q4" s="575"/>
      <c r="R4" s="575"/>
      <c r="S4" s="575"/>
      <c r="T4" s="575"/>
      <c r="U4" s="575"/>
      <c r="V4" s="575"/>
      <c r="W4" s="575"/>
      <c r="X4" s="575"/>
      <c r="Y4" s="575"/>
      <c r="Z4" s="575"/>
      <c r="AA4" s="575"/>
      <c r="AB4" s="575"/>
      <c r="AC4" s="575"/>
      <c r="AD4" s="575"/>
      <c r="AE4" s="575"/>
      <c r="AF4" s="575"/>
      <c r="AG4" s="575"/>
      <c r="AH4" s="575"/>
      <c r="AI4" s="575"/>
      <c r="AJ4" s="575"/>
      <c r="AK4" s="575"/>
      <c r="AL4" s="575"/>
      <c r="AM4" s="575"/>
      <c r="AN4" s="575"/>
      <c r="AO4" s="575"/>
      <c r="AP4" s="576"/>
      <c r="AQ4" s="576"/>
      <c r="AR4" s="576"/>
    </row>
    <row r="5" spans="1:72" s="433" customFormat="1" ht="15.75">
      <c r="A5" s="434"/>
      <c r="B5" s="434"/>
      <c r="C5" s="575"/>
      <c r="D5" s="575" t="s">
        <v>2219</v>
      </c>
      <c r="E5" s="576"/>
      <c r="F5" s="576"/>
      <c r="G5" s="675"/>
      <c r="H5" s="675"/>
      <c r="I5" s="434"/>
      <c r="J5" s="434"/>
      <c r="K5" s="436"/>
      <c r="L5" s="436"/>
      <c r="M5" s="436"/>
      <c r="N5" s="436"/>
      <c r="O5" s="436"/>
      <c r="P5" s="436"/>
      <c r="Q5" s="436"/>
      <c r="R5" s="436"/>
      <c r="S5" s="436"/>
      <c r="T5" s="436"/>
      <c r="U5" s="436"/>
      <c r="V5" s="436"/>
      <c r="W5" s="436"/>
      <c r="X5" s="436"/>
      <c r="Y5" s="436"/>
      <c r="Z5" s="436"/>
      <c r="AA5" s="436"/>
      <c r="AB5" s="436"/>
      <c r="AC5" s="436"/>
      <c r="AD5" s="436"/>
      <c r="AE5" s="436"/>
      <c r="AF5" s="436"/>
      <c r="AG5" s="436"/>
      <c r="AH5" s="436"/>
      <c r="AI5" s="436"/>
      <c r="AJ5" s="436"/>
      <c r="AK5" s="436"/>
      <c r="AL5" s="436"/>
      <c r="AM5" s="436"/>
      <c r="AN5" s="436"/>
      <c r="AO5" s="436"/>
      <c r="AP5" s="772"/>
      <c r="AQ5" s="772"/>
      <c r="AR5" s="772"/>
      <c r="AT5" s="437"/>
      <c r="AU5" s="437"/>
      <c r="AV5" s="437"/>
      <c r="AW5" s="437"/>
      <c r="AX5" s="437"/>
      <c r="AY5" s="437"/>
      <c r="AZ5" s="437"/>
      <c r="BA5" s="437"/>
      <c r="BB5" s="437"/>
      <c r="BC5" s="437"/>
      <c r="BD5" s="437"/>
      <c r="BE5" s="437"/>
      <c r="BF5" s="437"/>
      <c r="BG5" s="437"/>
      <c r="BH5" s="437"/>
      <c r="BI5" s="437"/>
      <c r="BJ5" s="437"/>
      <c r="BK5" s="437"/>
      <c r="BL5" s="437"/>
      <c r="BM5" s="437"/>
      <c r="BN5" s="437"/>
      <c r="BO5" s="437"/>
      <c r="BP5" s="437"/>
      <c r="BQ5" s="437"/>
      <c r="BR5" s="437"/>
      <c r="BS5" s="437"/>
      <c r="BT5" s="437"/>
    </row>
    <row r="6" spans="1:72" s="243" customFormat="1" ht="15.75" customHeight="1">
      <c r="A6" s="872" t="s">
        <v>5</v>
      </c>
      <c r="B6" s="872"/>
      <c r="C6" s="872"/>
      <c r="D6" s="873" t="s">
        <v>6</v>
      </c>
      <c r="E6" s="874" t="s">
        <v>7</v>
      </c>
      <c r="F6" s="872" t="s">
        <v>8</v>
      </c>
      <c r="G6" s="872" t="s">
        <v>9</v>
      </c>
      <c r="H6" s="872" t="s">
        <v>10</v>
      </c>
      <c r="I6" s="872" t="s">
        <v>11</v>
      </c>
      <c r="J6" s="872" t="s">
        <v>12</v>
      </c>
      <c r="K6" s="872" t="s">
        <v>13</v>
      </c>
      <c r="L6" s="876" t="s">
        <v>14</v>
      </c>
      <c r="M6" s="877"/>
      <c r="N6" s="877"/>
      <c r="O6" s="877"/>
      <c r="P6" s="877"/>
      <c r="Q6" s="877"/>
      <c r="R6" s="877"/>
      <c r="S6" s="877"/>
      <c r="T6" s="877"/>
      <c r="U6" s="877"/>
      <c r="V6" s="877"/>
      <c r="W6" s="877"/>
      <c r="X6" s="877"/>
      <c r="Y6" s="877"/>
      <c r="Z6" s="877"/>
      <c r="AA6" s="877"/>
      <c r="AB6" s="877"/>
      <c r="AC6" s="877"/>
      <c r="AD6" s="877"/>
      <c r="AE6" s="877"/>
      <c r="AF6" s="877"/>
      <c r="AG6" s="877"/>
      <c r="AH6" s="877"/>
      <c r="AI6" s="877"/>
      <c r="AJ6" s="878"/>
      <c r="AK6" s="872" t="s">
        <v>15</v>
      </c>
      <c r="AL6" s="872"/>
      <c r="AM6" s="872"/>
      <c r="AN6" s="872"/>
      <c r="AO6" s="872"/>
      <c r="AP6" s="872" t="s">
        <v>16</v>
      </c>
      <c r="AQ6" s="872" t="s">
        <v>17</v>
      </c>
      <c r="AR6" s="872" t="s">
        <v>18</v>
      </c>
    </row>
    <row r="7" spans="1:72" s="243" customFormat="1" ht="15.75">
      <c r="A7" s="872" t="s">
        <v>20</v>
      </c>
      <c r="B7" s="901" t="s">
        <v>21</v>
      </c>
      <c r="C7" s="872" t="s">
        <v>22</v>
      </c>
      <c r="D7" s="873"/>
      <c r="E7" s="874"/>
      <c r="F7" s="872"/>
      <c r="G7" s="872"/>
      <c r="H7" s="872"/>
      <c r="I7" s="872"/>
      <c r="J7" s="872"/>
      <c r="K7" s="872"/>
      <c r="L7" s="875" t="s">
        <v>23</v>
      </c>
      <c r="M7" s="875"/>
      <c r="N7" s="875"/>
      <c r="O7" s="875"/>
      <c r="P7" s="875"/>
      <c r="Q7" s="875"/>
      <c r="R7" s="875" t="s">
        <v>24</v>
      </c>
      <c r="S7" s="875"/>
      <c r="T7" s="875"/>
      <c r="U7" s="875"/>
      <c r="V7" s="875"/>
      <c r="W7" s="875"/>
      <c r="X7" s="875" t="s">
        <v>25</v>
      </c>
      <c r="Y7" s="875"/>
      <c r="Z7" s="875"/>
      <c r="AA7" s="875"/>
      <c r="AB7" s="875"/>
      <c r="AC7" s="875"/>
      <c r="AD7" s="875" t="s">
        <v>26</v>
      </c>
      <c r="AE7" s="875"/>
      <c r="AF7" s="875"/>
      <c r="AG7" s="875"/>
      <c r="AH7" s="875"/>
      <c r="AI7" s="875"/>
      <c r="AJ7" s="874" t="s">
        <v>162</v>
      </c>
      <c r="AK7" s="872" t="s">
        <v>28</v>
      </c>
      <c r="AL7" s="872" t="s">
        <v>29</v>
      </c>
      <c r="AM7" s="872" t="s">
        <v>30</v>
      </c>
      <c r="AN7" s="872" t="s">
        <v>163</v>
      </c>
      <c r="AO7" s="872" t="s">
        <v>32</v>
      </c>
      <c r="AP7" s="872"/>
      <c r="AQ7" s="872"/>
      <c r="AR7" s="872"/>
    </row>
    <row r="8" spans="1:72" s="243" customFormat="1" ht="15.75">
      <c r="A8" s="872"/>
      <c r="B8" s="901"/>
      <c r="C8" s="872"/>
      <c r="D8" s="873"/>
      <c r="E8" s="874"/>
      <c r="F8" s="872"/>
      <c r="G8" s="872"/>
      <c r="H8" s="872"/>
      <c r="I8" s="872"/>
      <c r="J8" s="872"/>
      <c r="K8" s="872"/>
      <c r="L8" s="875" t="s">
        <v>33</v>
      </c>
      <c r="M8" s="875"/>
      <c r="N8" s="875"/>
      <c r="O8" s="875" t="s">
        <v>34</v>
      </c>
      <c r="P8" s="875"/>
      <c r="Q8" s="875"/>
      <c r="R8" s="875" t="s">
        <v>33</v>
      </c>
      <c r="S8" s="875"/>
      <c r="T8" s="875"/>
      <c r="U8" s="875" t="s">
        <v>34</v>
      </c>
      <c r="V8" s="875"/>
      <c r="W8" s="875"/>
      <c r="X8" s="875" t="s">
        <v>33</v>
      </c>
      <c r="Y8" s="875"/>
      <c r="Z8" s="875"/>
      <c r="AA8" s="875" t="s">
        <v>34</v>
      </c>
      <c r="AB8" s="875"/>
      <c r="AC8" s="875"/>
      <c r="AD8" s="875" t="s">
        <v>33</v>
      </c>
      <c r="AE8" s="875"/>
      <c r="AF8" s="875"/>
      <c r="AG8" s="875" t="s">
        <v>34</v>
      </c>
      <c r="AH8" s="875"/>
      <c r="AI8" s="875"/>
      <c r="AJ8" s="874"/>
      <c r="AK8" s="872"/>
      <c r="AL8" s="872"/>
      <c r="AM8" s="872"/>
      <c r="AN8" s="872"/>
      <c r="AO8" s="872"/>
      <c r="AP8" s="872"/>
      <c r="AQ8" s="872"/>
      <c r="AR8" s="872"/>
    </row>
    <row r="9" spans="1:72" s="243" customFormat="1" ht="15.75">
      <c r="A9" s="872"/>
      <c r="B9" s="901"/>
      <c r="C9" s="872"/>
      <c r="D9" s="873"/>
      <c r="E9" s="874"/>
      <c r="F9" s="872"/>
      <c r="G9" s="872"/>
      <c r="H9" s="872"/>
      <c r="I9" s="872"/>
      <c r="J9" s="872"/>
      <c r="K9" s="872"/>
      <c r="L9" s="244" t="s">
        <v>35</v>
      </c>
      <c r="M9" s="244" t="s">
        <v>36</v>
      </c>
      <c r="N9" s="244" t="s">
        <v>37</v>
      </c>
      <c r="O9" s="244" t="s">
        <v>35</v>
      </c>
      <c r="P9" s="244" t="s">
        <v>36</v>
      </c>
      <c r="Q9" s="244" t="s">
        <v>37</v>
      </c>
      <c r="R9" s="244" t="s">
        <v>38</v>
      </c>
      <c r="S9" s="244" t="s">
        <v>37</v>
      </c>
      <c r="T9" s="244" t="s">
        <v>39</v>
      </c>
      <c r="U9" s="244" t="s">
        <v>38</v>
      </c>
      <c r="V9" s="244" t="s">
        <v>37</v>
      </c>
      <c r="W9" s="244" t="s">
        <v>39</v>
      </c>
      <c r="X9" s="244" t="s">
        <v>39</v>
      </c>
      <c r="Y9" s="244" t="s">
        <v>38</v>
      </c>
      <c r="Z9" s="244" t="s">
        <v>40</v>
      </c>
      <c r="AA9" s="244" t="s">
        <v>39</v>
      </c>
      <c r="AB9" s="244" t="s">
        <v>38</v>
      </c>
      <c r="AC9" s="244" t="s">
        <v>40</v>
      </c>
      <c r="AD9" s="244" t="s">
        <v>41</v>
      </c>
      <c r="AE9" s="244" t="s">
        <v>42</v>
      </c>
      <c r="AF9" s="244" t="s">
        <v>43</v>
      </c>
      <c r="AG9" s="244" t="s">
        <v>41</v>
      </c>
      <c r="AH9" s="244" t="s">
        <v>42</v>
      </c>
      <c r="AI9" s="244" t="s">
        <v>43</v>
      </c>
      <c r="AJ9" s="874"/>
      <c r="AK9" s="872"/>
      <c r="AL9" s="872"/>
      <c r="AM9" s="872"/>
      <c r="AN9" s="872"/>
      <c r="AO9" s="872"/>
      <c r="AP9" s="872"/>
      <c r="AQ9" s="872"/>
      <c r="AR9" s="872"/>
    </row>
    <row r="10" spans="1:72" s="433" customFormat="1" ht="110.25">
      <c r="A10" s="471" t="s">
        <v>147</v>
      </c>
      <c r="B10" s="471" t="s">
        <v>274</v>
      </c>
      <c r="C10" s="471" t="s">
        <v>2220</v>
      </c>
      <c r="D10" s="472" t="s">
        <v>2221</v>
      </c>
      <c r="E10" s="475"/>
      <c r="F10" s="475"/>
      <c r="G10" s="676"/>
      <c r="H10" s="676"/>
      <c r="I10" s="475">
        <f>+AJ10/AJ$29*100</f>
        <v>22.765142985814006</v>
      </c>
      <c r="J10" s="475">
        <f>AJ10/AJ$29*100</f>
        <v>22.765142985814006</v>
      </c>
      <c r="K10" s="475"/>
      <c r="L10" s="478"/>
      <c r="M10" s="478"/>
      <c r="N10" s="478"/>
      <c r="O10" s="478"/>
      <c r="P10" s="478"/>
      <c r="Q10" s="478"/>
      <c r="R10" s="478"/>
      <c r="S10" s="478"/>
      <c r="T10" s="478"/>
      <c r="U10" s="478"/>
      <c r="V10" s="478"/>
      <c r="W10" s="478"/>
      <c r="X10" s="478"/>
      <c r="Y10" s="478"/>
      <c r="Z10" s="478"/>
      <c r="AA10" s="478"/>
      <c r="AB10" s="478">
        <f>SUM(AB11)</f>
        <v>60660</v>
      </c>
      <c r="AC10" s="478"/>
      <c r="AD10" s="478"/>
      <c r="AE10" s="478"/>
      <c r="AF10" s="478"/>
      <c r="AG10" s="478"/>
      <c r="AH10" s="478"/>
      <c r="AI10" s="478"/>
      <c r="AJ10" s="478">
        <f>SUM(AJ11)</f>
        <v>60660</v>
      </c>
      <c r="AK10" s="478">
        <f>+AJ10</f>
        <v>60660</v>
      </c>
      <c r="AL10" s="478"/>
      <c r="AM10" s="478"/>
      <c r="AN10" s="478"/>
      <c r="AO10" s="478"/>
      <c r="AP10" s="472" t="s">
        <v>1069</v>
      </c>
      <c r="AQ10" s="472"/>
      <c r="AR10" s="472"/>
      <c r="AS10" s="677">
        <f>SUM(L10,M10,N10,R10,S10,T10,X10,Y10,Z10,AD10,AE10,AF10)-E10</f>
        <v>0</v>
      </c>
      <c r="AT10" s="677">
        <f>SUM(O10,P10,Q10,U10,V10,W10,AA10,AB10,AC10,AG10,AH10,AI10)-AJ10</f>
        <v>0</v>
      </c>
      <c r="AU10" s="677">
        <f>SUM(AK10,AL10,AM10,AN10,AO10)-AJ10</f>
        <v>0</v>
      </c>
      <c r="AV10" s="678"/>
      <c r="AW10" s="678"/>
      <c r="AX10" s="678"/>
      <c r="AY10" s="678"/>
      <c r="AZ10" s="678"/>
      <c r="BA10" s="678"/>
      <c r="BB10" s="678"/>
      <c r="BC10" s="678"/>
      <c r="BD10" s="678"/>
      <c r="BE10" s="678"/>
      <c r="BF10" s="678"/>
      <c r="BG10" s="678"/>
      <c r="BH10" s="678"/>
      <c r="BI10" s="460" t="b">
        <f>EXACT(A10,'[7]POA 2015 ODC'!C10)</f>
        <v>1</v>
      </c>
      <c r="BJ10" s="460" t="b">
        <f>EXACT(B10,'[7]POA 2015 ODC'!D10)</f>
        <v>1</v>
      </c>
      <c r="BK10" s="460" t="b">
        <f>EXACT(C10,'[7]POA 2015 ODC'!E10)</f>
        <v>1</v>
      </c>
      <c r="BL10" s="460" t="b">
        <f>EXACT(D10,'[7]POA 2015 ODC'!F10)</f>
        <v>1</v>
      </c>
      <c r="BM10" s="460" t="b">
        <f>EXACT(E10,'[7]POA 2015 ODC'!G10)</f>
        <v>1</v>
      </c>
      <c r="BN10" s="460" t="b">
        <f>EXACT(F10,'[7]POA 2015 ODC'!H10)</f>
        <v>1</v>
      </c>
      <c r="BO10" s="460" t="b">
        <f>EXACT(G10,'[7]POA 2015 ODC'!I10)</f>
        <v>1</v>
      </c>
      <c r="BP10" s="460" t="b">
        <f>EXACT(H10,'[7]POA 2015 ODC'!J10)</f>
        <v>1</v>
      </c>
    </row>
    <row r="11" spans="1:72" s="433" customFormat="1" ht="63">
      <c r="A11" s="480" t="s">
        <v>147</v>
      </c>
      <c r="B11" s="480" t="s">
        <v>274</v>
      </c>
      <c r="C11" s="480" t="s">
        <v>2222</v>
      </c>
      <c r="D11" s="679" t="s">
        <v>2223</v>
      </c>
      <c r="E11" s="451">
        <f>SUM(L11,M11,N11,R11,S11,T11,X11,Y11,Z11,AD11,AE11,AF130,AF11)</f>
        <v>1</v>
      </c>
      <c r="F11" s="451" t="s">
        <v>963</v>
      </c>
      <c r="G11" s="679" t="s">
        <v>2224</v>
      </c>
      <c r="H11" s="679" t="s">
        <v>2225</v>
      </c>
      <c r="I11" s="451">
        <f>+AJ11/AJ10*100</f>
        <v>100</v>
      </c>
      <c r="J11" s="451"/>
      <c r="K11" s="451">
        <f>+I11</f>
        <v>100</v>
      </c>
      <c r="L11" s="517"/>
      <c r="M11" s="517"/>
      <c r="N11" s="517"/>
      <c r="O11" s="517"/>
      <c r="P11" s="517"/>
      <c r="Q11" s="517"/>
      <c r="R11" s="517"/>
      <c r="S11" s="517"/>
      <c r="T11" s="517"/>
      <c r="U11" s="517"/>
      <c r="V11" s="517"/>
      <c r="W11" s="517"/>
      <c r="X11" s="517"/>
      <c r="Y11" s="517">
        <v>1</v>
      </c>
      <c r="Z11" s="517"/>
      <c r="AA11" s="517"/>
      <c r="AB11" s="517">
        <v>60660</v>
      </c>
      <c r="AC11" s="517"/>
      <c r="AD11" s="517"/>
      <c r="AE11" s="517"/>
      <c r="AF11" s="517"/>
      <c r="AG11" s="517"/>
      <c r="AH11" s="517"/>
      <c r="AI11" s="517"/>
      <c r="AJ11" s="517">
        <f>SUM(O11,P11,Q11,U11,V11,W11,AA11,AB11,AC11,AG11,AH11,AI11)</f>
        <v>60660</v>
      </c>
      <c r="AK11" s="591">
        <f>+AJ11</f>
        <v>60660</v>
      </c>
      <c r="AL11" s="517"/>
      <c r="AM11" s="517"/>
      <c r="AN11" s="517"/>
      <c r="AO11" s="517"/>
      <c r="AP11" s="460" t="s">
        <v>1069</v>
      </c>
      <c r="AQ11" s="460" t="s">
        <v>2226</v>
      </c>
      <c r="AR11" s="460"/>
      <c r="AS11" s="677">
        <f>SUM(L11,M11,N11,R11,S11,T11,X11,Y11,Z11,AD11,AE11,AF11)-E11</f>
        <v>0</v>
      </c>
      <c r="AT11" s="677">
        <f>SUM(O11,P11,Q11,U11,V11,W11,AA11,AB11,AC11,AG11,AH11,AI11)-AJ11</f>
        <v>0</v>
      </c>
      <c r="AU11" s="677">
        <f>SUM(AK11,AL11,AM11,AN11,AO11)-AJ11</f>
        <v>0</v>
      </c>
      <c r="AV11" s="821" t="b">
        <f>EXACT(L11&gt;0,O11&gt;0)</f>
        <v>1</v>
      </c>
      <c r="AW11" s="821" t="b">
        <f>EXACT(M11&gt;0,P11&gt;0)</f>
        <v>1</v>
      </c>
      <c r="AX11" s="821" t="b">
        <f>EXACT(N11&gt;0,Q11&gt;0)</f>
        <v>1</v>
      </c>
      <c r="AY11" s="821" t="b">
        <f>EXACT(R11&gt;0,U11&gt;0)</f>
        <v>1</v>
      </c>
      <c r="AZ11" s="821" t="b">
        <f>EXACT(S11&gt;0,V11&gt;0)</f>
        <v>1</v>
      </c>
      <c r="BA11" s="821" t="b">
        <f>EXACT(T11&gt;0,W11&gt;0)</f>
        <v>1</v>
      </c>
      <c r="BB11" s="821" t="b">
        <f>EXACT(X11&gt;0,AA11&gt;0)</f>
        <v>1</v>
      </c>
      <c r="BC11" s="821" t="b">
        <f>EXACT(Y11&gt;0,AB11&gt;0)</f>
        <v>1</v>
      </c>
      <c r="BD11" s="821" t="b">
        <f>EXACT(Z11&gt;0,AC11&gt;0)</f>
        <v>1</v>
      </c>
      <c r="BE11" s="821" t="b">
        <f>EXACT(AD11&gt;0,AG11&gt;0)</f>
        <v>1</v>
      </c>
      <c r="BF11" s="821" t="b">
        <f>EXACT(AE11&gt;0,AH11&gt;0)</f>
        <v>1</v>
      </c>
      <c r="BG11" s="821" t="b">
        <f>EXACT(AF11&gt;0,AI11&gt;0)</f>
        <v>1</v>
      </c>
      <c r="BH11" s="821" t="b">
        <f>EXACT(E11&gt;0,AJ11&gt;0)</f>
        <v>1</v>
      </c>
      <c r="BI11" s="460" t="b">
        <f>EXACT(A11,'[7]POA 2015 ODC'!C11)</f>
        <v>1</v>
      </c>
      <c r="BJ11" s="460" t="b">
        <f>EXACT(B11,'[7]POA 2015 ODC'!D11)</f>
        <v>1</v>
      </c>
      <c r="BK11" s="460" t="b">
        <f>EXACT(C11,'[7]POA 2015 ODC'!E11)</f>
        <v>1</v>
      </c>
      <c r="BL11" s="460" t="b">
        <f>EXACT(D11,'[7]POA 2015 ODC'!F11)</f>
        <v>1</v>
      </c>
      <c r="BM11" s="460" t="b">
        <f>EXACT(E11,'[7]POA 2015 ODC'!G11)</f>
        <v>1</v>
      </c>
      <c r="BN11" s="460" t="b">
        <f>EXACT(F11,'[7]POA 2015 ODC'!H11)</f>
        <v>1</v>
      </c>
      <c r="BO11" s="460" t="b">
        <f>EXACT(G11,'[7]POA 2015 ODC'!I11)</f>
        <v>1</v>
      </c>
      <c r="BP11" s="460" t="b">
        <f>EXACT(H11,'[7]POA 2015 ODC'!J11)</f>
        <v>1</v>
      </c>
    </row>
    <row r="12" spans="1:72" s="433" customFormat="1" ht="63">
      <c r="A12" s="471" t="s">
        <v>285</v>
      </c>
      <c r="B12" s="471" t="s">
        <v>1840</v>
      </c>
      <c r="C12" s="471" t="s">
        <v>2227</v>
      </c>
      <c r="D12" s="472" t="s">
        <v>2228</v>
      </c>
      <c r="E12" s="475"/>
      <c r="F12" s="475"/>
      <c r="G12" s="676"/>
      <c r="H12" s="676"/>
      <c r="I12" s="475">
        <f>+AJ12/AJ$29*100</f>
        <v>77.234857014185991</v>
      </c>
      <c r="J12" s="475">
        <f>AJ12/AJ$29*100</f>
        <v>77.234857014185991</v>
      </c>
      <c r="K12" s="475"/>
      <c r="L12" s="478"/>
      <c r="M12" s="478"/>
      <c r="N12" s="478"/>
      <c r="O12" s="478">
        <f>SUM(O13:O28)</f>
        <v>17150</v>
      </c>
      <c r="P12" s="478">
        <f t="shared" ref="P12:Q12" si="0">SUM(P13:P28)</f>
        <v>17150</v>
      </c>
      <c r="Q12" s="478">
        <f t="shared" si="0"/>
        <v>17150</v>
      </c>
      <c r="R12" s="478"/>
      <c r="S12" s="478"/>
      <c r="T12" s="478"/>
      <c r="U12" s="478">
        <f t="shared" ref="U12:W12" si="1">SUM(U13:U28)</f>
        <v>17150</v>
      </c>
      <c r="V12" s="478">
        <f t="shared" si="1"/>
        <v>17150</v>
      </c>
      <c r="W12" s="478">
        <f t="shared" si="1"/>
        <v>17150</v>
      </c>
      <c r="X12" s="478"/>
      <c r="Y12" s="478"/>
      <c r="Z12" s="478"/>
      <c r="AA12" s="478">
        <f t="shared" ref="AA12:AC12" si="2">SUM(AA13:AA28)</f>
        <v>17150</v>
      </c>
      <c r="AB12" s="478">
        <f t="shared" si="2"/>
        <v>17150</v>
      </c>
      <c r="AC12" s="478">
        <f t="shared" si="2"/>
        <v>17150</v>
      </c>
      <c r="AD12" s="478"/>
      <c r="AE12" s="478"/>
      <c r="AF12" s="478"/>
      <c r="AG12" s="478">
        <f t="shared" ref="AG12:AI12" si="3">SUM(AG13:AG28)</f>
        <v>17150</v>
      </c>
      <c r="AH12" s="478">
        <f t="shared" si="3"/>
        <v>17150</v>
      </c>
      <c r="AI12" s="478">
        <f t="shared" si="3"/>
        <v>17150</v>
      </c>
      <c r="AJ12" s="478">
        <f>SUM(AJ13:AJ28)</f>
        <v>205800</v>
      </c>
      <c r="AK12" s="478">
        <f>+AJ12</f>
        <v>205800</v>
      </c>
      <c r="AL12" s="478"/>
      <c r="AM12" s="478"/>
      <c r="AN12" s="478"/>
      <c r="AO12" s="478"/>
      <c r="AP12" s="472" t="s">
        <v>1069</v>
      </c>
      <c r="AQ12" s="472"/>
      <c r="AR12" s="472"/>
      <c r="AS12" s="677">
        <f t="shared" ref="AS12:AS29" si="4">SUM(L12,M12,N12,R12,S12,T12,X12,Y12,Z12,AD12,AE12,AF12)-E12</f>
        <v>0</v>
      </c>
      <c r="AT12" s="677">
        <f t="shared" ref="AT12:AT29" si="5">SUM(O12,P12,Q12,U12,V12,W12,AA12,AB12,AC12,AG12,AH12,AI12)-AJ12</f>
        <v>0</v>
      </c>
      <c r="AU12" s="677">
        <f t="shared" ref="AU12:AU29" si="6">SUM(AK12,AL12,AM12,AN12,AO12)-AJ12</f>
        <v>0</v>
      </c>
      <c r="AV12" s="821"/>
      <c r="AW12" s="821"/>
      <c r="AX12" s="821"/>
      <c r="AY12" s="821"/>
      <c r="AZ12" s="821"/>
      <c r="BA12" s="821"/>
      <c r="BB12" s="821"/>
      <c r="BC12" s="821"/>
      <c r="BD12" s="821"/>
      <c r="BE12" s="821"/>
      <c r="BF12" s="821"/>
      <c r="BG12" s="821"/>
      <c r="BH12" s="821"/>
      <c r="BI12" s="460" t="b">
        <f>EXACT(A12,'[7]POA 2015 ODC'!C12)</f>
        <v>1</v>
      </c>
      <c r="BJ12" s="460" t="b">
        <f>EXACT(B12,'[7]POA 2015 ODC'!D12)</f>
        <v>1</v>
      </c>
      <c r="BK12" s="460" t="b">
        <f>EXACT(C12,'[7]POA 2015 ODC'!E12)</f>
        <v>1</v>
      </c>
      <c r="BL12" s="460" t="b">
        <f>EXACT(D12,'[7]POA 2015 ODC'!F12)</f>
        <v>1</v>
      </c>
      <c r="BM12" s="460" t="b">
        <f>EXACT(E12,'[7]POA 2015 ODC'!G12)</f>
        <v>1</v>
      </c>
      <c r="BN12" s="460" t="b">
        <f>EXACT(F12,'[7]POA 2015 ODC'!H12)</f>
        <v>1</v>
      </c>
      <c r="BO12" s="460" t="b">
        <f>EXACT(G12,'[7]POA 2015 ODC'!I12)</f>
        <v>1</v>
      </c>
      <c r="BP12" s="460" t="b">
        <f>EXACT(H12,'[7]POA 2015 ODC'!J12)</f>
        <v>1</v>
      </c>
    </row>
    <row r="13" spans="1:72" s="433" customFormat="1" ht="47.25">
      <c r="A13" s="457" t="s">
        <v>285</v>
      </c>
      <c r="B13" s="457" t="s">
        <v>1840</v>
      </c>
      <c r="C13" s="457" t="s">
        <v>2229</v>
      </c>
      <c r="D13" s="449" t="s">
        <v>2230</v>
      </c>
      <c r="E13" s="451">
        <f>SUM(L13,M13,N13,R13,S13,T13,X13,Y13,Z13,AD13,AE13,AF132,AF13)</f>
        <v>56</v>
      </c>
      <c r="F13" s="451" t="s">
        <v>196</v>
      </c>
      <c r="G13" s="449" t="s">
        <v>2231</v>
      </c>
      <c r="H13" s="449" t="s">
        <v>2232</v>
      </c>
      <c r="I13" s="451">
        <v>13</v>
      </c>
      <c r="J13" s="451"/>
      <c r="K13" s="451">
        <v>13</v>
      </c>
      <c r="L13" s="517">
        <v>4</v>
      </c>
      <c r="M13" s="517">
        <v>4</v>
      </c>
      <c r="N13" s="517">
        <v>4</v>
      </c>
      <c r="O13" s="517">
        <v>2500</v>
      </c>
      <c r="P13" s="517">
        <v>2500</v>
      </c>
      <c r="Q13" s="517">
        <v>2500</v>
      </c>
      <c r="R13" s="517">
        <v>5</v>
      </c>
      <c r="S13" s="517">
        <v>5</v>
      </c>
      <c r="T13" s="517">
        <v>5</v>
      </c>
      <c r="U13" s="517">
        <v>2500</v>
      </c>
      <c r="V13" s="517">
        <v>2500</v>
      </c>
      <c r="W13" s="517">
        <v>2500</v>
      </c>
      <c r="X13" s="517">
        <v>5</v>
      </c>
      <c r="Y13" s="517">
        <v>5</v>
      </c>
      <c r="Z13" s="517">
        <v>5</v>
      </c>
      <c r="AA13" s="517">
        <v>2500</v>
      </c>
      <c r="AB13" s="517">
        <v>2500</v>
      </c>
      <c r="AC13" s="517">
        <v>2500</v>
      </c>
      <c r="AD13" s="517">
        <v>5</v>
      </c>
      <c r="AE13" s="517">
        <v>5</v>
      </c>
      <c r="AF13" s="517">
        <v>4</v>
      </c>
      <c r="AG13" s="517">
        <v>2500</v>
      </c>
      <c r="AH13" s="517">
        <v>2500</v>
      </c>
      <c r="AI13" s="517">
        <v>2500</v>
      </c>
      <c r="AJ13" s="517">
        <f t="shared" ref="AJ13:AJ21" si="7">SUM(O13,P13,Q13,U13,V13,W13,AA13,AB13,AC13,AG13,AH13,AI13)</f>
        <v>30000</v>
      </c>
      <c r="AK13" s="680">
        <f>+AJ13</f>
        <v>30000</v>
      </c>
      <c r="AL13" s="517"/>
      <c r="AM13" s="517"/>
      <c r="AN13" s="517"/>
      <c r="AO13" s="517"/>
      <c r="AP13" s="460" t="s">
        <v>1069</v>
      </c>
      <c r="AQ13" s="460" t="s">
        <v>2233</v>
      </c>
      <c r="AR13" s="460"/>
      <c r="AS13" s="677">
        <f t="shared" si="4"/>
        <v>0</v>
      </c>
      <c r="AT13" s="677">
        <f t="shared" si="5"/>
        <v>0</v>
      </c>
      <c r="AU13" s="677">
        <f t="shared" si="6"/>
        <v>0</v>
      </c>
      <c r="AV13" s="821" t="b">
        <f t="shared" ref="AV13:AX28" si="8">EXACT(L13&gt;0,O13&gt;0)</f>
        <v>1</v>
      </c>
      <c r="AW13" s="821" t="b">
        <f t="shared" si="8"/>
        <v>1</v>
      </c>
      <c r="AX13" s="821" t="b">
        <f t="shared" si="8"/>
        <v>1</v>
      </c>
      <c r="AY13" s="821" t="b">
        <f t="shared" ref="AY13:BA28" si="9">EXACT(R13&gt;0,U13&gt;0)</f>
        <v>1</v>
      </c>
      <c r="AZ13" s="821" t="b">
        <f t="shared" si="9"/>
        <v>1</v>
      </c>
      <c r="BA13" s="821" t="b">
        <f t="shared" si="9"/>
        <v>1</v>
      </c>
      <c r="BB13" s="821" t="b">
        <f t="shared" ref="BB13:BD28" si="10">EXACT(X13&gt;0,AA13&gt;0)</f>
        <v>1</v>
      </c>
      <c r="BC13" s="821" t="b">
        <f t="shared" si="10"/>
        <v>1</v>
      </c>
      <c r="BD13" s="821" t="b">
        <f t="shared" si="10"/>
        <v>1</v>
      </c>
      <c r="BE13" s="821" t="b">
        <f t="shared" ref="BE13:BG28" si="11">EXACT(AD13&gt;0,AG13&gt;0)</f>
        <v>1</v>
      </c>
      <c r="BF13" s="821" t="b">
        <f t="shared" si="11"/>
        <v>1</v>
      </c>
      <c r="BG13" s="821" t="b">
        <f t="shared" si="11"/>
        <v>1</v>
      </c>
      <c r="BH13" s="821" t="b">
        <f t="shared" ref="BH13:BH28" si="12">EXACT(E13&gt;0,AJ13&gt;0)</f>
        <v>1</v>
      </c>
      <c r="BI13" s="460" t="b">
        <f>EXACT(A13,'[7]POA 2015 ODC'!C13)</f>
        <v>1</v>
      </c>
      <c r="BJ13" s="460" t="b">
        <f>EXACT(B13,'[7]POA 2015 ODC'!D13)</f>
        <v>1</v>
      </c>
      <c r="BK13" s="460" t="b">
        <f>EXACT(C13,'[7]POA 2015 ODC'!E13)</f>
        <v>1</v>
      </c>
      <c r="BL13" s="460" t="b">
        <f>EXACT(D13,'[7]POA 2015 ODC'!F13)</f>
        <v>1</v>
      </c>
      <c r="BM13" s="460" t="b">
        <f>EXACT(E13,'[7]POA 2015 ODC'!G13)</f>
        <v>1</v>
      </c>
      <c r="BN13" s="460" t="b">
        <f>EXACT(F13,'[7]POA 2015 ODC'!H13)</f>
        <v>1</v>
      </c>
      <c r="BO13" s="460" t="b">
        <f>EXACT(G13,'[7]POA 2015 ODC'!I13)</f>
        <v>1</v>
      </c>
      <c r="BP13" s="460" t="b">
        <f>EXACT(H13,'[7]POA 2015 ODC'!J13)</f>
        <v>1</v>
      </c>
    </row>
    <row r="14" spans="1:72" s="433" customFormat="1" ht="126">
      <c r="A14" s="457" t="s">
        <v>285</v>
      </c>
      <c r="B14" s="457" t="s">
        <v>1840</v>
      </c>
      <c r="C14" s="457" t="s">
        <v>2234</v>
      </c>
      <c r="D14" s="460" t="s">
        <v>2235</v>
      </c>
      <c r="E14" s="451">
        <f>SUM(L14,M14,N14,R14,S14,T14,X14,Y14,Z14,AD14,AE14,AF133,AF14)</f>
        <v>36</v>
      </c>
      <c r="F14" s="451" t="s">
        <v>2236</v>
      </c>
      <c r="G14" s="460" t="s">
        <v>2237</v>
      </c>
      <c r="H14" s="449" t="s">
        <v>2238</v>
      </c>
      <c r="I14" s="451"/>
      <c r="J14" s="451"/>
      <c r="K14" s="451"/>
      <c r="L14" s="517">
        <v>3</v>
      </c>
      <c r="M14" s="517">
        <v>3</v>
      </c>
      <c r="N14" s="517">
        <v>3</v>
      </c>
      <c r="O14" s="517">
        <v>1000</v>
      </c>
      <c r="P14" s="517">
        <v>1000</v>
      </c>
      <c r="Q14" s="517">
        <v>1000</v>
      </c>
      <c r="R14" s="517">
        <v>3</v>
      </c>
      <c r="S14" s="517">
        <v>3</v>
      </c>
      <c r="T14" s="517">
        <v>3</v>
      </c>
      <c r="U14" s="517">
        <v>1000</v>
      </c>
      <c r="V14" s="517">
        <v>1000</v>
      </c>
      <c r="W14" s="517">
        <v>1000</v>
      </c>
      <c r="X14" s="517">
        <v>3</v>
      </c>
      <c r="Y14" s="517">
        <v>3</v>
      </c>
      <c r="Z14" s="517">
        <v>3</v>
      </c>
      <c r="AA14" s="517">
        <v>1000</v>
      </c>
      <c r="AB14" s="517">
        <v>1000</v>
      </c>
      <c r="AC14" s="517">
        <v>1000</v>
      </c>
      <c r="AD14" s="517">
        <v>3</v>
      </c>
      <c r="AE14" s="517">
        <v>3</v>
      </c>
      <c r="AF14" s="517">
        <v>3</v>
      </c>
      <c r="AG14" s="517">
        <v>1000</v>
      </c>
      <c r="AH14" s="517">
        <v>1000</v>
      </c>
      <c r="AI14" s="517">
        <v>1000</v>
      </c>
      <c r="AJ14" s="517">
        <f t="shared" si="7"/>
        <v>12000</v>
      </c>
      <c r="AK14" s="680">
        <f t="shared" ref="AK14:AK21" si="13">+AJ14</f>
        <v>12000</v>
      </c>
      <c r="AL14" s="517"/>
      <c r="AM14" s="517"/>
      <c r="AN14" s="517"/>
      <c r="AO14" s="517"/>
      <c r="AP14" s="460" t="s">
        <v>1069</v>
      </c>
      <c r="AQ14" s="460" t="s">
        <v>2239</v>
      </c>
      <c r="AR14" s="460"/>
      <c r="AS14" s="677">
        <f t="shared" si="4"/>
        <v>0</v>
      </c>
      <c r="AT14" s="677">
        <f t="shared" si="5"/>
        <v>0</v>
      </c>
      <c r="AU14" s="677">
        <f t="shared" si="6"/>
        <v>0</v>
      </c>
      <c r="AV14" s="821" t="b">
        <f t="shared" si="8"/>
        <v>1</v>
      </c>
      <c r="AW14" s="821" t="b">
        <f t="shared" si="8"/>
        <v>1</v>
      </c>
      <c r="AX14" s="821" t="b">
        <f t="shared" si="8"/>
        <v>1</v>
      </c>
      <c r="AY14" s="821" t="b">
        <f t="shared" si="9"/>
        <v>1</v>
      </c>
      <c r="AZ14" s="821" t="b">
        <f t="shared" si="9"/>
        <v>1</v>
      </c>
      <c r="BA14" s="821" t="b">
        <f t="shared" si="9"/>
        <v>1</v>
      </c>
      <c r="BB14" s="821" t="b">
        <f t="shared" si="10"/>
        <v>1</v>
      </c>
      <c r="BC14" s="821" t="b">
        <f t="shared" si="10"/>
        <v>1</v>
      </c>
      <c r="BD14" s="821" t="b">
        <f t="shared" si="10"/>
        <v>1</v>
      </c>
      <c r="BE14" s="821" t="b">
        <f t="shared" si="11"/>
        <v>1</v>
      </c>
      <c r="BF14" s="821" t="b">
        <f t="shared" si="11"/>
        <v>1</v>
      </c>
      <c r="BG14" s="821" t="b">
        <f t="shared" si="11"/>
        <v>1</v>
      </c>
      <c r="BH14" s="821" t="b">
        <f t="shared" si="12"/>
        <v>1</v>
      </c>
      <c r="BI14" s="460" t="b">
        <f>EXACT(A14,'[7]POA 2015 ODC'!C14)</f>
        <v>1</v>
      </c>
      <c r="BJ14" s="460" t="b">
        <f>EXACT(B14,'[7]POA 2015 ODC'!D14)</f>
        <v>1</v>
      </c>
      <c r="BK14" s="460" t="b">
        <f>EXACT(C14,'[7]POA 2015 ODC'!E14)</f>
        <v>1</v>
      </c>
      <c r="BL14" s="460" t="b">
        <f>EXACT(D14,'[7]POA 2015 ODC'!F14)</f>
        <v>1</v>
      </c>
      <c r="BM14" s="460" t="b">
        <f>EXACT(E14,'[7]POA 2015 ODC'!G14)</f>
        <v>1</v>
      </c>
      <c r="BN14" s="460" t="b">
        <f>EXACT(F14,'[7]POA 2015 ODC'!H14)</f>
        <v>1</v>
      </c>
      <c r="BO14" s="460" t="b">
        <f>EXACT(G14,'[7]POA 2015 ODC'!I14)</f>
        <v>1</v>
      </c>
      <c r="BP14" s="460" t="b">
        <f>EXACT(H14,'[7]POA 2015 ODC'!J14)</f>
        <v>1</v>
      </c>
    </row>
    <row r="15" spans="1:72" s="433" customFormat="1" ht="94.5">
      <c r="A15" s="457" t="s">
        <v>285</v>
      </c>
      <c r="B15" s="457" t="s">
        <v>1840</v>
      </c>
      <c r="C15" s="457" t="s">
        <v>2240</v>
      </c>
      <c r="D15" s="460" t="s">
        <v>2241</v>
      </c>
      <c r="E15" s="451">
        <f>SUM(L15,M15,N15,R15,S15,T15,X15,Y15,Z15,AD15,AE15,AF135,AF15)</f>
        <v>432</v>
      </c>
      <c r="F15" s="451" t="s">
        <v>2242</v>
      </c>
      <c r="G15" s="449" t="s">
        <v>2243</v>
      </c>
      <c r="H15" s="449" t="s">
        <v>2244</v>
      </c>
      <c r="I15" s="451">
        <v>6</v>
      </c>
      <c r="J15" s="451"/>
      <c r="K15" s="451">
        <v>6</v>
      </c>
      <c r="L15" s="517">
        <v>36</v>
      </c>
      <c r="M15" s="517">
        <v>36</v>
      </c>
      <c r="N15" s="517">
        <v>36</v>
      </c>
      <c r="O15" s="517">
        <v>1000</v>
      </c>
      <c r="P15" s="517">
        <v>1000</v>
      </c>
      <c r="Q15" s="517">
        <v>1000</v>
      </c>
      <c r="R15" s="517">
        <v>36</v>
      </c>
      <c r="S15" s="517">
        <v>36</v>
      </c>
      <c r="T15" s="517">
        <v>36</v>
      </c>
      <c r="U15" s="517">
        <v>1000</v>
      </c>
      <c r="V15" s="517">
        <v>1000</v>
      </c>
      <c r="W15" s="517">
        <v>1000</v>
      </c>
      <c r="X15" s="517">
        <v>36</v>
      </c>
      <c r="Y15" s="517">
        <v>36</v>
      </c>
      <c r="Z15" s="517">
        <v>36</v>
      </c>
      <c r="AA15" s="517">
        <v>1000</v>
      </c>
      <c r="AB15" s="517">
        <v>1000</v>
      </c>
      <c r="AC15" s="517">
        <v>1000</v>
      </c>
      <c r="AD15" s="517">
        <v>36</v>
      </c>
      <c r="AE15" s="517">
        <v>36</v>
      </c>
      <c r="AF15" s="517">
        <v>36</v>
      </c>
      <c r="AG15" s="517">
        <v>1000</v>
      </c>
      <c r="AH15" s="517">
        <v>1000</v>
      </c>
      <c r="AI15" s="517">
        <v>1000</v>
      </c>
      <c r="AJ15" s="517">
        <f t="shared" si="7"/>
        <v>12000</v>
      </c>
      <c r="AK15" s="680">
        <f t="shared" si="13"/>
        <v>12000</v>
      </c>
      <c r="AL15" s="517"/>
      <c r="AM15" s="517"/>
      <c r="AN15" s="517"/>
      <c r="AO15" s="517"/>
      <c r="AP15" s="460" t="s">
        <v>1069</v>
      </c>
      <c r="AQ15" s="460" t="s">
        <v>2233</v>
      </c>
      <c r="AR15" s="460"/>
      <c r="AS15" s="677">
        <f t="shared" si="4"/>
        <v>0</v>
      </c>
      <c r="AT15" s="677">
        <f t="shared" si="5"/>
        <v>0</v>
      </c>
      <c r="AU15" s="677">
        <f t="shared" si="6"/>
        <v>0</v>
      </c>
      <c r="AV15" s="821" t="b">
        <f t="shared" si="8"/>
        <v>1</v>
      </c>
      <c r="AW15" s="821" t="b">
        <f t="shared" si="8"/>
        <v>1</v>
      </c>
      <c r="AX15" s="821" t="b">
        <f t="shared" si="8"/>
        <v>1</v>
      </c>
      <c r="AY15" s="821" t="b">
        <f t="shared" si="9"/>
        <v>1</v>
      </c>
      <c r="AZ15" s="821" t="b">
        <f t="shared" si="9"/>
        <v>1</v>
      </c>
      <c r="BA15" s="821" t="b">
        <f t="shared" si="9"/>
        <v>1</v>
      </c>
      <c r="BB15" s="821" t="b">
        <f t="shared" si="10"/>
        <v>1</v>
      </c>
      <c r="BC15" s="821" t="b">
        <f t="shared" si="10"/>
        <v>1</v>
      </c>
      <c r="BD15" s="821" t="b">
        <f t="shared" si="10"/>
        <v>1</v>
      </c>
      <c r="BE15" s="821" t="b">
        <f t="shared" si="11"/>
        <v>1</v>
      </c>
      <c r="BF15" s="821" t="b">
        <f t="shared" si="11"/>
        <v>1</v>
      </c>
      <c r="BG15" s="821" t="b">
        <f t="shared" si="11"/>
        <v>1</v>
      </c>
      <c r="BH15" s="821" t="b">
        <f t="shared" si="12"/>
        <v>1</v>
      </c>
      <c r="BI15" s="460" t="b">
        <f>EXACT(A15,'[7]POA 2015 ODC'!C16)</f>
        <v>1</v>
      </c>
      <c r="BJ15" s="460" t="b">
        <f>EXACT(B15,'[7]POA 2015 ODC'!D16)</f>
        <v>1</v>
      </c>
      <c r="BK15" s="460" t="b">
        <f>EXACT(C15,'[7]POA 2015 ODC'!E16)</f>
        <v>1</v>
      </c>
      <c r="BL15" s="460" t="b">
        <f>EXACT(D15,'[7]POA 2015 ODC'!F16)</f>
        <v>1</v>
      </c>
      <c r="BM15" s="460" t="b">
        <f>EXACT(E15,'[7]POA 2015 ODC'!G16)</f>
        <v>1</v>
      </c>
      <c r="BN15" s="460" t="b">
        <f>EXACT(F15,'[7]POA 2015 ODC'!H16)</f>
        <v>1</v>
      </c>
      <c r="BO15" s="460" t="b">
        <f>EXACT(G15,'[7]POA 2015 ODC'!I16)</f>
        <v>1</v>
      </c>
      <c r="BP15" s="460" t="b">
        <f>EXACT(H15,'[7]POA 2015 ODC'!J16)</f>
        <v>1</v>
      </c>
    </row>
    <row r="16" spans="1:72" s="433" customFormat="1" ht="126">
      <c r="A16" s="457" t="s">
        <v>285</v>
      </c>
      <c r="B16" s="457" t="s">
        <v>1840</v>
      </c>
      <c r="C16" s="457" t="s">
        <v>2245</v>
      </c>
      <c r="D16" s="460" t="s">
        <v>2246</v>
      </c>
      <c r="E16" s="451">
        <f>SUM(L16,M16,N16,R16,S16,T16,X16,Y16,Z16,AD16,AE16,AF136,AF16)</f>
        <v>144</v>
      </c>
      <c r="F16" s="451" t="s">
        <v>2247</v>
      </c>
      <c r="G16" s="449" t="s">
        <v>2248</v>
      </c>
      <c r="H16" s="449" t="s">
        <v>2249</v>
      </c>
      <c r="I16" s="451">
        <v>12</v>
      </c>
      <c r="J16" s="451"/>
      <c r="K16" s="451">
        <v>12</v>
      </c>
      <c r="L16" s="517">
        <v>12</v>
      </c>
      <c r="M16" s="517">
        <v>12</v>
      </c>
      <c r="N16" s="517">
        <v>12</v>
      </c>
      <c r="O16" s="517">
        <v>2000</v>
      </c>
      <c r="P16" s="517">
        <v>2000</v>
      </c>
      <c r="Q16" s="517">
        <v>2000</v>
      </c>
      <c r="R16" s="517">
        <v>12</v>
      </c>
      <c r="S16" s="517">
        <v>12</v>
      </c>
      <c r="T16" s="517">
        <v>12</v>
      </c>
      <c r="U16" s="517">
        <v>2000</v>
      </c>
      <c r="V16" s="517">
        <v>2000</v>
      </c>
      <c r="W16" s="517">
        <v>2000</v>
      </c>
      <c r="X16" s="517">
        <v>12</v>
      </c>
      <c r="Y16" s="517">
        <v>12</v>
      </c>
      <c r="Z16" s="517">
        <v>12</v>
      </c>
      <c r="AA16" s="517">
        <v>2000</v>
      </c>
      <c r="AB16" s="517">
        <v>2000</v>
      </c>
      <c r="AC16" s="517">
        <v>2000</v>
      </c>
      <c r="AD16" s="517">
        <v>12</v>
      </c>
      <c r="AE16" s="517">
        <v>12</v>
      </c>
      <c r="AF16" s="517">
        <v>12</v>
      </c>
      <c r="AG16" s="517">
        <v>2000</v>
      </c>
      <c r="AH16" s="517">
        <v>2000</v>
      </c>
      <c r="AI16" s="517">
        <v>2000</v>
      </c>
      <c r="AJ16" s="517">
        <f t="shared" si="7"/>
        <v>24000</v>
      </c>
      <c r="AK16" s="680">
        <f t="shared" si="13"/>
        <v>24000</v>
      </c>
      <c r="AL16" s="517"/>
      <c r="AM16" s="517"/>
      <c r="AN16" s="517"/>
      <c r="AO16" s="517"/>
      <c r="AP16" s="460" t="s">
        <v>1069</v>
      </c>
      <c r="AQ16" s="460" t="s">
        <v>2239</v>
      </c>
      <c r="AR16" s="460"/>
      <c r="AS16" s="677">
        <f t="shared" si="4"/>
        <v>0</v>
      </c>
      <c r="AT16" s="677">
        <f t="shared" si="5"/>
        <v>0</v>
      </c>
      <c r="AU16" s="677">
        <f t="shared" si="6"/>
        <v>0</v>
      </c>
      <c r="AV16" s="821" t="b">
        <f t="shared" si="8"/>
        <v>1</v>
      </c>
      <c r="AW16" s="821" t="b">
        <f t="shared" si="8"/>
        <v>1</v>
      </c>
      <c r="AX16" s="821" t="b">
        <f t="shared" si="8"/>
        <v>1</v>
      </c>
      <c r="AY16" s="821" t="b">
        <f t="shared" si="9"/>
        <v>1</v>
      </c>
      <c r="AZ16" s="821" t="b">
        <f t="shared" si="9"/>
        <v>1</v>
      </c>
      <c r="BA16" s="821" t="b">
        <f t="shared" si="9"/>
        <v>1</v>
      </c>
      <c r="BB16" s="821" t="b">
        <f t="shared" si="10"/>
        <v>1</v>
      </c>
      <c r="BC16" s="821" t="b">
        <f t="shared" si="10"/>
        <v>1</v>
      </c>
      <c r="BD16" s="821" t="b">
        <f t="shared" si="10"/>
        <v>1</v>
      </c>
      <c r="BE16" s="821" t="b">
        <f t="shared" si="11"/>
        <v>1</v>
      </c>
      <c r="BF16" s="821" t="b">
        <f t="shared" si="11"/>
        <v>1</v>
      </c>
      <c r="BG16" s="821" t="b">
        <f t="shared" si="11"/>
        <v>1</v>
      </c>
      <c r="BH16" s="821" t="b">
        <f t="shared" si="12"/>
        <v>1</v>
      </c>
      <c r="BI16" s="460" t="b">
        <f>EXACT(A16,'[7]POA 2015 ODC'!C17)</f>
        <v>1</v>
      </c>
      <c r="BJ16" s="460" t="b">
        <f>EXACT(B16,'[7]POA 2015 ODC'!D17)</f>
        <v>1</v>
      </c>
      <c r="BK16" s="460" t="b">
        <f>EXACT(C16,'[7]POA 2015 ODC'!E17)</f>
        <v>1</v>
      </c>
      <c r="BL16" s="460" t="b">
        <f>EXACT(D16,'[7]POA 2015 ODC'!F17)</f>
        <v>1</v>
      </c>
      <c r="BM16" s="460" t="b">
        <f>EXACT(E16,'[7]POA 2015 ODC'!G17)</f>
        <v>1</v>
      </c>
      <c r="BN16" s="460" t="b">
        <f>EXACT(F16,'[7]POA 2015 ODC'!H17)</f>
        <v>1</v>
      </c>
      <c r="BO16" s="460" t="b">
        <f>EXACT(G16,'[7]POA 2015 ODC'!I17)</f>
        <v>1</v>
      </c>
      <c r="BP16" s="460" t="b">
        <f>EXACT(H16,'[7]POA 2015 ODC'!J17)</f>
        <v>1</v>
      </c>
    </row>
    <row r="17" spans="1:68" s="523" customFormat="1" ht="78.75">
      <c r="A17" s="781" t="s">
        <v>285</v>
      </c>
      <c r="B17" s="781" t="s">
        <v>1840</v>
      </c>
      <c r="C17" s="781" t="s">
        <v>2250</v>
      </c>
      <c r="D17" s="782" t="s">
        <v>2251</v>
      </c>
      <c r="E17" s="458">
        <f>SUM(L17,M17,N17,R17,S17,T17,X17,Y17,Z17,AD17,AE17,AF138,AF17)</f>
        <v>12</v>
      </c>
      <c r="F17" s="458" t="s">
        <v>2252</v>
      </c>
      <c r="G17" s="519" t="s">
        <v>2253</v>
      </c>
      <c r="H17" s="519" t="s">
        <v>2254</v>
      </c>
      <c r="I17" s="458">
        <v>6</v>
      </c>
      <c r="J17" s="458"/>
      <c r="K17" s="458">
        <v>6</v>
      </c>
      <c r="L17" s="521">
        <v>1</v>
      </c>
      <c r="M17" s="521">
        <v>1</v>
      </c>
      <c r="N17" s="521">
        <v>1</v>
      </c>
      <c r="O17" s="521">
        <v>1000</v>
      </c>
      <c r="P17" s="521">
        <v>1000</v>
      </c>
      <c r="Q17" s="521">
        <v>1000</v>
      </c>
      <c r="R17" s="521">
        <v>1</v>
      </c>
      <c r="S17" s="521">
        <v>1</v>
      </c>
      <c r="T17" s="521">
        <v>1</v>
      </c>
      <c r="U17" s="521">
        <v>1000</v>
      </c>
      <c r="V17" s="521">
        <v>1000</v>
      </c>
      <c r="W17" s="521">
        <v>1000</v>
      </c>
      <c r="X17" s="521">
        <v>1</v>
      </c>
      <c r="Y17" s="521">
        <v>1</v>
      </c>
      <c r="Z17" s="521">
        <v>1</v>
      </c>
      <c r="AA17" s="521">
        <v>1000</v>
      </c>
      <c r="AB17" s="521">
        <v>1000</v>
      </c>
      <c r="AC17" s="521">
        <v>1000</v>
      </c>
      <c r="AD17" s="521">
        <v>1</v>
      </c>
      <c r="AE17" s="521">
        <v>1</v>
      </c>
      <c r="AF17" s="521">
        <v>1</v>
      </c>
      <c r="AG17" s="521">
        <v>1000</v>
      </c>
      <c r="AH17" s="521">
        <v>1000</v>
      </c>
      <c r="AI17" s="521">
        <v>1000</v>
      </c>
      <c r="AJ17" s="521">
        <f t="shared" si="7"/>
        <v>12000</v>
      </c>
      <c r="AK17" s="681">
        <f t="shared" si="13"/>
        <v>12000</v>
      </c>
      <c r="AL17" s="521"/>
      <c r="AM17" s="521"/>
      <c r="AN17" s="521"/>
      <c r="AO17" s="521"/>
      <c r="AP17" s="782" t="s">
        <v>1069</v>
      </c>
      <c r="AQ17" s="782" t="s">
        <v>2255</v>
      </c>
      <c r="AR17" s="782"/>
      <c r="AS17" s="682">
        <f t="shared" si="4"/>
        <v>0</v>
      </c>
      <c r="AT17" s="682">
        <f t="shared" si="5"/>
        <v>0</v>
      </c>
      <c r="AU17" s="682">
        <f t="shared" si="6"/>
        <v>0</v>
      </c>
      <c r="AV17" s="822" t="b">
        <f t="shared" si="8"/>
        <v>1</v>
      </c>
      <c r="AW17" s="822" t="b">
        <f t="shared" si="8"/>
        <v>1</v>
      </c>
      <c r="AX17" s="822" t="b">
        <f t="shared" si="8"/>
        <v>1</v>
      </c>
      <c r="AY17" s="822" t="b">
        <f t="shared" si="9"/>
        <v>1</v>
      </c>
      <c r="AZ17" s="822" t="b">
        <f t="shared" si="9"/>
        <v>1</v>
      </c>
      <c r="BA17" s="822" t="b">
        <f t="shared" si="9"/>
        <v>1</v>
      </c>
      <c r="BB17" s="822" t="b">
        <f t="shared" si="10"/>
        <v>1</v>
      </c>
      <c r="BC17" s="822" t="b">
        <f t="shared" si="10"/>
        <v>1</v>
      </c>
      <c r="BD17" s="822" t="b">
        <f t="shared" si="10"/>
        <v>1</v>
      </c>
      <c r="BE17" s="822" t="b">
        <f t="shared" si="11"/>
        <v>1</v>
      </c>
      <c r="BF17" s="822" t="b">
        <f t="shared" si="11"/>
        <v>1</v>
      </c>
      <c r="BG17" s="822" t="b">
        <f t="shared" si="11"/>
        <v>1</v>
      </c>
      <c r="BH17" s="822" t="b">
        <f t="shared" si="12"/>
        <v>1</v>
      </c>
      <c r="BI17" s="782" t="b">
        <f>EXACT(A17,'[7]POA 2015 ODC'!C19)</f>
        <v>1</v>
      </c>
      <c r="BJ17" s="782" t="b">
        <f>EXACT(B17,'[7]POA 2015 ODC'!D19)</f>
        <v>1</v>
      </c>
      <c r="BK17" s="782" t="b">
        <f>EXACT(C17,'[7]POA 2015 ODC'!E19)</f>
        <v>1</v>
      </c>
      <c r="BL17" s="782" t="b">
        <f>EXACT(D17,'[7]POA 2015 ODC'!F19)</f>
        <v>0</v>
      </c>
      <c r="BM17" s="782" t="b">
        <f>EXACT(E17,'[7]POA 2015 ODC'!G19)</f>
        <v>1</v>
      </c>
      <c r="BN17" s="782" t="b">
        <f>EXACT(F17,'[7]POA 2015 ODC'!H19)</f>
        <v>1</v>
      </c>
      <c r="BO17" s="782" t="b">
        <f>EXACT(G17,'[7]POA 2015 ODC'!I19)</f>
        <v>0</v>
      </c>
      <c r="BP17" s="782" t="b">
        <f>EXACT(H17,'[7]POA 2015 ODC'!J19)</f>
        <v>1</v>
      </c>
    </row>
    <row r="18" spans="1:68" s="523" customFormat="1" ht="47.25">
      <c r="A18" s="781" t="s">
        <v>285</v>
      </c>
      <c r="B18" s="781" t="s">
        <v>1840</v>
      </c>
      <c r="C18" s="781" t="s">
        <v>2256</v>
      </c>
      <c r="D18" s="782" t="s">
        <v>2257</v>
      </c>
      <c r="E18" s="458">
        <f>SUM(L18,M18,N18,R18,S18,T18,X18,Y18,Z18,AD18,AE18,AF139,AF18)</f>
        <v>48</v>
      </c>
      <c r="F18" s="458" t="s">
        <v>2258</v>
      </c>
      <c r="G18" s="782" t="s">
        <v>2259</v>
      </c>
      <c r="H18" s="519" t="s">
        <v>2260</v>
      </c>
      <c r="I18" s="458">
        <v>9</v>
      </c>
      <c r="J18" s="458"/>
      <c r="K18" s="458">
        <v>9</v>
      </c>
      <c r="L18" s="521">
        <v>4</v>
      </c>
      <c r="M18" s="521">
        <v>4</v>
      </c>
      <c r="N18" s="521">
        <v>4</v>
      </c>
      <c r="O18" s="521">
        <v>750</v>
      </c>
      <c r="P18" s="521">
        <v>750</v>
      </c>
      <c r="Q18" s="521">
        <v>750</v>
      </c>
      <c r="R18" s="521">
        <v>4</v>
      </c>
      <c r="S18" s="521">
        <v>4</v>
      </c>
      <c r="T18" s="521">
        <v>4</v>
      </c>
      <c r="U18" s="521">
        <v>750</v>
      </c>
      <c r="V18" s="521">
        <v>750</v>
      </c>
      <c r="W18" s="521">
        <v>750</v>
      </c>
      <c r="X18" s="521">
        <v>4</v>
      </c>
      <c r="Y18" s="521">
        <v>4</v>
      </c>
      <c r="Z18" s="521">
        <v>4</v>
      </c>
      <c r="AA18" s="521">
        <v>750</v>
      </c>
      <c r="AB18" s="521">
        <v>750</v>
      </c>
      <c r="AC18" s="521">
        <v>750</v>
      </c>
      <c r="AD18" s="521">
        <v>4</v>
      </c>
      <c r="AE18" s="521">
        <v>4</v>
      </c>
      <c r="AF18" s="521">
        <v>4</v>
      </c>
      <c r="AG18" s="521">
        <v>750</v>
      </c>
      <c r="AH18" s="521">
        <v>750</v>
      </c>
      <c r="AI18" s="521">
        <v>750</v>
      </c>
      <c r="AJ18" s="521">
        <f>SUM(O18,P18,Q18,U18,V18,W18,AA18,AB18,AC18,AG18,AH18,AI18)</f>
        <v>9000</v>
      </c>
      <c r="AK18" s="681">
        <f>+AJ18</f>
        <v>9000</v>
      </c>
      <c r="AL18" s="521"/>
      <c r="AM18" s="521"/>
      <c r="AN18" s="521"/>
      <c r="AO18" s="521"/>
      <c r="AP18" s="782" t="s">
        <v>1069</v>
      </c>
      <c r="AQ18" s="782" t="s">
        <v>2255</v>
      </c>
      <c r="AR18" s="782"/>
      <c r="AS18" s="682">
        <f>SUM(L18,M18,N18,R18,S18,T18,X18,Y18,Z18,AD18,AE18,AF18)-E18</f>
        <v>0</v>
      </c>
      <c r="AT18" s="682">
        <f>SUM(O18,P18,Q18,U18,V18,W18,AA18,AB18,AC18,AG18,AH18,AI18)-AJ18</f>
        <v>0</v>
      </c>
      <c r="AU18" s="682">
        <f>SUM(AK18,AL18,AM18,AN18,AO18)-AJ18</f>
        <v>0</v>
      </c>
      <c r="AV18" s="822" t="b">
        <f>EXACT(L18&gt;0,O18&gt;0)</f>
        <v>1</v>
      </c>
      <c r="AW18" s="822" t="b">
        <f>EXACT(M18&gt;0,P18&gt;0)</f>
        <v>1</v>
      </c>
      <c r="AX18" s="822" t="b">
        <f>EXACT(N18&gt;0,Q18&gt;0)</f>
        <v>1</v>
      </c>
      <c r="AY18" s="822" t="b">
        <f>EXACT(R18&gt;0,U18&gt;0)</f>
        <v>1</v>
      </c>
      <c r="AZ18" s="822" t="b">
        <f>EXACT(S18&gt;0,V18&gt;0)</f>
        <v>1</v>
      </c>
      <c r="BA18" s="822" t="b">
        <f>EXACT(T18&gt;0,W18&gt;0)</f>
        <v>1</v>
      </c>
      <c r="BB18" s="822" t="b">
        <f>EXACT(X18&gt;0,AA18&gt;0)</f>
        <v>1</v>
      </c>
      <c r="BC18" s="822" t="b">
        <f>EXACT(Y18&gt;0,AB18&gt;0)</f>
        <v>1</v>
      </c>
      <c r="BD18" s="822" t="b">
        <f>EXACT(Z18&gt;0,AC18&gt;0)</f>
        <v>1</v>
      </c>
      <c r="BE18" s="822" t="b">
        <f>EXACT(AD18&gt;0,AG18&gt;0)</f>
        <v>1</v>
      </c>
      <c r="BF18" s="822" t="b">
        <f>EXACT(AE18&gt;0,AH18&gt;0)</f>
        <v>1</v>
      </c>
      <c r="BG18" s="822" t="b">
        <f>EXACT(AF18&gt;0,AI18&gt;0)</f>
        <v>1</v>
      </c>
      <c r="BH18" s="822" t="b">
        <f>EXACT(E18&gt;0,AJ18&gt;0)</f>
        <v>1</v>
      </c>
      <c r="BI18" s="782" t="b">
        <f>EXACT(A18,'[7]POA 2015 ODC'!C20)</f>
        <v>1</v>
      </c>
      <c r="BJ18" s="782" t="b">
        <f>EXACT(B18,'[7]POA 2015 ODC'!D20)</f>
        <v>1</v>
      </c>
      <c r="BK18" s="782" t="b">
        <f>EXACT(C18,'[7]POA 2015 ODC'!E20)</f>
        <v>1</v>
      </c>
      <c r="BL18" s="782" t="b">
        <f>EXACT(D18,'[7]POA 2015 ODC'!F20)</f>
        <v>1</v>
      </c>
      <c r="BM18" s="782" t="b">
        <f>EXACT(E18,'[7]POA 2015 ODC'!G20)</f>
        <v>1</v>
      </c>
      <c r="BN18" s="782" t="b">
        <f>EXACT(F18,'[7]POA 2015 ODC'!H20)</f>
        <v>1</v>
      </c>
      <c r="BO18" s="782" t="b">
        <f>EXACT(G18,'[7]POA 2015 ODC'!I20)</f>
        <v>1</v>
      </c>
      <c r="BP18" s="782" t="b">
        <f>EXACT(H18,'[7]POA 2015 ODC'!J20)</f>
        <v>1</v>
      </c>
    </row>
    <row r="19" spans="1:68" s="523" customFormat="1" ht="31.5">
      <c r="A19" s="897" t="s">
        <v>285</v>
      </c>
      <c r="B19" s="897" t="s">
        <v>1840</v>
      </c>
      <c r="C19" s="897" t="s">
        <v>2261</v>
      </c>
      <c r="D19" s="898" t="s">
        <v>2262</v>
      </c>
      <c r="E19" s="458">
        <f>SUM(L19,M19,N19,R19,S19,T19,X19,Y19,Z19,AD19,AE19,AF143,AF19)</f>
        <v>720</v>
      </c>
      <c r="F19" s="458" t="s">
        <v>131</v>
      </c>
      <c r="G19" s="898" t="s">
        <v>2263</v>
      </c>
      <c r="H19" s="898" t="s">
        <v>2264</v>
      </c>
      <c r="I19" s="899">
        <v>6</v>
      </c>
      <c r="J19" s="897"/>
      <c r="K19" s="899">
        <v>6</v>
      </c>
      <c r="L19" s="521">
        <v>60</v>
      </c>
      <c r="M19" s="521">
        <v>60</v>
      </c>
      <c r="N19" s="521">
        <v>60</v>
      </c>
      <c r="O19" s="521">
        <v>600</v>
      </c>
      <c r="P19" s="521">
        <v>600</v>
      </c>
      <c r="Q19" s="521">
        <v>600</v>
      </c>
      <c r="R19" s="521">
        <v>60</v>
      </c>
      <c r="S19" s="521">
        <v>60</v>
      </c>
      <c r="T19" s="521">
        <v>60</v>
      </c>
      <c r="U19" s="521">
        <v>600</v>
      </c>
      <c r="V19" s="521">
        <v>600</v>
      </c>
      <c r="W19" s="521">
        <v>600</v>
      </c>
      <c r="X19" s="521">
        <v>60</v>
      </c>
      <c r="Y19" s="521">
        <v>60</v>
      </c>
      <c r="Z19" s="521">
        <v>60</v>
      </c>
      <c r="AA19" s="521">
        <v>600</v>
      </c>
      <c r="AB19" s="521">
        <v>600</v>
      </c>
      <c r="AC19" s="521">
        <v>600</v>
      </c>
      <c r="AD19" s="521">
        <v>60</v>
      </c>
      <c r="AE19" s="521">
        <v>60</v>
      </c>
      <c r="AF19" s="521">
        <v>60</v>
      </c>
      <c r="AG19" s="521">
        <v>600</v>
      </c>
      <c r="AH19" s="521">
        <v>600</v>
      </c>
      <c r="AI19" s="521">
        <v>600</v>
      </c>
      <c r="AJ19" s="521">
        <f t="shared" si="7"/>
        <v>7200</v>
      </c>
      <c r="AK19" s="681">
        <f t="shared" si="13"/>
        <v>7200</v>
      </c>
      <c r="AL19" s="521"/>
      <c r="AM19" s="521"/>
      <c r="AN19" s="521"/>
      <c r="AO19" s="521"/>
      <c r="AP19" s="782" t="s">
        <v>1069</v>
      </c>
      <c r="AQ19" s="782" t="s">
        <v>2265</v>
      </c>
      <c r="AR19" s="782"/>
      <c r="AS19" s="682">
        <f t="shared" si="4"/>
        <v>0</v>
      </c>
      <c r="AT19" s="682">
        <f t="shared" si="5"/>
        <v>0</v>
      </c>
      <c r="AU19" s="682">
        <f t="shared" si="6"/>
        <v>0</v>
      </c>
      <c r="AV19" s="822" t="b">
        <f t="shared" si="8"/>
        <v>1</v>
      </c>
      <c r="AW19" s="822" t="b">
        <f t="shared" si="8"/>
        <v>1</v>
      </c>
      <c r="AX19" s="822" t="b">
        <f t="shared" si="8"/>
        <v>1</v>
      </c>
      <c r="AY19" s="822" t="b">
        <f t="shared" si="9"/>
        <v>1</v>
      </c>
      <c r="AZ19" s="822" t="b">
        <f t="shared" si="9"/>
        <v>1</v>
      </c>
      <c r="BA19" s="822" t="b">
        <f t="shared" si="9"/>
        <v>1</v>
      </c>
      <c r="BB19" s="822" t="b">
        <f t="shared" si="10"/>
        <v>1</v>
      </c>
      <c r="BC19" s="822" t="b">
        <f t="shared" si="10"/>
        <v>1</v>
      </c>
      <c r="BD19" s="822" t="b">
        <f t="shared" si="10"/>
        <v>1</v>
      </c>
      <c r="BE19" s="822" t="b">
        <f t="shared" si="11"/>
        <v>1</v>
      </c>
      <c r="BF19" s="822" t="b">
        <f t="shared" si="11"/>
        <v>1</v>
      </c>
      <c r="BG19" s="822" t="b">
        <f t="shared" si="11"/>
        <v>1</v>
      </c>
      <c r="BH19" s="822" t="b">
        <f t="shared" si="12"/>
        <v>1</v>
      </c>
      <c r="BI19" s="782" t="b">
        <f>EXACT(A19,'[7]POA 2015 ODC'!C24)</f>
        <v>1</v>
      </c>
      <c r="BJ19" s="782" t="b">
        <f>EXACT(B19,'[7]POA 2015 ODC'!D24)</f>
        <v>1</v>
      </c>
      <c r="BK19" s="782" t="b">
        <f>EXACT(C19,'[7]POA 2015 ODC'!E24)</f>
        <v>1</v>
      </c>
      <c r="BL19" s="782" t="b">
        <f>EXACT(D19,'[7]POA 2015 ODC'!F24)</f>
        <v>1</v>
      </c>
      <c r="BM19" s="782" t="b">
        <f>EXACT(E19,'[7]POA 2015 ODC'!G24)</f>
        <v>1</v>
      </c>
      <c r="BN19" s="782" t="b">
        <f>EXACT(F19,'[7]POA 2015 ODC'!H24)</f>
        <v>1</v>
      </c>
      <c r="BO19" s="782" t="b">
        <f>EXACT(G19,'[7]POA 2015 ODC'!I24)</f>
        <v>0</v>
      </c>
      <c r="BP19" s="782" t="b">
        <f>EXACT(H19,'[7]POA 2015 ODC'!J24)</f>
        <v>0</v>
      </c>
    </row>
    <row r="20" spans="1:68" s="523" customFormat="1" ht="31.5">
      <c r="A20" s="897"/>
      <c r="B20" s="897"/>
      <c r="C20" s="897"/>
      <c r="D20" s="898"/>
      <c r="E20" s="458">
        <f>SUM(L20,M20,N20,R20,S20,T20,X20,Y20,Z20,AD20,AE20,AF144,AF20)</f>
        <v>480</v>
      </c>
      <c r="F20" s="458" t="s">
        <v>134</v>
      </c>
      <c r="G20" s="898"/>
      <c r="H20" s="898"/>
      <c r="I20" s="900"/>
      <c r="J20" s="897"/>
      <c r="K20" s="900"/>
      <c r="L20" s="521">
        <v>40</v>
      </c>
      <c r="M20" s="521">
        <v>40</v>
      </c>
      <c r="N20" s="521">
        <v>40</v>
      </c>
      <c r="O20" s="521">
        <v>400</v>
      </c>
      <c r="P20" s="521">
        <v>400</v>
      </c>
      <c r="Q20" s="521">
        <v>400</v>
      </c>
      <c r="R20" s="521">
        <v>40</v>
      </c>
      <c r="S20" s="521">
        <v>40</v>
      </c>
      <c r="T20" s="521">
        <v>40</v>
      </c>
      <c r="U20" s="521">
        <v>400</v>
      </c>
      <c r="V20" s="521">
        <v>400</v>
      </c>
      <c r="W20" s="521">
        <v>400</v>
      </c>
      <c r="X20" s="521">
        <v>40</v>
      </c>
      <c r="Y20" s="521">
        <v>40</v>
      </c>
      <c r="Z20" s="521">
        <v>40</v>
      </c>
      <c r="AA20" s="521">
        <v>400</v>
      </c>
      <c r="AB20" s="521">
        <v>400</v>
      </c>
      <c r="AC20" s="521">
        <v>400</v>
      </c>
      <c r="AD20" s="521">
        <v>40</v>
      </c>
      <c r="AE20" s="521">
        <v>40</v>
      </c>
      <c r="AF20" s="521">
        <v>40</v>
      </c>
      <c r="AG20" s="521">
        <v>400</v>
      </c>
      <c r="AH20" s="521">
        <v>400</v>
      </c>
      <c r="AI20" s="521">
        <v>400</v>
      </c>
      <c r="AJ20" s="521">
        <f t="shared" si="7"/>
        <v>4800</v>
      </c>
      <c r="AK20" s="681">
        <f t="shared" si="13"/>
        <v>4800</v>
      </c>
      <c r="AL20" s="521"/>
      <c r="AM20" s="521"/>
      <c r="AN20" s="521"/>
      <c r="AO20" s="521"/>
      <c r="AP20" s="782" t="s">
        <v>1069</v>
      </c>
      <c r="AQ20" s="782" t="s">
        <v>2265</v>
      </c>
      <c r="AR20" s="782"/>
      <c r="AS20" s="682">
        <f t="shared" si="4"/>
        <v>0</v>
      </c>
      <c r="AT20" s="682">
        <f t="shared" si="5"/>
        <v>0</v>
      </c>
      <c r="AU20" s="682">
        <f t="shared" si="6"/>
        <v>0</v>
      </c>
      <c r="AV20" s="822" t="b">
        <f t="shared" si="8"/>
        <v>1</v>
      </c>
      <c r="AW20" s="822" t="b">
        <f t="shared" si="8"/>
        <v>1</v>
      </c>
      <c r="AX20" s="822" t="b">
        <f t="shared" si="8"/>
        <v>1</v>
      </c>
      <c r="AY20" s="822" t="b">
        <f t="shared" si="9"/>
        <v>1</v>
      </c>
      <c r="AZ20" s="822" t="b">
        <f t="shared" si="9"/>
        <v>1</v>
      </c>
      <c r="BA20" s="822" t="b">
        <f t="shared" si="9"/>
        <v>1</v>
      </c>
      <c r="BB20" s="822" t="b">
        <f t="shared" si="10"/>
        <v>1</v>
      </c>
      <c r="BC20" s="822" t="b">
        <f t="shared" si="10"/>
        <v>1</v>
      </c>
      <c r="BD20" s="822" t="b">
        <f t="shared" si="10"/>
        <v>1</v>
      </c>
      <c r="BE20" s="822" t="b">
        <f t="shared" si="11"/>
        <v>1</v>
      </c>
      <c r="BF20" s="822" t="b">
        <f t="shared" si="11"/>
        <v>1</v>
      </c>
      <c r="BG20" s="822" t="b">
        <f t="shared" si="11"/>
        <v>1</v>
      </c>
      <c r="BH20" s="822" t="b">
        <f t="shared" si="12"/>
        <v>1</v>
      </c>
      <c r="BI20" s="782" t="b">
        <f>EXACT(A20,'[7]POA 2015 ODC'!C25)</f>
        <v>1</v>
      </c>
      <c r="BJ20" s="782" t="b">
        <f>EXACT(B20,'[7]POA 2015 ODC'!D25)</f>
        <v>1</v>
      </c>
      <c r="BK20" s="782" t="b">
        <f>EXACT(C20,'[7]POA 2015 ODC'!E25)</f>
        <v>1</v>
      </c>
      <c r="BL20" s="782" t="b">
        <f>EXACT(D20,'[7]POA 2015 ODC'!F25)</f>
        <v>1</v>
      </c>
      <c r="BM20" s="782" t="b">
        <f>EXACT(E20,'[7]POA 2015 ODC'!G25)</f>
        <v>1</v>
      </c>
      <c r="BN20" s="782" t="b">
        <f>EXACT(F20,'[7]POA 2015 ODC'!H25)</f>
        <v>1</v>
      </c>
      <c r="BO20" s="782" t="b">
        <f>EXACT(G20,'[7]POA 2015 ODC'!I25)</f>
        <v>1</v>
      </c>
      <c r="BP20" s="782" t="b">
        <f>EXACT(H20,'[7]POA 2015 ODC'!J25)</f>
        <v>1</v>
      </c>
    </row>
    <row r="21" spans="1:68" s="523" customFormat="1" ht="78.75">
      <c r="A21" s="781" t="s">
        <v>285</v>
      </c>
      <c r="B21" s="781" t="s">
        <v>1840</v>
      </c>
      <c r="C21" s="781" t="s">
        <v>2266</v>
      </c>
      <c r="D21" s="782" t="s">
        <v>2267</v>
      </c>
      <c r="E21" s="458">
        <f>SUM(L21,M21,N21,R21,S21,T21,X21,Y21,Z21,AD21,AE21,AF145,AF21)</f>
        <v>12</v>
      </c>
      <c r="F21" s="458" t="s">
        <v>1745</v>
      </c>
      <c r="G21" s="782" t="s">
        <v>2268</v>
      </c>
      <c r="H21" s="519" t="s">
        <v>2269</v>
      </c>
      <c r="I21" s="458">
        <v>6</v>
      </c>
      <c r="J21" s="458"/>
      <c r="K21" s="458">
        <v>6</v>
      </c>
      <c r="L21" s="521">
        <v>1</v>
      </c>
      <c r="M21" s="521">
        <v>1</v>
      </c>
      <c r="N21" s="521">
        <v>1</v>
      </c>
      <c r="O21" s="521">
        <v>1000</v>
      </c>
      <c r="P21" s="521">
        <v>1000</v>
      </c>
      <c r="Q21" s="521">
        <v>1000</v>
      </c>
      <c r="R21" s="521">
        <v>1</v>
      </c>
      <c r="S21" s="521">
        <v>1</v>
      </c>
      <c r="T21" s="521">
        <v>1</v>
      </c>
      <c r="U21" s="521">
        <v>1000</v>
      </c>
      <c r="V21" s="521">
        <v>1000</v>
      </c>
      <c r="W21" s="521">
        <v>1000</v>
      </c>
      <c r="X21" s="521">
        <v>1</v>
      </c>
      <c r="Y21" s="521">
        <v>1</v>
      </c>
      <c r="Z21" s="521">
        <v>1</v>
      </c>
      <c r="AA21" s="521">
        <v>1000</v>
      </c>
      <c r="AB21" s="521">
        <v>1000</v>
      </c>
      <c r="AC21" s="521">
        <v>1000</v>
      </c>
      <c r="AD21" s="521">
        <v>1</v>
      </c>
      <c r="AE21" s="521">
        <v>1</v>
      </c>
      <c r="AF21" s="521">
        <v>1</v>
      </c>
      <c r="AG21" s="521">
        <v>1000</v>
      </c>
      <c r="AH21" s="521">
        <v>1000</v>
      </c>
      <c r="AI21" s="521">
        <v>1000</v>
      </c>
      <c r="AJ21" s="521">
        <f t="shared" si="7"/>
        <v>12000</v>
      </c>
      <c r="AK21" s="681">
        <f t="shared" si="13"/>
        <v>12000</v>
      </c>
      <c r="AL21" s="521"/>
      <c r="AM21" s="521"/>
      <c r="AN21" s="521"/>
      <c r="AO21" s="521"/>
      <c r="AP21" s="782" t="s">
        <v>1069</v>
      </c>
      <c r="AQ21" s="782" t="s">
        <v>2255</v>
      </c>
      <c r="AR21" s="782"/>
      <c r="AS21" s="682">
        <f t="shared" si="4"/>
        <v>0</v>
      </c>
      <c r="AT21" s="682">
        <f t="shared" si="5"/>
        <v>0</v>
      </c>
      <c r="AU21" s="682">
        <f t="shared" si="6"/>
        <v>0</v>
      </c>
      <c r="AV21" s="822" t="b">
        <f t="shared" si="8"/>
        <v>1</v>
      </c>
      <c r="AW21" s="822" t="b">
        <f t="shared" si="8"/>
        <v>1</v>
      </c>
      <c r="AX21" s="822" t="b">
        <f t="shared" si="8"/>
        <v>1</v>
      </c>
      <c r="AY21" s="822" t="b">
        <f t="shared" si="9"/>
        <v>1</v>
      </c>
      <c r="AZ21" s="822" t="b">
        <f t="shared" si="9"/>
        <v>1</v>
      </c>
      <c r="BA21" s="822" t="b">
        <f t="shared" si="9"/>
        <v>1</v>
      </c>
      <c r="BB21" s="822" t="b">
        <f t="shared" si="10"/>
        <v>1</v>
      </c>
      <c r="BC21" s="822" t="b">
        <f t="shared" si="10"/>
        <v>1</v>
      </c>
      <c r="BD21" s="822" t="b">
        <f t="shared" si="10"/>
        <v>1</v>
      </c>
      <c r="BE21" s="822" t="b">
        <f t="shared" si="11"/>
        <v>1</v>
      </c>
      <c r="BF21" s="822" t="b">
        <f t="shared" si="11"/>
        <v>1</v>
      </c>
      <c r="BG21" s="822" t="b">
        <f t="shared" si="11"/>
        <v>1</v>
      </c>
      <c r="BH21" s="822" t="b">
        <f t="shared" si="12"/>
        <v>1</v>
      </c>
      <c r="BI21" s="782" t="b">
        <f>EXACT(A21,'[7]POA 2015 ODC'!C26)</f>
        <v>1</v>
      </c>
      <c r="BJ21" s="782" t="b">
        <f>EXACT(B21,'[7]POA 2015 ODC'!D26)</f>
        <v>1</v>
      </c>
      <c r="BK21" s="782" t="b">
        <f>EXACT(C21,'[7]POA 2015 ODC'!E26)</f>
        <v>1</v>
      </c>
      <c r="BL21" s="782" t="b">
        <f>EXACT(D21,'[7]POA 2015 ODC'!F26)</f>
        <v>1</v>
      </c>
      <c r="BM21" s="782" t="b">
        <f>EXACT(E21,'[7]POA 2015 ODC'!G26)</f>
        <v>1</v>
      </c>
      <c r="BN21" s="782" t="b">
        <f>EXACT(F21,'[7]POA 2015 ODC'!H26)</f>
        <v>1</v>
      </c>
      <c r="BO21" s="782" t="b">
        <f>EXACT(G21,'[7]POA 2015 ODC'!I26)</f>
        <v>1</v>
      </c>
      <c r="BP21" s="782" t="b">
        <f>EXACT(H21,'[7]POA 2015 ODC'!J26)</f>
        <v>1</v>
      </c>
    </row>
    <row r="22" spans="1:68" s="523" customFormat="1" ht="63">
      <c r="A22" s="781" t="s">
        <v>285</v>
      </c>
      <c r="B22" s="781" t="s">
        <v>1840</v>
      </c>
      <c r="C22" s="781" t="s">
        <v>2270</v>
      </c>
      <c r="D22" s="782" t="s">
        <v>2271</v>
      </c>
      <c r="E22" s="458">
        <f>SUM(L22,M22,N22,R22,S22,T22,X22,Y22,Z22,AD22,AE22,AF134,AF22)</f>
        <v>146</v>
      </c>
      <c r="F22" s="458" t="s">
        <v>307</v>
      </c>
      <c r="G22" s="782" t="s">
        <v>2272</v>
      </c>
      <c r="H22" s="519" t="s">
        <v>2273</v>
      </c>
      <c r="I22" s="458">
        <v>12</v>
      </c>
      <c r="J22" s="458"/>
      <c r="K22" s="458">
        <v>12</v>
      </c>
      <c r="L22" s="521">
        <v>13</v>
      </c>
      <c r="M22" s="521">
        <v>12</v>
      </c>
      <c r="N22" s="521">
        <v>13</v>
      </c>
      <c r="O22" s="521">
        <v>2000</v>
      </c>
      <c r="P22" s="521">
        <v>2000</v>
      </c>
      <c r="Q22" s="521">
        <v>2000</v>
      </c>
      <c r="R22" s="521">
        <v>10</v>
      </c>
      <c r="S22" s="521">
        <v>12</v>
      </c>
      <c r="T22" s="521">
        <v>13</v>
      </c>
      <c r="U22" s="521">
        <v>2000</v>
      </c>
      <c r="V22" s="521">
        <v>2000</v>
      </c>
      <c r="W22" s="521">
        <v>2000</v>
      </c>
      <c r="X22" s="521">
        <v>14</v>
      </c>
      <c r="Y22" s="521">
        <v>10</v>
      </c>
      <c r="Z22" s="521">
        <v>13</v>
      </c>
      <c r="AA22" s="521">
        <v>2000</v>
      </c>
      <c r="AB22" s="521">
        <v>2000</v>
      </c>
      <c r="AC22" s="521">
        <v>2000</v>
      </c>
      <c r="AD22" s="521">
        <v>13</v>
      </c>
      <c r="AE22" s="521">
        <v>13</v>
      </c>
      <c r="AF22" s="521">
        <v>10</v>
      </c>
      <c r="AG22" s="521">
        <v>2000</v>
      </c>
      <c r="AH22" s="521">
        <v>2000</v>
      </c>
      <c r="AI22" s="521">
        <v>2000</v>
      </c>
      <c r="AJ22" s="521">
        <f>SUM(O22,P22,Q22,U22,V22,W22,AA22,AB22,AC22,AG22,AH22,AI22)</f>
        <v>24000</v>
      </c>
      <c r="AK22" s="681">
        <f>+AJ22</f>
        <v>24000</v>
      </c>
      <c r="AL22" s="521"/>
      <c r="AM22" s="521"/>
      <c r="AN22" s="521"/>
      <c r="AO22" s="521"/>
      <c r="AP22" s="782" t="s">
        <v>1069</v>
      </c>
      <c r="AQ22" s="782" t="s">
        <v>2255</v>
      </c>
      <c r="AR22" s="782"/>
      <c r="AS22" s="682">
        <f t="shared" si="4"/>
        <v>0</v>
      </c>
      <c r="AT22" s="682">
        <f t="shared" si="5"/>
        <v>0</v>
      </c>
      <c r="AU22" s="682">
        <f t="shared" si="6"/>
        <v>0</v>
      </c>
      <c r="AV22" s="822" t="b">
        <f t="shared" si="8"/>
        <v>1</v>
      </c>
      <c r="AW22" s="822" t="b">
        <f t="shared" si="8"/>
        <v>1</v>
      </c>
      <c r="AX22" s="822" t="b">
        <f t="shared" si="8"/>
        <v>1</v>
      </c>
      <c r="AY22" s="822" t="b">
        <f t="shared" si="9"/>
        <v>1</v>
      </c>
      <c r="AZ22" s="822" t="b">
        <f t="shared" si="9"/>
        <v>1</v>
      </c>
      <c r="BA22" s="822" t="b">
        <f t="shared" si="9"/>
        <v>1</v>
      </c>
      <c r="BB22" s="822" t="b">
        <f t="shared" si="10"/>
        <v>1</v>
      </c>
      <c r="BC22" s="822" t="b">
        <f t="shared" si="10"/>
        <v>1</v>
      </c>
      <c r="BD22" s="822" t="b">
        <f t="shared" si="10"/>
        <v>1</v>
      </c>
      <c r="BE22" s="822" t="b">
        <f t="shared" si="11"/>
        <v>1</v>
      </c>
      <c r="BF22" s="822" t="b">
        <f t="shared" si="11"/>
        <v>1</v>
      </c>
      <c r="BG22" s="822" t="b">
        <f t="shared" si="11"/>
        <v>1</v>
      </c>
      <c r="BH22" s="822" t="b">
        <f t="shared" si="12"/>
        <v>1</v>
      </c>
      <c r="BI22" s="782"/>
      <c r="BJ22" s="782"/>
      <c r="BK22" s="782"/>
      <c r="BL22" s="782"/>
      <c r="BM22" s="782"/>
      <c r="BN22" s="782"/>
      <c r="BO22" s="782"/>
      <c r="BP22" s="782"/>
    </row>
    <row r="23" spans="1:68" s="523" customFormat="1" ht="63">
      <c r="A23" s="781" t="s">
        <v>285</v>
      </c>
      <c r="B23" s="781" t="s">
        <v>1840</v>
      </c>
      <c r="C23" s="781" t="s">
        <v>2274</v>
      </c>
      <c r="D23" s="782" t="s">
        <v>2275</v>
      </c>
      <c r="E23" s="458">
        <f>SUM(L23,M23,N23,R23,S23,T23,X23,Y23,Z23,AD23,AE23,AF137,AF23)</f>
        <v>357</v>
      </c>
      <c r="F23" s="458" t="s">
        <v>2276</v>
      </c>
      <c r="G23" s="782" t="s">
        <v>2277</v>
      </c>
      <c r="H23" s="519" t="s">
        <v>2278</v>
      </c>
      <c r="I23" s="458">
        <v>7</v>
      </c>
      <c r="J23" s="458"/>
      <c r="K23" s="458">
        <v>7</v>
      </c>
      <c r="L23" s="521">
        <v>31</v>
      </c>
      <c r="M23" s="521">
        <v>28</v>
      </c>
      <c r="N23" s="521">
        <v>31</v>
      </c>
      <c r="O23" s="521">
        <v>1250</v>
      </c>
      <c r="P23" s="521">
        <v>1250</v>
      </c>
      <c r="Q23" s="521">
        <v>1250</v>
      </c>
      <c r="R23" s="521">
        <v>30</v>
      </c>
      <c r="S23" s="521">
        <v>31</v>
      </c>
      <c r="T23" s="521">
        <v>30</v>
      </c>
      <c r="U23" s="521">
        <v>1250</v>
      </c>
      <c r="V23" s="521">
        <v>1250</v>
      </c>
      <c r="W23" s="521">
        <v>1250</v>
      </c>
      <c r="X23" s="521">
        <v>31</v>
      </c>
      <c r="Y23" s="521">
        <v>31</v>
      </c>
      <c r="Z23" s="521">
        <v>30</v>
      </c>
      <c r="AA23" s="521">
        <v>1250</v>
      </c>
      <c r="AB23" s="521">
        <v>1250</v>
      </c>
      <c r="AC23" s="521">
        <v>1250</v>
      </c>
      <c r="AD23" s="521">
        <v>31</v>
      </c>
      <c r="AE23" s="521">
        <v>30</v>
      </c>
      <c r="AF23" s="521">
        <v>23</v>
      </c>
      <c r="AG23" s="521">
        <v>1250</v>
      </c>
      <c r="AH23" s="521">
        <v>1250</v>
      </c>
      <c r="AI23" s="521">
        <v>1250</v>
      </c>
      <c r="AJ23" s="521">
        <f>SUM(O23,P23,Q23,U23,V23,W23,AA23,AB23,AC23,AG23,AH23,AI23)</f>
        <v>15000</v>
      </c>
      <c r="AK23" s="681">
        <f>+AJ23</f>
        <v>15000</v>
      </c>
      <c r="AL23" s="521"/>
      <c r="AM23" s="521"/>
      <c r="AN23" s="521"/>
      <c r="AO23" s="521"/>
      <c r="AP23" s="782" t="s">
        <v>1069</v>
      </c>
      <c r="AQ23" s="782" t="s">
        <v>2239</v>
      </c>
      <c r="AR23" s="782"/>
      <c r="AS23" s="682">
        <f t="shared" si="4"/>
        <v>0</v>
      </c>
      <c r="AT23" s="682">
        <f t="shared" si="5"/>
        <v>0</v>
      </c>
      <c r="AU23" s="682">
        <f t="shared" si="6"/>
        <v>0</v>
      </c>
      <c r="AV23" s="822" t="b">
        <f t="shared" si="8"/>
        <v>1</v>
      </c>
      <c r="AW23" s="822" t="b">
        <f t="shared" si="8"/>
        <v>1</v>
      </c>
      <c r="AX23" s="822" t="b">
        <f t="shared" si="8"/>
        <v>1</v>
      </c>
      <c r="AY23" s="822" t="b">
        <f t="shared" si="9"/>
        <v>1</v>
      </c>
      <c r="AZ23" s="822" t="b">
        <f t="shared" si="9"/>
        <v>1</v>
      </c>
      <c r="BA23" s="822" t="b">
        <f t="shared" si="9"/>
        <v>1</v>
      </c>
      <c r="BB23" s="822" t="b">
        <f t="shared" si="10"/>
        <v>1</v>
      </c>
      <c r="BC23" s="822" t="b">
        <f t="shared" si="10"/>
        <v>1</v>
      </c>
      <c r="BD23" s="822" t="b">
        <f t="shared" si="10"/>
        <v>1</v>
      </c>
      <c r="BE23" s="822" t="b">
        <f t="shared" si="11"/>
        <v>1</v>
      </c>
      <c r="BF23" s="822" t="b">
        <f t="shared" si="11"/>
        <v>1</v>
      </c>
      <c r="BG23" s="822" t="b">
        <f t="shared" si="11"/>
        <v>1</v>
      </c>
      <c r="BH23" s="822" t="b">
        <f t="shared" si="12"/>
        <v>1</v>
      </c>
      <c r="BI23" s="782"/>
      <c r="BJ23" s="782"/>
      <c r="BK23" s="782"/>
      <c r="BL23" s="782"/>
      <c r="BM23" s="782"/>
      <c r="BN23" s="782"/>
      <c r="BO23" s="782"/>
      <c r="BP23" s="782"/>
    </row>
    <row r="24" spans="1:68" s="523" customFormat="1" ht="47.25">
      <c r="A24" s="781" t="s">
        <v>285</v>
      </c>
      <c r="B24" s="781" t="s">
        <v>1840</v>
      </c>
      <c r="C24" s="781" t="s">
        <v>2279</v>
      </c>
      <c r="D24" s="782" t="s">
        <v>2280</v>
      </c>
      <c r="E24" s="458">
        <v>12</v>
      </c>
      <c r="F24" s="458" t="s">
        <v>2281</v>
      </c>
      <c r="G24" s="782" t="s">
        <v>2282</v>
      </c>
      <c r="H24" s="519" t="s">
        <v>2283</v>
      </c>
      <c r="I24" s="458">
        <v>6</v>
      </c>
      <c r="J24" s="458"/>
      <c r="K24" s="458">
        <v>6</v>
      </c>
      <c r="L24" s="521">
        <v>1</v>
      </c>
      <c r="M24" s="521">
        <v>1</v>
      </c>
      <c r="N24" s="521">
        <v>1</v>
      </c>
      <c r="O24" s="521">
        <v>750</v>
      </c>
      <c r="P24" s="521">
        <v>750</v>
      </c>
      <c r="Q24" s="521">
        <v>750</v>
      </c>
      <c r="R24" s="521">
        <v>1</v>
      </c>
      <c r="S24" s="521">
        <v>1</v>
      </c>
      <c r="T24" s="521">
        <v>1</v>
      </c>
      <c r="U24" s="521">
        <v>750</v>
      </c>
      <c r="V24" s="521">
        <v>750</v>
      </c>
      <c r="W24" s="521">
        <v>750</v>
      </c>
      <c r="X24" s="521">
        <v>1</v>
      </c>
      <c r="Y24" s="521">
        <v>1</v>
      </c>
      <c r="Z24" s="521">
        <v>1</v>
      </c>
      <c r="AA24" s="521">
        <v>750</v>
      </c>
      <c r="AB24" s="521">
        <v>750</v>
      </c>
      <c r="AC24" s="521">
        <v>750</v>
      </c>
      <c r="AD24" s="521">
        <v>1</v>
      </c>
      <c r="AE24" s="521">
        <v>1</v>
      </c>
      <c r="AF24" s="521">
        <v>1</v>
      </c>
      <c r="AG24" s="521">
        <v>750</v>
      </c>
      <c r="AH24" s="521">
        <v>750</v>
      </c>
      <c r="AI24" s="521">
        <v>750</v>
      </c>
      <c r="AJ24" s="521">
        <f>SUM(O24,P24,Q24,U24,V24,W24,AA24,AB24,AC24,AG24,AH24,AI24)</f>
        <v>9000</v>
      </c>
      <c r="AK24" s="681">
        <f>+AJ24</f>
        <v>9000</v>
      </c>
      <c r="AL24" s="521"/>
      <c r="AM24" s="521"/>
      <c r="AN24" s="521"/>
      <c r="AO24" s="521"/>
      <c r="AP24" s="782" t="s">
        <v>1069</v>
      </c>
      <c r="AQ24" s="782" t="s">
        <v>2255</v>
      </c>
      <c r="AR24" s="782"/>
      <c r="AS24" s="682">
        <f t="shared" si="4"/>
        <v>0</v>
      </c>
      <c r="AT24" s="682">
        <f t="shared" si="5"/>
        <v>0</v>
      </c>
      <c r="AU24" s="682">
        <f t="shared" si="6"/>
        <v>0</v>
      </c>
      <c r="AV24" s="822" t="b">
        <f t="shared" si="8"/>
        <v>1</v>
      </c>
      <c r="AW24" s="822" t="b">
        <f t="shared" si="8"/>
        <v>1</v>
      </c>
      <c r="AX24" s="822" t="b">
        <f t="shared" si="8"/>
        <v>1</v>
      </c>
      <c r="AY24" s="822" t="b">
        <f t="shared" si="9"/>
        <v>1</v>
      </c>
      <c r="AZ24" s="822" t="b">
        <f t="shared" si="9"/>
        <v>1</v>
      </c>
      <c r="BA24" s="822" t="b">
        <f t="shared" si="9"/>
        <v>1</v>
      </c>
      <c r="BB24" s="822" t="b">
        <f t="shared" si="10"/>
        <v>1</v>
      </c>
      <c r="BC24" s="822" t="b">
        <f t="shared" si="10"/>
        <v>1</v>
      </c>
      <c r="BD24" s="822" t="b">
        <f t="shared" si="10"/>
        <v>1</v>
      </c>
      <c r="BE24" s="822" t="b">
        <f t="shared" si="11"/>
        <v>1</v>
      </c>
      <c r="BF24" s="822" t="b">
        <f t="shared" si="11"/>
        <v>1</v>
      </c>
      <c r="BG24" s="822" t="b">
        <f t="shared" si="11"/>
        <v>1</v>
      </c>
      <c r="BH24" s="822" t="b">
        <f t="shared" si="12"/>
        <v>1</v>
      </c>
      <c r="BI24" s="782"/>
      <c r="BJ24" s="782"/>
      <c r="BK24" s="782"/>
      <c r="BL24" s="782"/>
      <c r="BM24" s="782"/>
      <c r="BN24" s="782"/>
      <c r="BO24" s="782"/>
      <c r="BP24" s="782"/>
    </row>
    <row r="25" spans="1:68" s="523" customFormat="1" ht="78.75">
      <c r="A25" s="781" t="s">
        <v>285</v>
      </c>
      <c r="B25" s="781" t="s">
        <v>1840</v>
      </c>
      <c r="C25" s="781" t="s">
        <v>2284</v>
      </c>
      <c r="D25" s="782" t="s">
        <v>2285</v>
      </c>
      <c r="E25" s="458">
        <f>SUM(L25,M25,N25,R25,S25,T25,X25,Y25,Z25,AD25,AE25,AF139,AF25)</f>
        <v>360</v>
      </c>
      <c r="F25" s="458" t="s">
        <v>2286</v>
      </c>
      <c r="G25" s="782" t="s">
        <v>2287</v>
      </c>
      <c r="H25" s="519" t="s">
        <v>2288</v>
      </c>
      <c r="I25" s="458">
        <v>3</v>
      </c>
      <c r="J25" s="458"/>
      <c r="K25" s="458">
        <v>3</v>
      </c>
      <c r="L25" s="521">
        <v>30</v>
      </c>
      <c r="M25" s="521">
        <v>30</v>
      </c>
      <c r="N25" s="521">
        <v>30</v>
      </c>
      <c r="O25" s="521">
        <v>500</v>
      </c>
      <c r="P25" s="521">
        <v>500</v>
      </c>
      <c r="Q25" s="521">
        <v>500</v>
      </c>
      <c r="R25" s="521">
        <v>30</v>
      </c>
      <c r="S25" s="521">
        <v>30</v>
      </c>
      <c r="T25" s="521">
        <v>30</v>
      </c>
      <c r="U25" s="521">
        <v>500</v>
      </c>
      <c r="V25" s="521">
        <v>500</v>
      </c>
      <c r="W25" s="521">
        <v>500</v>
      </c>
      <c r="X25" s="521">
        <v>30</v>
      </c>
      <c r="Y25" s="521">
        <v>30</v>
      </c>
      <c r="Z25" s="521">
        <v>30</v>
      </c>
      <c r="AA25" s="521">
        <v>500</v>
      </c>
      <c r="AB25" s="521">
        <v>500</v>
      </c>
      <c r="AC25" s="521">
        <v>500</v>
      </c>
      <c r="AD25" s="521">
        <v>30</v>
      </c>
      <c r="AE25" s="521">
        <v>30</v>
      </c>
      <c r="AF25" s="521">
        <v>30</v>
      </c>
      <c r="AG25" s="521">
        <v>500</v>
      </c>
      <c r="AH25" s="521">
        <v>500</v>
      </c>
      <c r="AI25" s="521">
        <v>500</v>
      </c>
      <c r="AJ25" s="521">
        <v>6000</v>
      </c>
      <c r="AK25" s="681">
        <v>6000</v>
      </c>
      <c r="AL25" s="521"/>
      <c r="AM25" s="521"/>
      <c r="AN25" s="521"/>
      <c r="AO25" s="521"/>
      <c r="AP25" s="782" t="s">
        <v>1069</v>
      </c>
      <c r="AQ25" s="782" t="s">
        <v>2265</v>
      </c>
      <c r="AR25" s="782"/>
      <c r="AS25" s="682">
        <f t="shared" si="4"/>
        <v>0</v>
      </c>
      <c r="AT25" s="682">
        <f t="shared" si="5"/>
        <v>0</v>
      </c>
      <c r="AU25" s="682">
        <f t="shared" si="6"/>
        <v>0</v>
      </c>
      <c r="AV25" s="822" t="b">
        <f t="shared" si="8"/>
        <v>1</v>
      </c>
      <c r="AW25" s="822" t="b">
        <f t="shared" si="8"/>
        <v>1</v>
      </c>
      <c r="AX25" s="822" t="b">
        <f t="shared" si="8"/>
        <v>1</v>
      </c>
      <c r="AY25" s="822" t="b">
        <f t="shared" si="9"/>
        <v>1</v>
      </c>
      <c r="AZ25" s="822" t="b">
        <f t="shared" si="9"/>
        <v>1</v>
      </c>
      <c r="BA25" s="822" t="b">
        <f t="shared" si="9"/>
        <v>1</v>
      </c>
      <c r="BB25" s="822" t="b">
        <f t="shared" si="10"/>
        <v>1</v>
      </c>
      <c r="BC25" s="822" t="b">
        <f t="shared" si="10"/>
        <v>1</v>
      </c>
      <c r="BD25" s="822" t="b">
        <f t="shared" si="10"/>
        <v>1</v>
      </c>
      <c r="BE25" s="822" t="b">
        <f t="shared" si="11"/>
        <v>1</v>
      </c>
      <c r="BF25" s="822" t="b">
        <f t="shared" si="11"/>
        <v>1</v>
      </c>
      <c r="BG25" s="822" t="b">
        <f t="shared" si="11"/>
        <v>1</v>
      </c>
      <c r="BH25" s="822" t="b">
        <f t="shared" si="12"/>
        <v>1</v>
      </c>
      <c r="BI25" s="782"/>
      <c r="BJ25" s="782"/>
      <c r="BK25" s="782"/>
      <c r="BL25" s="782"/>
      <c r="BM25" s="782"/>
      <c r="BN25" s="782"/>
      <c r="BO25" s="782"/>
      <c r="BP25" s="782"/>
    </row>
    <row r="26" spans="1:68" s="433" customFormat="1" ht="78.75">
      <c r="A26" s="457" t="s">
        <v>285</v>
      </c>
      <c r="B26" s="457" t="s">
        <v>1840</v>
      </c>
      <c r="C26" s="781" t="s">
        <v>2289</v>
      </c>
      <c r="D26" s="460" t="s">
        <v>2290</v>
      </c>
      <c r="E26" s="451">
        <f>SUM(L26,M26,N26,R26,S26,T26,X26,Y26,Z26,AD26,AE26,AF140,AF26)</f>
        <v>3840</v>
      </c>
      <c r="F26" s="451" t="s">
        <v>2286</v>
      </c>
      <c r="G26" s="460" t="s">
        <v>2291</v>
      </c>
      <c r="H26" s="449" t="s">
        <v>2292</v>
      </c>
      <c r="I26" s="451">
        <v>3</v>
      </c>
      <c r="J26" s="451"/>
      <c r="K26" s="451">
        <v>3</v>
      </c>
      <c r="L26" s="683">
        <v>320</v>
      </c>
      <c r="M26" s="683">
        <v>320</v>
      </c>
      <c r="N26" s="683">
        <v>320</v>
      </c>
      <c r="O26" s="683">
        <v>500</v>
      </c>
      <c r="P26" s="683">
        <v>500</v>
      </c>
      <c r="Q26" s="683">
        <v>500</v>
      </c>
      <c r="R26" s="683">
        <v>320</v>
      </c>
      <c r="S26" s="683">
        <v>320</v>
      </c>
      <c r="T26" s="683">
        <v>320</v>
      </c>
      <c r="U26" s="683">
        <v>500</v>
      </c>
      <c r="V26" s="683">
        <v>500</v>
      </c>
      <c r="W26" s="683">
        <v>500</v>
      </c>
      <c r="X26" s="683">
        <v>320</v>
      </c>
      <c r="Y26" s="683">
        <v>320</v>
      </c>
      <c r="Z26" s="683">
        <v>320</v>
      </c>
      <c r="AA26" s="683">
        <v>500</v>
      </c>
      <c r="AB26" s="683">
        <v>500</v>
      </c>
      <c r="AC26" s="683">
        <v>500</v>
      </c>
      <c r="AD26" s="683">
        <v>320</v>
      </c>
      <c r="AE26" s="683">
        <v>320</v>
      </c>
      <c r="AF26" s="683">
        <v>320</v>
      </c>
      <c r="AG26" s="683">
        <v>500</v>
      </c>
      <c r="AH26" s="683">
        <v>500</v>
      </c>
      <c r="AI26" s="683">
        <v>500</v>
      </c>
      <c r="AJ26" s="517">
        <f>SUM(O26,P26,Q26,U26,V26,W26,AA26,AB26,AC26,AG26,AH26,AI26)</f>
        <v>6000</v>
      </c>
      <c r="AK26" s="680">
        <f>+AJ26</f>
        <v>6000</v>
      </c>
      <c r="AL26" s="683"/>
      <c r="AM26" s="683"/>
      <c r="AN26" s="683"/>
      <c r="AO26" s="683"/>
      <c r="AP26" s="524" t="s">
        <v>1069</v>
      </c>
      <c r="AQ26" s="460" t="s">
        <v>2265</v>
      </c>
      <c r="AR26" s="524"/>
      <c r="AS26" s="677">
        <f t="shared" si="4"/>
        <v>0</v>
      </c>
      <c r="AT26" s="677">
        <f t="shared" si="5"/>
        <v>0</v>
      </c>
      <c r="AU26" s="677">
        <f t="shared" si="6"/>
        <v>0</v>
      </c>
      <c r="AV26" s="821" t="b">
        <f t="shared" si="8"/>
        <v>1</v>
      </c>
      <c r="AW26" s="821" t="b">
        <f t="shared" si="8"/>
        <v>1</v>
      </c>
      <c r="AX26" s="821" t="b">
        <f t="shared" si="8"/>
        <v>1</v>
      </c>
      <c r="AY26" s="821" t="b">
        <f t="shared" si="9"/>
        <v>1</v>
      </c>
      <c r="AZ26" s="821" t="b">
        <f t="shared" si="9"/>
        <v>1</v>
      </c>
      <c r="BA26" s="821" t="b">
        <f t="shared" si="9"/>
        <v>1</v>
      </c>
      <c r="BB26" s="821" t="b">
        <f t="shared" si="10"/>
        <v>1</v>
      </c>
      <c r="BC26" s="821" t="b">
        <f t="shared" si="10"/>
        <v>1</v>
      </c>
      <c r="BD26" s="821" t="b">
        <f t="shared" si="10"/>
        <v>1</v>
      </c>
      <c r="BE26" s="821" t="b">
        <f t="shared" si="11"/>
        <v>1</v>
      </c>
      <c r="BF26" s="821" t="b">
        <f t="shared" si="11"/>
        <v>1</v>
      </c>
      <c r="BG26" s="821" t="b">
        <f t="shared" si="11"/>
        <v>1</v>
      </c>
      <c r="BH26" s="821" t="b">
        <f t="shared" si="12"/>
        <v>1</v>
      </c>
      <c r="BI26" s="460"/>
      <c r="BJ26" s="460"/>
      <c r="BK26" s="460"/>
      <c r="BL26" s="460"/>
      <c r="BM26" s="460"/>
      <c r="BN26" s="460"/>
      <c r="BO26" s="460"/>
      <c r="BP26" s="460"/>
    </row>
    <row r="27" spans="1:68" s="433" customFormat="1" ht="78.75">
      <c r="A27" s="457" t="s">
        <v>285</v>
      </c>
      <c r="B27" s="457" t="s">
        <v>1840</v>
      </c>
      <c r="C27" s="781" t="s">
        <v>2293</v>
      </c>
      <c r="D27" s="679" t="s">
        <v>2294</v>
      </c>
      <c r="E27" s="451">
        <f>SUM(L27,M27,N27,R27,S27,T27,X27,Y27,Z27,AD27,AE27,AF141,AF27)</f>
        <v>2100000</v>
      </c>
      <c r="F27" s="451" t="s">
        <v>51</v>
      </c>
      <c r="G27" s="679" t="s">
        <v>2295</v>
      </c>
      <c r="H27" s="449" t="s">
        <v>2296</v>
      </c>
      <c r="I27" s="451">
        <v>6</v>
      </c>
      <c r="J27" s="640"/>
      <c r="K27" s="451">
        <v>6</v>
      </c>
      <c r="L27" s="683">
        <v>175000</v>
      </c>
      <c r="M27" s="683">
        <v>175000</v>
      </c>
      <c r="N27" s="683">
        <v>175000</v>
      </c>
      <c r="O27" s="683">
        <v>1000</v>
      </c>
      <c r="P27" s="683">
        <v>1000</v>
      </c>
      <c r="Q27" s="683">
        <v>1000</v>
      </c>
      <c r="R27" s="683">
        <v>175000</v>
      </c>
      <c r="S27" s="683">
        <v>175000</v>
      </c>
      <c r="T27" s="683">
        <v>175000</v>
      </c>
      <c r="U27" s="683">
        <v>1000</v>
      </c>
      <c r="V27" s="683">
        <v>1000</v>
      </c>
      <c r="W27" s="683">
        <v>1000</v>
      </c>
      <c r="X27" s="683">
        <v>175000</v>
      </c>
      <c r="Y27" s="683">
        <v>175000</v>
      </c>
      <c r="Z27" s="683">
        <v>175000</v>
      </c>
      <c r="AA27" s="683">
        <v>1000</v>
      </c>
      <c r="AB27" s="683">
        <v>1000</v>
      </c>
      <c r="AC27" s="683">
        <v>1000</v>
      </c>
      <c r="AD27" s="683">
        <v>175000</v>
      </c>
      <c r="AE27" s="683">
        <v>175000</v>
      </c>
      <c r="AF27" s="683">
        <v>175000</v>
      </c>
      <c r="AG27" s="683">
        <v>1000</v>
      </c>
      <c r="AH27" s="683">
        <v>1000</v>
      </c>
      <c r="AI27" s="683">
        <v>1000</v>
      </c>
      <c r="AJ27" s="517">
        <f>SUM(O27,P27,Q27,U27,V27,W27,AA27,AB27,AC27,AG27,AH27,AI27)</f>
        <v>12000</v>
      </c>
      <c r="AK27" s="680">
        <f>+AJ27</f>
        <v>12000</v>
      </c>
      <c r="AL27" s="683"/>
      <c r="AM27" s="683"/>
      <c r="AN27" s="683"/>
      <c r="AO27" s="683"/>
      <c r="AP27" s="524" t="s">
        <v>1069</v>
      </c>
      <c r="AQ27" s="460" t="s">
        <v>2265</v>
      </c>
      <c r="AR27" s="524"/>
      <c r="AS27" s="677">
        <f t="shared" si="4"/>
        <v>0</v>
      </c>
      <c r="AT27" s="677">
        <f t="shared" si="5"/>
        <v>0</v>
      </c>
      <c r="AU27" s="677">
        <f t="shared" si="6"/>
        <v>0</v>
      </c>
      <c r="AV27" s="821" t="b">
        <f t="shared" si="8"/>
        <v>1</v>
      </c>
      <c r="AW27" s="821" t="b">
        <f t="shared" si="8"/>
        <v>1</v>
      </c>
      <c r="AX27" s="821" t="b">
        <f t="shared" si="8"/>
        <v>1</v>
      </c>
      <c r="AY27" s="821" t="b">
        <f t="shared" si="9"/>
        <v>1</v>
      </c>
      <c r="AZ27" s="821" t="b">
        <f t="shared" si="9"/>
        <v>1</v>
      </c>
      <c r="BA27" s="821" t="b">
        <f t="shared" si="9"/>
        <v>1</v>
      </c>
      <c r="BB27" s="821" t="b">
        <f t="shared" si="10"/>
        <v>1</v>
      </c>
      <c r="BC27" s="821" t="b">
        <f t="shared" si="10"/>
        <v>1</v>
      </c>
      <c r="BD27" s="821" t="b">
        <f t="shared" si="10"/>
        <v>1</v>
      </c>
      <c r="BE27" s="821" t="b">
        <f t="shared" si="11"/>
        <v>1</v>
      </c>
      <c r="BF27" s="821" t="b">
        <f t="shared" si="11"/>
        <v>1</v>
      </c>
      <c r="BG27" s="821" t="b">
        <f t="shared" si="11"/>
        <v>1</v>
      </c>
      <c r="BH27" s="821" t="b">
        <f t="shared" si="12"/>
        <v>1</v>
      </c>
      <c r="BI27" s="460"/>
      <c r="BJ27" s="460"/>
      <c r="BK27" s="460"/>
      <c r="BL27" s="460"/>
      <c r="BM27" s="460"/>
      <c r="BN27" s="460"/>
      <c r="BO27" s="460"/>
      <c r="BP27" s="460"/>
    </row>
    <row r="28" spans="1:68" s="433" customFormat="1" ht="94.5">
      <c r="A28" s="457" t="s">
        <v>285</v>
      </c>
      <c r="B28" s="457" t="s">
        <v>1840</v>
      </c>
      <c r="C28" s="781" t="s">
        <v>2297</v>
      </c>
      <c r="D28" s="449" t="s">
        <v>2298</v>
      </c>
      <c r="E28" s="451">
        <f>SUM(L28,M28,N28,R28,S28,T28,X28,Y28,Z28,AD28,AE28,AF142,AF28)</f>
        <v>2400</v>
      </c>
      <c r="F28" s="451" t="s">
        <v>2299</v>
      </c>
      <c r="G28" s="449" t="s">
        <v>2300</v>
      </c>
      <c r="H28" s="449" t="s">
        <v>2301</v>
      </c>
      <c r="I28" s="451">
        <v>5</v>
      </c>
      <c r="J28" s="640"/>
      <c r="K28" s="451">
        <v>5</v>
      </c>
      <c r="L28" s="683">
        <v>200</v>
      </c>
      <c r="M28" s="683">
        <v>200</v>
      </c>
      <c r="N28" s="683">
        <v>200</v>
      </c>
      <c r="O28" s="683">
        <v>900</v>
      </c>
      <c r="P28" s="683">
        <v>900</v>
      </c>
      <c r="Q28" s="683">
        <v>900</v>
      </c>
      <c r="R28" s="683">
        <v>200</v>
      </c>
      <c r="S28" s="683">
        <v>200</v>
      </c>
      <c r="T28" s="683">
        <v>200</v>
      </c>
      <c r="U28" s="683">
        <v>900</v>
      </c>
      <c r="V28" s="683">
        <v>900</v>
      </c>
      <c r="W28" s="683">
        <v>900</v>
      </c>
      <c r="X28" s="683">
        <v>200</v>
      </c>
      <c r="Y28" s="683">
        <v>200</v>
      </c>
      <c r="Z28" s="683">
        <v>200</v>
      </c>
      <c r="AA28" s="683">
        <v>900</v>
      </c>
      <c r="AB28" s="683">
        <v>900</v>
      </c>
      <c r="AC28" s="683">
        <v>900</v>
      </c>
      <c r="AD28" s="683">
        <v>200</v>
      </c>
      <c r="AE28" s="683">
        <v>200</v>
      </c>
      <c r="AF28" s="683">
        <v>200</v>
      </c>
      <c r="AG28" s="683">
        <v>900</v>
      </c>
      <c r="AH28" s="683">
        <v>900</v>
      </c>
      <c r="AI28" s="683">
        <v>900</v>
      </c>
      <c r="AJ28" s="517">
        <f>SUM(O28,P28,Q28,U28,V28,W28,AA28,AB28,AC28,AG28,AH28,AI28)</f>
        <v>10800</v>
      </c>
      <c r="AK28" s="680">
        <f>+AJ28</f>
        <v>10800</v>
      </c>
      <c r="AL28" s="683"/>
      <c r="AM28" s="683"/>
      <c r="AN28" s="683"/>
      <c r="AO28" s="683"/>
      <c r="AP28" s="524" t="s">
        <v>1069</v>
      </c>
      <c r="AQ28" s="460" t="s">
        <v>2265</v>
      </c>
      <c r="AR28" s="524"/>
      <c r="AS28" s="677">
        <f t="shared" si="4"/>
        <v>0</v>
      </c>
      <c r="AT28" s="677">
        <f t="shared" si="5"/>
        <v>0</v>
      </c>
      <c r="AU28" s="677">
        <f t="shared" si="6"/>
        <v>0</v>
      </c>
      <c r="AV28" s="821" t="b">
        <f t="shared" si="8"/>
        <v>1</v>
      </c>
      <c r="AW28" s="821" t="b">
        <f t="shared" si="8"/>
        <v>1</v>
      </c>
      <c r="AX28" s="821" t="b">
        <f t="shared" si="8"/>
        <v>1</v>
      </c>
      <c r="AY28" s="821" t="b">
        <f t="shared" si="9"/>
        <v>1</v>
      </c>
      <c r="AZ28" s="821" t="b">
        <f t="shared" si="9"/>
        <v>1</v>
      </c>
      <c r="BA28" s="821" t="b">
        <f t="shared" si="9"/>
        <v>1</v>
      </c>
      <c r="BB28" s="821" t="b">
        <f t="shared" si="10"/>
        <v>1</v>
      </c>
      <c r="BC28" s="821" t="b">
        <f t="shared" si="10"/>
        <v>1</v>
      </c>
      <c r="BD28" s="821" t="b">
        <f t="shared" si="10"/>
        <v>1</v>
      </c>
      <c r="BE28" s="821" t="b">
        <f t="shared" si="11"/>
        <v>1</v>
      </c>
      <c r="BF28" s="821" t="b">
        <f t="shared" si="11"/>
        <v>1</v>
      </c>
      <c r="BG28" s="821" t="b">
        <f t="shared" si="11"/>
        <v>1</v>
      </c>
      <c r="BH28" s="821" t="b">
        <f t="shared" si="12"/>
        <v>1</v>
      </c>
      <c r="BI28" s="460"/>
      <c r="BJ28" s="460"/>
      <c r="BK28" s="460"/>
      <c r="BL28" s="460"/>
      <c r="BM28" s="460"/>
      <c r="BN28" s="460"/>
      <c r="BO28" s="460"/>
      <c r="BP28" s="460"/>
    </row>
    <row r="29" spans="1:68" s="433" customFormat="1" ht="15.75">
      <c r="A29" s="684"/>
      <c r="B29" s="684"/>
      <c r="C29" s="685"/>
      <c r="D29" s="771" t="s">
        <v>156</v>
      </c>
      <c r="E29" s="686"/>
      <c r="F29" s="685"/>
      <c r="G29" s="685"/>
      <c r="H29" s="685"/>
      <c r="I29" s="686"/>
      <c r="J29" s="686"/>
      <c r="K29" s="686"/>
      <c r="L29" s="687"/>
      <c r="M29" s="687"/>
      <c r="N29" s="687"/>
      <c r="O29" s="687">
        <f>+O10+O12</f>
        <v>17150</v>
      </c>
      <c r="P29" s="687">
        <f>+P10+P12</f>
        <v>17150</v>
      </c>
      <c r="Q29" s="687">
        <f>+Q10+Q12</f>
        <v>17150</v>
      </c>
      <c r="R29" s="687"/>
      <c r="S29" s="687"/>
      <c r="T29" s="687"/>
      <c r="U29" s="687">
        <f>+U10+U12</f>
        <v>17150</v>
      </c>
      <c r="V29" s="687">
        <f>+V10+V12</f>
        <v>17150</v>
      </c>
      <c r="W29" s="687">
        <f>+W10+W12</f>
        <v>17150</v>
      </c>
      <c r="X29" s="687"/>
      <c r="Y29" s="687"/>
      <c r="Z29" s="687"/>
      <c r="AA29" s="687">
        <f>+AA10+AA12</f>
        <v>17150</v>
      </c>
      <c r="AB29" s="687">
        <f>+AB10+AB12</f>
        <v>77810</v>
      </c>
      <c r="AC29" s="687">
        <f>+AC10+AC12</f>
        <v>17150</v>
      </c>
      <c r="AD29" s="687"/>
      <c r="AE29" s="687"/>
      <c r="AF29" s="687"/>
      <c r="AG29" s="687">
        <f t="shared" ref="AG29:AO29" si="14">+AG10+AG12</f>
        <v>17150</v>
      </c>
      <c r="AH29" s="687">
        <f t="shared" si="14"/>
        <v>17150</v>
      </c>
      <c r="AI29" s="687">
        <f t="shared" si="14"/>
        <v>17150</v>
      </c>
      <c r="AJ29" s="687">
        <f>+AJ10+AJ12</f>
        <v>266460</v>
      </c>
      <c r="AK29" s="687">
        <f t="shared" si="14"/>
        <v>266460</v>
      </c>
      <c r="AL29" s="687">
        <f t="shared" si="14"/>
        <v>0</v>
      </c>
      <c r="AM29" s="687">
        <f t="shared" si="14"/>
        <v>0</v>
      </c>
      <c r="AN29" s="687">
        <f t="shared" si="14"/>
        <v>0</v>
      </c>
      <c r="AO29" s="687">
        <f t="shared" si="14"/>
        <v>0</v>
      </c>
      <c r="AP29" s="686"/>
      <c r="AQ29" s="771"/>
      <c r="AR29" s="771"/>
      <c r="AS29" s="677">
        <f t="shared" si="4"/>
        <v>0</v>
      </c>
      <c r="AT29" s="677">
        <f t="shared" si="5"/>
        <v>0</v>
      </c>
      <c r="AU29" s="677">
        <f t="shared" si="6"/>
        <v>0</v>
      </c>
      <c r="AV29" s="821"/>
      <c r="AW29" s="821"/>
      <c r="AX29" s="821"/>
      <c r="AY29" s="821"/>
      <c r="AZ29" s="821"/>
      <c r="BA29" s="821"/>
      <c r="BB29" s="821"/>
      <c r="BC29" s="821"/>
      <c r="BD29" s="821"/>
      <c r="BE29" s="821"/>
      <c r="BF29" s="821"/>
      <c r="BG29" s="821"/>
      <c r="BH29" s="821"/>
    </row>
    <row r="30" spans="1:68" s="433" customFormat="1" ht="15.75">
      <c r="C30" s="578"/>
      <c r="D30" s="578"/>
      <c r="E30" s="578"/>
      <c r="F30" s="578"/>
      <c r="G30" s="578"/>
      <c r="H30" s="578"/>
      <c r="O30" s="470"/>
      <c r="P30" s="470"/>
      <c r="Q30" s="470"/>
      <c r="R30" s="470"/>
      <c r="S30" s="470"/>
      <c r="T30" s="470"/>
      <c r="U30" s="470"/>
      <c r="V30" s="470"/>
      <c r="AK30" s="470"/>
      <c r="AP30" s="578"/>
      <c r="AQ30" s="578"/>
      <c r="AR30" s="578"/>
    </row>
    <row r="36" spans="17:17">
      <c r="Q36" s="825">
        <f>266460/12</f>
        <v>22205</v>
      </c>
    </row>
    <row r="37" spans="17:17">
      <c r="Q37" s="825">
        <f>+Q36-O29</f>
        <v>5055</v>
      </c>
    </row>
  </sheetData>
  <mergeCells count="46">
    <mergeCell ref="A1:AR1"/>
    <mergeCell ref="A2:AR2"/>
    <mergeCell ref="A6:C6"/>
    <mergeCell ref="D6:D9"/>
    <mergeCell ref="E6:E9"/>
    <mergeCell ref="F6:F9"/>
    <mergeCell ref="G6:G9"/>
    <mergeCell ref="H6:H9"/>
    <mergeCell ref="I6:I9"/>
    <mergeCell ref="J6:J9"/>
    <mergeCell ref="AK6:AO6"/>
    <mergeCell ref="AP6:AP9"/>
    <mergeCell ref="AQ6:AQ9"/>
    <mergeCell ref="AR6:AR9"/>
    <mergeCell ref="AD7:AI7"/>
    <mergeCell ref="AJ7:AJ9"/>
    <mergeCell ref="AK7:AK9"/>
    <mergeCell ref="AL7:AL9"/>
    <mergeCell ref="AM7:AM9"/>
    <mergeCell ref="AN7:AN9"/>
    <mergeCell ref="AO7:AO9"/>
    <mergeCell ref="AD8:AF8"/>
    <mergeCell ref="L7:Q7"/>
    <mergeCell ref="R7:W7"/>
    <mergeCell ref="X7:AC7"/>
    <mergeCell ref="L8:N8"/>
    <mergeCell ref="O8:Q8"/>
    <mergeCell ref="R8:T8"/>
    <mergeCell ref="U8:W8"/>
    <mergeCell ref="X8:Z8"/>
    <mergeCell ref="AG8:AI8"/>
    <mergeCell ref="A19:A20"/>
    <mergeCell ref="B19:B20"/>
    <mergeCell ref="C19:C20"/>
    <mergeCell ref="D19:D20"/>
    <mergeCell ref="G19:G20"/>
    <mergeCell ref="H19:H20"/>
    <mergeCell ref="I19:I20"/>
    <mergeCell ref="J19:J20"/>
    <mergeCell ref="K19:K20"/>
    <mergeCell ref="A7:A9"/>
    <mergeCell ref="B7:B9"/>
    <mergeCell ref="C7:C9"/>
    <mergeCell ref="K6:K9"/>
    <mergeCell ref="L6:AJ6"/>
    <mergeCell ref="AA8:AC8"/>
  </mergeCells>
  <printOptions horizontalCentered="1"/>
  <pageMargins left="0.98425196850393704" right="0.78740157480314965" top="0.98425196850393704" bottom="0.78740157480314965" header="0.19685039370078741" footer="0.19685039370078741"/>
  <pageSetup paperSize="5" scale="38" orientation="landscape" r:id="rId1"/>
  <headerFooter alignWithMargins="0">
    <oddFooter>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BT14"/>
  <sheetViews>
    <sheetView showGridLines="0" view="pageBreakPreview" topLeftCell="Q11" zoomScaleNormal="100" zoomScaleSheetLayoutView="100" workbookViewId="0">
      <selection activeCell="F13" sqref="F13"/>
    </sheetView>
  </sheetViews>
  <sheetFormatPr baseColWidth="10" defaultRowHeight="15.75"/>
  <cols>
    <col min="1" max="1" width="5" style="433" bestFit="1" customWidth="1"/>
    <col min="2" max="2" width="7.7109375" style="433" bestFit="1" customWidth="1"/>
    <col min="3" max="3" width="16.140625" style="433" bestFit="1" customWidth="1"/>
    <col min="4" max="4" width="22.42578125" style="433" customWidth="1"/>
    <col min="5" max="5" width="9" style="433" customWidth="1"/>
    <col min="6" max="6" width="13.140625" style="433" customWidth="1"/>
    <col min="7" max="7" width="18.140625" style="433" customWidth="1"/>
    <col min="8" max="8" width="15.5703125" style="433" customWidth="1"/>
    <col min="9" max="9" width="12.42578125" style="433" customWidth="1"/>
    <col min="10" max="10" width="13.140625" style="433" customWidth="1"/>
    <col min="11" max="11" width="11.5703125" style="433" customWidth="1"/>
    <col min="12" max="12" width="2.140625" style="433" customWidth="1"/>
    <col min="13" max="13" width="2.140625" style="433" bestFit="1" customWidth="1"/>
    <col min="14" max="14" width="3" style="433" bestFit="1" customWidth="1"/>
    <col min="15" max="15" width="7.28515625" style="470" bestFit="1" customWidth="1"/>
    <col min="16" max="16" width="6.140625" style="470" bestFit="1" customWidth="1"/>
    <col min="17" max="17" width="7.28515625" style="470" bestFit="1" customWidth="1"/>
    <col min="18" max="20" width="3.28515625" style="470" bestFit="1" customWidth="1"/>
    <col min="21" max="22" width="7.28515625" style="470" bestFit="1" customWidth="1"/>
    <col min="23" max="23" width="7.28515625" style="433" bestFit="1" customWidth="1"/>
    <col min="24" max="26" width="3.28515625" style="433" bestFit="1" customWidth="1"/>
    <col min="27" max="29" width="7.28515625" style="433" bestFit="1" customWidth="1"/>
    <col min="30" max="32" width="3.28515625" style="433" bestFit="1" customWidth="1"/>
    <col min="33" max="35" width="7.28515625" style="433" bestFit="1" customWidth="1"/>
    <col min="36" max="36" width="9.140625" style="433" bestFit="1" customWidth="1"/>
    <col min="37" max="37" width="10.140625" style="470" customWidth="1"/>
    <col min="38" max="38" width="6.42578125" style="433" customWidth="1"/>
    <col min="39" max="39" width="7.28515625" style="433" customWidth="1"/>
    <col min="40" max="40" width="9.28515625" style="433" customWidth="1"/>
    <col min="41" max="41" width="6" style="433" customWidth="1"/>
    <col min="42" max="42" width="12" style="433" customWidth="1"/>
    <col min="43" max="43" width="15" style="433" customWidth="1"/>
    <col min="44" max="44" width="13.85546875" style="433" customWidth="1"/>
    <col min="45" max="256" width="11.42578125" style="433"/>
    <col min="257" max="257" width="5" style="433" bestFit="1" customWidth="1"/>
    <col min="258" max="258" width="7.7109375" style="433" bestFit="1" customWidth="1"/>
    <col min="259" max="259" width="16.140625" style="433" bestFit="1" customWidth="1"/>
    <col min="260" max="260" width="22.42578125" style="433" customWidth="1"/>
    <col min="261" max="261" width="9" style="433" customWidth="1"/>
    <col min="262" max="262" width="10.28515625" style="433" customWidth="1"/>
    <col min="263" max="263" width="18.140625" style="433" customWidth="1"/>
    <col min="264" max="264" width="15.5703125" style="433" customWidth="1"/>
    <col min="265" max="265" width="12.42578125" style="433" customWidth="1"/>
    <col min="266" max="266" width="13.140625" style="433" customWidth="1"/>
    <col min="267" max="267" width="11.5703125" style="433" customWidth="1"/>
    <col min="268" max="268" width="2.140625" style="433" customWidth="1"/>
    <col min="269" max="269" width="2.140625" style="433" bestFit="1" customWidth="1"/>
    <col min="270" max="270" width="3" style="433" bestFit="1" customWidth="1"/>
    <col min="271" max="271" width="7.28515625" style="433" bestFit="1" customWidth="1"/>
    <col min="272" max="272" width="6.140625" style="433" bestFit="1" customWidth="1"/>
    <col min="273" max="273" width="7.28515625" style="433" bestFit="1" customWidth="1"/>
    <col min="274" max="276" width="3.28515625" style="433" bestFit="1" customWidth="1"/>
    <col min="277" max="279" width="7.28515625" style="433" bestFit="1" customWidth="1"/>
    <col min="280" max="282" width="3.28515625" style="433" bestFit="1" customWidth="1"/>
    <col min="283" max="285" width="7.28515625" style="433" bestFit="1" customWidth="1"/>
    <col min="286" max="288" width="3.28515625" style="433" bestFit="1" customWidth="1"/>
    <col min="289" max="291" width="7.28515625" style="433" bestFit="1" customWidth="1"/>
    <col min="292" max="292" width="9.140625" style="433" bestFit="1" customWidth="1"/>
    <col min="293" max="293" width="10.140625" style="433" customWidth="1"/>
    <col min="294" max="294" width="6.42578125" style="433" customWidth="1"/>
    <col min="295" max="295" width="7.28515625" style="433" customWidth="1"/>
    <col min="296" max="296" width="9.28515625" style="433" customWidth="1"/>
    <col min="297" max="297" width="6" style="433" customWidth="1"/>
    <col min="298" max="298" width="12" style="433" customWidth="1"/>
    <col min="299" max="299" width="15" style="433" customWidth="1"/>
    <col min="300" max="300" width="13.85546875" style="433" customWidth="1"/>
    <col min="301" max="512" width="11.42578125" style="433"/>
    <col min="513" max="513" width="5" style="433" bestFit="1" customWidth="1"/>
    <col min="514" max="514" width="7.7109375" style="433" bestFit="1" customWidth="1"/>
    <col min="515" max="515" width="16.140625" style="433" bestFit="1" customWidth="1"/>
    <col min="516" max="516" width="22.42578125" style="433" customWidth="1"/>
    <col min="517" max="517" width="9" style="433" customWidth="1"/>
    <col min="518" max="518" width="10.28515625" style="433" customWidth="1"/>
    <col min="519" max="519" width="18.140625" style="433" customWidth="1"/>
    <col min="520" max="520" width="15.5703125" style="433" customWidth="1"/>
    <col min="521" max="521" width="12.42578125" style="433" customWidth="1"/>
    <col min="522" max="522" width="13.140625" style="433" customWidth="1"/>
    <col min="523" max="523" width="11.5703125" style="433" customWidth="1"/>
    <col min="524" max="524" width="2.140625" style="433" customWidth="1"/>
    <col min="525" max="525" width="2.140625" style="433" bestFit="1" customWidth="1"/>
    <col min="526" max="526" width="3" style="433" bestFit="1" customWidth="1"/>
    <col min="527" max="527" width="7.28515625" style="433" bestFit="1" customWidth="1"/>
    <col min="528" max="528" width="6.140625" style="433" bestFit="1" customWidth="1"/>
    <col min="529" max="529" width="7.28515625" style="433" bestFit="1" customWidth="1"/>
    <col min="530" max="532" width="3.28515625" style="433" bestFit="1" customWidth="1"/>
    <col min="533" max="535" width="7.28515625" style="433" bestFit="1" customWidth="1"/>
    <col min="536" max="538" width="3.28515625" style="433" bestFit="1" customWidth="1"/>
    <col min="539" max="541" width="7.28515625" style="433" bestFit="1" customWidth="1"/>
    <col min="542" max="544" width="3.28515625" style="433" bestFit="1" customWidth="1"/>
    <col min="545" max="547" width="7.28515625" style="433" bestFit="1" customWidth="1"/>
    <col min="548" max="548" width="9.140625" style="433" bestFit="1" customWidth="1"/>
    <col min="549" max="549" width="10.140625" style="433" customWidth="1"/>
    <col min="550" max="550" width="6.42578125" style="433" customWidth="1"/>
    <col min="551" max="551" width="7.28515625" style="433" customWidth="1"/>
    <col min="552" max="552" width="9.28515625" style="433" customWidth="1"/>
    <col min="553" max="553" width="6" style="433" customWidth="1"/>
    <col min="554" max="554" width="12" style="433" customWidth="1"/>
    <col min="555" max="555" width="15" style="433" customWidth="1"/>
    <col min="556" max="556" width="13.85546875" style="433" customWidth="1"/>
    <col min="557" max="768" width="11.42578125" style="433"/>
    <col min="769" max="769" width="5" style="433" bestFit="1" customWidth="1"/>
    <col min="770" max="770" width="7.7109375" style="433" bestFit="1" customWidth="1"/>
    <col min="771" max="771" width="16.140625" style="433" bestFit="1" customWidth="1"/>
    <col min="772" max="772" width="22.42578125" style="433" customWidth="1"/>
    <col min="773" max="773" width="9" style="433" customWidth="1"/>
    <col min="774" max="774" width="10.28515625" style="433" customWidth="1"/>
    <col min="775" max="775" width="18.140625" style="433" customWidth="1"/>
    <col min="776" max="776" width="15.5703125" style="433" customWidth="1"/>
    <col min="777" max="777" width="12.42578125" style="433" customWidth="1"/>
    <col min="778" max="778" width="13.140625" style="433" customWidth="1"/>
    <col min="779" max="779" width="11.5703125" style="433" customWidth="1"/>
    <col min="780" max="780" width="2.140625" style="433" customWidth="1"/>
    <col min="781" max="781" width="2.140625" style="433" bestFit="1" customWidth="1"/>
    <col min="782" max="782" width="3" style="433" bestFit="1" customWidth="1"/>
    <col min="783" max="783" width="7.28515625" style="433" bestFit="1" customWidth="1"/>
    <col min="784" max="784" width="6.140625" style="433" bestFit="1" customWidth="1"/>
    <col min="785" max="785" width="7.28515625" style="433" bestFit="1" customWidth="1"/>
    <col min="786" max="788" width="3.28515625" style="433" bestFit="1" customWidth="1"/>
    <col min="789" max="791" width="7.28515625" style="433" bestFit="1" customWidth="1"/>
    <col min="792" max="794" width="3.28515625" style="433" bestFit="1" customWidth="1"/>
    <col min="795" max="797" width="7.28515625" style="433" bestFit="1" customWidth="1"/>
    <col min="798" max="800" width="3.28515625" style="433" bestFit="1" customWidth="1"/>
    <col min="801" max="803" width="7.28515625" style="433" bestFit="1" customWidth="1"/>
    <col min="804" max="804" width="9.140625" style="433" bestFit="1" customWidth="1"/>
    <col min="805" max="805" width="10.140625" style="433" customWidth="1"/>
    <col min="806" max="806" width="6.42578125" style="433" customWidth="1"/>
    <col min="807" max="807" width="7.28515625" style="433" customWidth="1"/>
    <col min="808" max="808" width="9.28515625" style="433" customWidth="1"/>
    <col min="809" max="809" width="6" style="433" customWidth="1"/>
    <col min="810" max="810" width="12" style="433" customWidth="1"/>
    <col min="811" max="811" width="15" style="433" customWidth="1"/>
    <col min="812" max="812" width="13.85546875" style="433" customWidth="1"/>
    <col min="813" max="1024" width="11.42578125" style="433"/>
    <col min="1025" max="1025" width="5" style="433" bestFit="1" customWidth="1"/>
    <col min="1026" max="1026" width="7.7109375" style="433" bestFit="1" customWidth="1"/>
    <col min="1027" max="1027" width="16.140625" style="433" bestFit="1" customWidth="1"/>
    <col min="1028" max="1028" width="22.42578125" style="433" customWidth="1"/>
    <col min="1029" max="1029" width="9" style="433" customWidth="1"/>
    <col min="1030" max="1030" width="10.28515625" style="433" customWidth="1"/>
    <col min="1031" max="1031" width="18.140625" style="433" customWidth="1"/>
    <col min="1032" max="1032" width="15.5703125" style="433" customWidth="1"/>
    <col min="1033" max="1033" width="12.42578125" style="433" customWidth="1"/>
    <col min="1034" max="1034" width="13.140625" style="433" customWidth="1"/>
    <col min="1035" max="1035" width="11.5703125" style="433" customWidth="1"/>
    <col min="1036" max="1036" width="2.140625" style="433" customWidth="1"/>
    <col min="1037" max="1037" width="2.140625" style="433" bestFit="1" customWidth="1"/>
    <col min="1038" max="1038" width="3" style="433" bestFit="1" customWidth="1"/>
    <col min="1039" max="1039" width="7.28515625" style="433" bestFit="1" customWidth="1"/>
    <col min="1040" max="1040" width="6.140625" style="433" bestFit="1" customWidth="1"/>
    <col min="1041" max="1041" width="7.28515625" style="433" bestFit="1" customWidth="1"/>
    <col min="1042" max="1044" width="3.28515625" style="433" bestFit="1" customWidth="1"/>
    <col min="1045" max="1047" width="7.28515625" style="433" bestFit="1" customWidth="1"/>
    <col min="1048" max="1050" width="3.28515625" style="433" bestFit="1" customWidth="1"/>
    <col min="1051" max="1053" width="7.28515625" style="433" bestFit="1" customWidth="1"/>
    <col min="1054" max="1056" width="3.28515625" style="433" bestFit="1" customWidth="1"/>
    <col min="1057" max="1059" width="7.28515625" style="433" bestFit="1" customWidth="1"/>
    <col min="1060" max="1060" width="9.140625" style="433" bestFit="1" customWidth="1"/>
    <col min="1061" max="1061" width="10.140625" style="433" customWidth="1"/>
    <col min="1062" max="1062" width="6.42578125" style="433" customWidth="1"/>
    <col min="1063" max="1063" width="7.28515625" style="433" customWidth="1"/>
    <col min="1064" max="1064" width="9.28515625" style="433" customWidth="1"/>
    <col min="1065" max="1065" width="6" style="433" customWidth="1"/>
    <col min="1066" max="1066" width="12" style="433" customWidth="1"/>
    <col min="1067" max="1067" width="15" style="433" customWidth="1"/>
    <col min="1068" max="1068" width="13.85546875" style="433" customWidth="1"/>
    <col min="1069" max="1280" width="11.42578125" style="433"/>
    <col min="1281" max="1281" width="5" style="433" bestFit="1" customWidth="1"/>
    <col min="1282" max="1282" width="7.7109375" style="433" bestFit="1" customWidth="1"/>
    <col min="1283" max="1283" width="16.140625" style="433" bestFit="1" customWidth="1"/>
    <col min="1284" max="1284" width="22.42578125" style="433" customWidth="1"/>
    <col min="1285" max="1285" width="9" style="433" customWidth="1"/>
    <col min="1286" max="1286" width="10.28515625" style="433" customWidth="1"/>
    <col min="1287" max="1287" width="18.140625" style="433" customWidth="1"/>
    <col min="1288" max="1288" width="15.5703125" style="433" customWidth="1"/>
    <col min="1289" max="1289" width="12.42578125" style="433" customWidth="1"/>
    <col min="1290" max="1290" width="13.140625" style="433" customWidth="1"/>
    <col min="1291" max="1291" width="11.5703125" style="433" customWidth="1"/>
    <col min="1292" max="1292" width="2.140625" style="433" customWidth="1"/>
    <col min="1293" max="1293" width="2.140625" style="433" bestFit="1" customWidth="1"/>
    <col min="1294" max="1294" width="3" style="433" bestFit="1" customWidth="1"/>
    <col min="1295" max="1295" width="7.28515625" style="433" bestFit="1" customWidth="1"/>
    <col min="1296" max="1296" width="6.140625" style="433" bestFit="1" customWidth="1"/>
    <col min="1297" max="1297" width="7.28515625" style="433" bestFit="1" customWidth="1"/>
    <col min="1298" max="1300" width="3.28515625" style="433" bestFit="1" customWidth="1"/>
    <col min="1301" max="1303" width="7.28515625" style="433" bestFit="1" customWidth="1"/>
    <col min="1304" max="1306" width="3.28515625" style="433" bestFit="1" customWidth="1"/>
    <col min="1307" max="1309" width="7.28515625" style="433" bestFit="1" customWidth="1"/>
    <col min="1310" max="1312" width="3.28515625" style="433" bestFit="1" customWidth="1"/>
    <col min="1313" max="1315" width="7.28515625" style="433" bestFit="1" customWidth="1"/>
    <col min="1316" max="1316" width="9.140625" style="433" bestFit="1" customWidth="1"/>
    <col min="1317" max="1317" width="10.140625" style="433" customWidth="1"/>
    <col min="1318" max="1318" width="6.42578125" style="433" customWidth="1"/>
    <col min="1319" max="1319" width="7.28515625" style="433" customWidth="1"/>
    <col min="1320" max="1320" width="9.28515625" style="433" customWidth="1"/>
    <col min="1321" max="1321" width="6" style="433" customWidth="1"/>
    <col min="1322" max="1322" width="12" style="433" customWidth="1"/>
    <col min="1323" max="1323" width="15" style="433" customWidth="1"/>
    <col min="1324" max="1324" width="13.85546875" style="433" customWidth="1"/>
    <col min="1325" max="1536" width="11.42578125" style="433"/>
    <col min="1537" max="1537" width="5" style="433" bestFit="1" customWidth="1"/>
    <col min="1538" max="1538" width="7.7109375" style="433" bestFit="1" customWidth="1"/>
    <col min="1539" max="1539" width="16.140625" style="433" bestFit="1" customWidth="1"/>
    <col min="1540" max="1540" width="22.42578125" style="433" customWidth="1"/>
    <col min="1541" max="1541" width="9" style="433" customWidth="1"/>
    <col min="1542" max="1542" width="10.28515625" style="433" customWidth="1"/>
    <col min="1543" max="1543" width="18.140625" style="433" customWidth="1"/>
    <col min="1544" max="1544" width="15.5703125" style="433" customWidth="1"/>
    <col min="1545" max="1545" width="12.42578125" style="433" customWidth="1"/>
    <col min="1546" max="1546" width="13.140625" style="433" customWidth="1"/>
    <col min="1547" max="1547" width="11.5703125" style="433" customWidth="1"/>
    <col min="1548" max="1548" width="2.140625" style="433" customWidth="1"/>
    <col min="1549" max="1549" width="2.140625" style="433" bestFit="1" customWidth="1"/>
    <col min="1550" max="1550" width="3" style="433" bestFit="1" customWidth="1"/>
    <col min="1551" max="1551" width="7.28515625" style="433" bestFit="1" customWidth="1"/>
    <col min="1552" max="1552" width="6.140625" style="433" bestFit="1" customWidth="1"/>
    <col min="1553" max="1553" width="7.28515625" style="433" bestFit="1" customWidth="1"/>
    <col min="1554" max="1556" width="3.28515625" style="433" bestFit="1" customWidth="1"/>
    <col min="1557" max="1559" width="7.28515625" style="433" bestFit="1" customWidth="1"/>
    <col min="1560" max="1562" width="3.28515625" style="433" bestFit="1" customWidth="1"/>
    <col min="1563" max="1565" width="7.28515625" style="433" bestFit="1" customWidth="1"/>
    <col min="1566" max="1568" width="3.28515625" style="433" bestFit="1" customWidth="1"/>
    <col min="1569" max="1571" width="7.28515625" style="433" bestFit="1" customWidth="1"/>
    <col min="1572" max="1572" width="9.140625" style="433" bestFit="1" customWidth="1"/>
    <col min="1573" max="1573" width="10.140625" style="433" customWidth="1"/>
    <col min="1574" max="1574" width="6.42578125" style="433" customWidth="1"/>
    <col min="1575" max="1575" width="7.28515625" style="433" customWidth="1"/>
    <col min="1576" max="1576" width="9.28515625" style="433" customWidth="1"/>
    <col min="1577" max="1577" width="6" style="433" customWidth="1"/>
    <col min="1578" max="1578" width="12" style="433" customWidth="1"/>
    <col min="1579" max="1579" width="15" style="433" customWidth="1"/>
    <col min="1580" max="1580" width="13.85546875" style="433" customWidth="1"/>
    <col min="1581" max="1792" width="11.42578125" style="433"/>
    <col min="1793" max="1793" width="5" style="433" bestFit="1" customWidth="1"/>
    <col min="1794" max="1794" width="7.7109375" style="433" bestFit="1" customWidth="1"/>
    <col min="1795" max="1795" width="16.140625" style="433" bestFit="1" customWidth="1"/>
    <col min="1796" max="1796" width="22.42578125" style="433" customWidth="1"/>
    <col min="1797" max="1797" width="9" style="433" customWidth="1"/>
    <col min="1798" max="1798" width="10.28515625" style="433" customWidth="1"/>
    <col min="1799" max="1799" width="18.140625" style="433" customWidth="1"/>
    <col min="1800" max="1800" width="15.5703125" style="433" customWidth="1"/>
    <col min="1801" max="1801" width="12.42578125" style="433" customWidth="1"/>
    <col min="1802" max="1802" width="13.140625" style="433" customWidth="1"/>
    <col min="1803" max="1803" width="11.5703125" style="433" customWidth="1"/>
    <col min="1804" max="1804" width="2.140625" style="433" customWidth="1"/>
    <col min="1805" max="1805" width="2.140625" style="433" bestFit="1" customWidth="1"/>
    <col min="1806" max="1806" width="3" style="433" bestFit="1" customWidth="1"/>
    <col min="1807" max="1807" width="7.28515625" style="433" bestFit="1" customWidth="1"/>
    <col min="1808" max="1808" width="6.140625" style="433" bestFit="1" customWidth="1"/>
    <col min="1809" max="1809" width="7.28515625" style="433" bestFit="1" customWidth="1"/>
    <col min="1810" max="1812" width="3.28515625" style="433" bestFit="1" customWidth="1"/>
    <col min="1813" max="1815" width="7.28515625" style="433" bestFit="1" customWidth="1"/>
    <col min="1816" max="1818" width="3.28515625" style="433" bestFit="1" customWidth="1"/>
    <col min="1819" max="1821" width="7.28515625" style="433" bestFit="1" customWidth="1"/>
    <col min="1822" max="1824" width="3.28515625" style="433" bestFit="1" customWidth="1"/>
    <col min="1825" max="1827" width="7.28515625" style="433" bestFit="1" customWidth="1"/>
    <col min="1828" max="1828" width="9.140625" style="433" bestFit="1" customWidth="1"/>
    <col min="1829" max="1829" width="10.140625" style="433" customWidth="1"/>
    <col min="1830" max="1830" width="6.42578125" style="433" customWidth="1"/>
    <col min="1831" max="1831" width="7.28515625" style="433" customWidth="1"/>
    <col min="1832" max="1832" width="9.28515625" style="433" customWidth="1"/>
    <col min="1833" max="1833" width="6" style="433" customWidth="1"/>
    <col min="1834" max="1834" width="12" style="433" customWidth="1"/>
    <col min="1835" max="1835" width="15" style="433" customWidth="1"/>
    <col min="1836" max="1836" width="13.85546875" style="433" customWidth="1"/>
    <col min="1837" max="2048" width="11.42578125" style="433"/>
    <col min="2049" max="2049" width="5" style="433" bestFit="1" customWidth="1"/>
    <col min="2050" max="2050" width="7.7109375" style="433" bestFit="1" customWidth="1"/>
    <col min="2051" max="2051" width="16.140625" style="433" bestFit="1" customWidth="1"/>
    <col min="2052" max="2052" width="22.42578125" style="433" customWidth="1"/>
    <col min="2053" max="2053" width="9" style="433" customWidth="1"/>
    <col min="2054" max="2054" width="10.28515625" style="433" customWidth="1"/>
    <col min="2055" max="2055" width="18.140625" style="433" customWidth="1"/>
    <col min="2056" max="2056" width="15.5703125" style="433" customWidth="1"/>
    <col min="2057" max="2057" width="12.42578125" style="433" customWidth="1"/>
    <col min="2058" max="2058" width="13.140625" style="433" customWidth="1"/>
    <col min="2059" max="2059" width="11.5703125" style="433" customWidth="1"/>
    <col min="2060" max="2060" width="2.140625" style="433" customWidth="1"/>
    <col min="2061" max="2061" width="2.140625" style="433" bestFit="1" customWidth="1"/>
    <col min="2062" max="2062" width="3" style="433" bestFit="1" customWidth="1"/>
    <col min="2063" max="2063" width="7.28515625" style="433" bestFit="1" customWidth="1"/>
    <col min="2064" max="2064" width="6.140625" style="433" bestFit="1" customWidth="1"/>
    <col min="2065" max="2065" width="7.28515625" style="433" bestFit="1" customWidth="1"/>
    <col min="2066" max="2068" width="3.28515625" style="433" bestFit="1" customWidth="1"/>
    <col min="2069" max="2071" width="7.28515625" style="433" bestFit="1" customWidth="1"/>
    <col min="2072" max="2074" width="3.28515625" style="433" bestFit="1" customWidth="1"/>
    <col min="2075" max="2077" width="7.28515625" style="433" bestFit="1" customWidth="1"/>
    <col min="2078" max="2080" width="3.28515625" style="433" bestFit="1" customWidth="1"/>
    <col min="2081" max="2083" width="7.28515625" style="433" bestFit="1" customWidth="1"/>
    <col min="2084" max="2084" width="9.140625" style="433" bestFit="1" customWidth="1"/>
    <col min="2085" max="2085" width="10.140625" style="433" customWidth="1"/>
    <col min="2086" max="2086" width="6.42578125" style="433" customWidth="1"/>
    <col min="2087" max="2087" width="7.28515625" style="433" customWidth="1"/>
    <col min="2088" max="2088" width="9.28515625" style="433" customWidth="1"/>
    <col min="2089" max="2089" width="6" style="433" customWidth="1"/>
    <col min="2090" max="2090" width="12" style="433" customWidth="1"/>
    <col min="2091" max="2091" width="15" style="433" customWidth="1"/>
    <col min="2092" max="2092" width="13.85546875" style="433" customWidth="1"/>
    <col min="2093" max="2304" width="11.42578125" style="433"/>
    <col min="2305" max="2305" width="5" style="433" bestFit="1" customWidth="1"/>
    <col min="2306" max="2306" width="7.7109375" style="433" bestFit="1" customWidth="1"/>
    <col min="2307" max="2307" width="16.140625" style="433" bestFit="1" customWidth="1"/>
    <col min="2308" max="2308" width="22.42578125" style="433" customWidth="1"/>
    <col min="2309" max="2309" width="9" style="433" customWidth="1"/>
    <col min="2310" max="2310" width="10.28515625" style="433" customWidth="1"/>
    <col min="2311" max="2311" width="18.140625" style="433" customWidth="1"/>
    <col min="2312" max="2312" width="15.5703125" style="433" customWidth="1"/>
    <col min="2313" max="2313" width="12.42578125" style="433" customWidth="1"/>
    <col min="2314" max="2314" width="13.140625" style="433" customWidth="1"/>
    <col min="2315" max="2315" width="11.5703125" style="433" customWidth="1"/>
    <col min="2316" max="2316" width="2.140625" style="433" customWidth="1"/>
    <col min="2317" max="2317" width="2.140625" style="433" bestFit="1" customWidth="1"/>
    <col min="2318" max="2318" width="3" style="433" bestFit="1" customWidth="1"/>
    <col min="2319" max="2319" width="7.28515625" style="433" bestFit="1" customWidth="1"/>
    <col min="2320" max="2320" width="6.140625" style="433" bestFit="1" customWidth="1"/>
    <col min="2321" max="2321" width="7.28515625" style="433" bestFit="1" customWidth="1"/>
    <col min="2322" max="2324" width="3.28515625" style="433" bestFit="1" customWidth="1"/>
    <col min="2325" max="2327" width="7.28515625" style="433" bestFit="1" customWidth="1"/>
    <col min="2328" max="2330" width="3.28515625" style="433" bestFit="1" customWidth="1"/>
    <col min="2331" max="2333" width="7.28515625" style="433" bestFit="1" customWidth="1"/>
    <col min="2334" max="2336" width="3.28515625" style="433" bestFit="1" customWidth="1"/>
    <col min="2337" max="2339" width="7.28515625" style="433" bestFit="1" customWidth="1"/>
    <col min="2340" max="2340" width="9.140625" style="433" bestFit="1" customWidth="1"/>
    <col min="2341" max="2341" width="10.140625" style="433" customWidth="1"/>
    <col min="2342" max="2342" width="6.42578125" style="433" customWidth="1"/>
    <col min="2343" max="2343" width="7.28515625" style="433" customWidth="1"/>
    <col min="2344" max="2344" width="9.28515625" style="433" customWidth="1"/>
    <col min="2345" max="2345" width="6" style="433" customWidth="1"/>
    <col min="2346" max="2346" width="12" style="433" customWidth="1"/>
    <col min="2347" max="2347" width="15" style="433" customWidth="1"/>
    <col min="2348" max="2348" width="13.85546875" style="433" customWidth="1"/>
    <col min="2349" max="2560" width="11.42578125" style="433"/>
    <col min="2561" max="2561" width="5" style="433" bestFit="1" customWidth="1"/>
    <col min="2562" max="2562" width="7.7109375" style="433" bestFit="1" customWidth="1"/>
    <col min="2563" max="2563" width="16.140625" style="433" bestFit="1" customWidth="1"/>
    <col min="2564" max="2564" width="22.42578125" style="433" customWidth="1"/>
    <col min="2565" max="2565" width="9" style="433" customWidth="1"/>
    <col min="2566" max="2566" width="10.28515625" style="433" customWidth="1"/>
    <col min="2567" max="2567" width="18.140625" style="433" customWidth="1"/>
    <col min="2568" max="2568" width="15.5703125" style="433" customWidth="1"/>
    <col min="2569" max="2569" width="12.42578125" style="433" customWidth="1"/>
    <col min="2570" max="2570" width="13.140625" style="433" customWidth="1"/>
    <col min="2571" max="2571" width="11.5703125" style="433" customWidth="1"/>
    <col min="2572" max="2572" width="2.140625" style="433" customWidth="1"/>
    <col min="2573" max="2573" width="2.140625" style="433" bestFit="1" customWidth="1"/>
    <col min="2574" max="2574" width="3" style="433" bestFit="1" customWidth="1"/>
    <col min="2575" max="2575" width="7.28515625" style="433" bestFit="1" customWidth="1"/>
    <col min="2576" max="2576" width="6.140625" style="433" bestFit="1" customWidth="1"/>
    <col min="2577" max="2577" width="7.28515625" style="433" bestFit="1" customWidth="1"/>
    <col min="2578" max="2580" width="3.28515625" style="433" bestFit="1" customWidth="1"/>
    <col min="2581" max="2583" width="7.28515625" style="433" bestFit="1" customWidth="1"/>
    <col min="2584" max="2586" width="3.28515625" style="433" bestFit="1" customWidth="1"/>
    <col min="2587" max="2589" width="7.28515625" style="433" bestFit="1" customWidth="1"/>
    <col min="2590" max="2592" width="3.28515625" style="433" bestFit="1" customWidth="1"/>
    <col min="2593" max="2595" width="7.28515625" style="433" bestFit="1" customWidth="1"/>
    <col min="2596" max="2596" width="9.140625" style="433" bestFit="1" customWidth="1"/>
    <col min="2597" max="2597" width="10.140625" style="433" customWidth="1"/>
    <col min="2598" max="2598" width="6.42578125" style="433" customWidth="1"/>
    <col min="2599" max="2599" width="7.28515625" style="433" customWidth="1"/>
    <col min="2600" max="2600" width="9.28515625" style="433" customWidth="1"/>
    <col min="2601" max="2601" width="6" style="433" customWidth="1"/>
    <col min="2602" max="2602" width="12" style="433" customWidth="1"/>
    <col min="2603" max="2603" width="15" style="433" customWidth="1"/>
    <col min="2604" max="2604" width="13.85546875" style="433" customWidth="1"/>
    <col min="2605" max="2816" width="11.42578125" style="433"/>
    <col min="2817" max="2817" width="5" style="433" bestFit="1" customWidth="1"/>
    <col min="2818" max="2818" width="7.7109375" style="433" bestFit="1" customWidth="1"/>
    <col min="2819" max="2819" width="16.140625" style="433" bestFit="1" customWidth="1"/>
    <col min="2820" max="2820" width="22.42578125" style="433" customWidth="1"/>
    <col min="2821" max="2821" width="9" style="433" customWidth="1"/>
    <col min="2822" max="2822" width="10.28515625" style="433" customWidth="1"/>
    <col min="2823" max="2823" width="18.140625" style="433" customWidth="1"/>
    <col min="2824" max="2824" width="15.5703125" style="433" customWidth="1"/>
    <col min="2825" max="2825" width="12.42578125" style="433" customWidth="1"/>
    <col min="2826" max="2826" width="13.140625" style="433" customWidth="1"/>
    <col min="2827" max="2827" width="11.5703125" style="433" customWidth="1"/>
    <col min="2828" max="2828" width="2.140625" style="433" customWidth="1"/>
    <col min="2829" max="2829" width="2.140625" style="433" bestFit="1" customWidth="1"/>
    <col min="2830" max="2830" width="3" style="433" bestFit="1" customWidth="1"/>
    <col min="2831" max="2831" width="7.28515625" style="433" bestFit="1" customWidth="1"/>
    <col min="2832" max="2832" width="6.140625" style="433" bestFit="1" customWidth="1"/>
    <col min="2833" max="2833" width="7.28515625" style="433" bestFit="1" customWidth="1"/>
    <col min="2834" max="2836" width="3.28515625" style="433" bestFit="1" customWidth="1"/>
    <col min="2837" max="2839" width="7.28515625" style="433" bestFit="1" customWidth="1"/>
    <col min="2840" max="2842" width="3.28515625" style="433" bestFit="1" customWidth="1"/>
    <col min="2843" max="2845" width="7.28515625" style="433" bestFit="1" customWidth="1"/>
    <col min="2846" max="2848" width="3.28515625" style="433" bestFit="1" customWidth="1"/>
    <col min="2849" max="2851" width="7.28515625" style="433" bestFit="1" customWidth="1"/>
    <col min="2852" max="2852" width="9.140625" style="433" bestFit="1" customWidth="1"/>
    <col min="2853" max="2853" width="10.140625" style="433" customWidth="1"/>
    <col min="2854" max="2854" width="6.42578125" style="433" customWidth="1"/>
    <col min="2855" max="2855" width="7.28515625" style="433" customWidth="1"/>
    <col min="2856" max="2856" width="9.28515625" style="433" customWidth="1"/>
    <col min="2857" max="2857" width="6" style="433" customWidth="1"/>
    <col min="2858" max="2858" width="12" style="433" customWidth="1"/>
    <col min="2859" max="2859" width="15" style="433" customWidth="1"/>
    <col min="2860" max="2860" width="13.85546875" style="433" customWidth="1"/>
    <col min="2861" max="3072" width="11.42578125" style="433"/>
    <col min="3073" max="3073" width="5" style="433" bestFit="1" customWidth="1"/>
    <col min="3074" max="3074" width="7.7109375" style="433" bestFit="1" customWidth="1"/>
    <col min="3075" max="3075" width="16.140625" style="433" bestFit="1" customWidth="1"/>
    <col min="3076" max="3076" width="22.42578125" style="433" customWidth="1"/>
    <col min="3077" max="3077" width="9" style="433" customWidth="1"/>
    <col min="3078" max="3078" width="10.28515625" style="433" customWidth="1"/>
    <col min="3079" max="3079" width="18.140625" style="433" customWidth="1"/>
    <col min="3080" max="3080" width="15.5703125" style="433" customWidth="1"/>
    <col min="3081" max="3081" width="12.42578125" style="433" customWidth="1"/>
    <col min="3082" max="3082" width="13.140625" style="433" customWidth="1"/>
    <col min="3083" max="3083" width="11.5703125" style="433" customWidth="1"/>
    <col min="3084" max="3084" width="2.140625" style="433" customWidth="1"/>
    <col min="3085" max="3085" width="2.140625" style="433" bestFit="1" customWidth="1"/>
    <col min="3086" max="3086" width="3" style="433" bestFit="1" customWidth="1"/>
    <col min="3087" max="3087" width="7.28515625" style="433" bestFit="1" customWidth="1"/>
    <col min="3088" max="3088" width="6.140625" style="433" bestFit="1" customWidth="1"/>
    <col min="3089" max="3089" width="7.28515625" style="433" bestFit="1" customWidth="1"/>
    <col min="3090" max="3092" width="3.28515625" style="433" bestFit="1" customWidth="1"/>
    <col min="3093" max="3095" width="7.28515625" style="433" bestFit="1" customWidth="1"/>
    <col min="3096" max="3098" width="3.28515625" style="433" bestFit="1" customWidth="1"/>
    <col min="3099" max="3101" width="7.28515625" style="433" bestFit="1" customWidth="1"/>
    <col min="3102" max="3104" width="3.28515625" style="433" bestFit="1" customWidth="1"/>
    <col min="3105" max="3107" width="7.28515625" style="433" bestFit="1" customWidth="1"/>
    <col min="3108" max="3108" width="9.140625" style="433" bestFit="1" customWidth="1"/>
    <col min="3109" max="3109" width="10.140625" style="433" customWidth="1"/>
    <col min="3110" max="3110" width="6.42578125" style="433" customWidth="1"/>
    <col min="3111" max="3111" width="7.28515625" style="433" customWidth="1"/>
    <col min="3112" max="3112" width="9.28515625" style="433" customWidth="1"/>
    <col min="3113" max="3113" width="6" style="433" customWidth="1"/>
    <col min="3114" max="3114" width="12" style="433" customWidth="1"/>
    <col min="3115" max="3115" width="15" style="433" customWidth="1"/>
    <col min="3116" max="3116" width="13.85546875" style="433" customWidth="1"/>
    <col min="3117" max="3328" width="11.42578125" style="433"/>
    <col min="3329" max="3329" width="5" style="433" bestFit="1" customWidth="1"/>
    <col min="3330" max="3330" width="7.7109375" style="433" bestFit="1" customWidth="1"/>
    <col min="3331" max="3331" width="16.140625" style="433" bestFit="1" customWidth="1"/>
    <col min="3332" max="3332" width="22.42578125" style="433" customWidth="1"/>
    <col min="3333" max="3333" width="9" style="433" customWidth="1"/>
    <col min="3334" max="3334" width="10.28515625" style="433" customWidth="1"/>
    <col min="3335" max="3335" width="18.140625" style="433" customWidth="1"/>
    <col min="3336" max="3336" width="15.5703125" style="433" customWidth="1"/>
    <col min="3337" max="3337" width="12.42578125" style="433" customWidth="1"/>
    <col min="3338" max="3338" width="13.140625" style="433" customWidth="1"/>
    <col min="3339" max="3339" width="11.5703125" style="433" customWidth="1"/>
    <col min="3340" max="3340" width="2.140625" style="433" customWidth="1"/>
    <col min="3341" max="3341" width="2.140625" style="433" bestFit="1" customWidth="1"/>
    <col min="3342" max="3342" width="3" style="433" bestFit="1" customWidth="1"/>
    <col min="3343" max="3343" width="7.28515625" style="433" bestFit="1" customWidth="1"/>
    <col min="3344" max="3344" width="6.140625" style="433" bestFit="1" customWidth="1"/>
    <col min="3345" max="3345" width="7.28515625" style="433" bestFit="1" customWidth="1"/>
    <col min="3346" max="3348" width="3.28515625" style="433" bestFit="1" customWidth="1"/>
    <col min="3349" max="3351" width="7.28515625" style="433" bestFit="1" customWidth="1"/>
    <col min="3352" max="3354" width="3.28515625" style="433" bestFit="1" customWidth="1"/>
    <col min="3355" max="3357" width="7.28515625" style="433" bestFit="1" customWidth="1"/>
    <col min="3358" max="3360" width="3.28515625" style="433" bestFit="1" customWidth="1"/>
    <col min="3361" max="3363" width="7.28515625" style="433" bestFit="1" customWidth="1"/>
    <col min="3364" max="3364" width="9.140625" style="433" bestFit="1" customWidth="1"/>
    <col min="3365" max="3365" width="10.140625" style="433" customWidth="1"/>
    <col min="3366" max="3366" width="6.42578125" style="433" customWidth="1"/>
    <col min="3367" max="3367" width="7.28515625" style="433" customWidth="1"/>
    <col min="3368" max="3368" width="9.28515625" style="433" customWidth="1"/>
    <col min="3369" max="3369" width="6" style="433" customWidth="1"/>
    <col min="3370" max="3370" width="12" style="433" customWidth="1"/>
    <col min="3371" max="3371" width="15" style="433" customWidth="1"/>
    <col min="3372" max="3372" width="13.85546875" style="433" customWidth="1"/>
    <col min="3373" max="3584" width="11.42578125" style="433"/>
    <col min="3585" max="3585" width="5" style="433" bestFit="1" customWidth="1"/>
    <col min="3586" max="3586" width="7.7109375" style="433" bestFit="1" customWidth="1"/>
    <col min="3587" max="3587" width="16.140625" style="433" bestFit="1" customWidth="1"/>
    <col min="3588" max="3588" width="22.42578125" style="433" customWidth="1"/>
    <col min="3589" max="3589" width="9" style="433" customWidth="1"/>
    <col min="3590" max="3590" width="10.28515625" style="433" customWidth="1"/>
    <col min="3591" max="3591" width="18.140625" style="433" customWidth="1"/>
    <col min="3592" max="3592" width="15.5703125" style="433" customWidth="1"/>
    <col min="3593" max="3593" width="12.42578125" style="433" customWidth="1"/>
    <col min="3594" max="3594" width="13.140625" style="433" customWidth="1"/>
    <col min="3595" max="3595" width="11.5703125" style="433" customWidth="1"/>
    <col min="3596" max="3596" width="2.140625" style="433" customWidth="1"/>
    <col min="3597" max="3597" width="2.140625" style="433" bestFit="1" customWidth="1"/>
    <col min="3598" max="3598" width="3" style="433" bestFit="1" customWidth="1"/>
    <col min="3599" max="3599" width="7.28515625" style="433" bestFit="1" customWidth="1"/>
    <col min="3600" max="3600" width="6.140625" style="433" bestFit="1" customWidth="1"/>
    <col min="3601" max="3601" width="7.28515625" style="433" bestFit="1" customWidth="1"/>
    <col min="3602" max="3604" width="3.28515625" style="433" bestFit="1" customWidth="1"/>
    <col min="3605" max="3607" width="7.28515625" style="433" bestFit="1" customWidth="1"/>
    <col min="3608" max="3610" width="3.28515625" style="433" bestFit="1" customWidth="1"/>
    <col min="3611" max="3613" width="7.28515625" style="433" bestFit="1" customWidth="1"/>
    <col min="3614" max="3616" width="3.28515625" style="433" bestFit="1" customWidth="1"/>
    <col min="3617" max="3619" width="7.28515625" style="433" bestFit="1" customWidth="1"/>
    <col min="3620" max="3620" width="9.140625" style="433" bestFit="1" customWidth="1"/>
    <col min="3621" max="3621" width="10.140625" style="433" customWidth="1"/>
    <col min="3622" max="3622" width="6.42578125" style="433" customWidth="1"/>
    <col min="3623" max="3623" width="7.28515625" style="433" customWidth="1"/>
    <col min="3624" max="3624" width="9.28515625" style="433" customWidth="1"/>
    <col min="3625" max="3625" width="6" style="433" customWidth="1"/>
    <col min="3626" max="3626" width="12" style="433" customWidth="1"/>
    <col min="3627" max="3627" width="15" style="433" customWidth="1"/>
    <col min="3628" max="3628" width="13.85546875" style="433" customWidth="1"/>
    <col min="3629" max="3840" width="11.42578125" style="433"/>
    <col min="3841" max="3841" width="5" style="433" bestFit="1" customWidth="1"/>
    <col min="3842" max="3842" width="7.7109375" style="433" bestFit="1" customWidth="1"/>
    <col min="3843" max="3843" width="16.140625" style="433" bestFit="1" customWidth="1"/>
    <col min="3844" max="3844" width="22.42578125" style="433" customWidth="1"/>
    <col min="3845" max="3845" width="9" style="433" customWidth="1"/>
    <col min="3846" max="3846" width="10.28515625" style="433" customWidth="1"/>
    <col min="3847" max="3847" width="18.140625" style="433" customWidth="1"/>
    <col min="3848" max="3848" width="15.5703125" style="433" customWidth="1"/>
    <col min="3849" max="3849" width="12.42578125" style="433" customWidth="1"/>
    <col min="3850" max="3850" width="13.140625" style="433" customWidth="1"/>
    <col min="3851" max="3851" width="11.5703125" style="433" customWidth="1"/>
    <col min="3852" max="3852" width="2.140625" style="433" customWidth="1"/>
    <col min="3853" max="3853" width="2.140625" style="433" bestFit="1" customWidth="1"/>
    <col min="3854" max="3854" width="3" style="433" bestFit="1" customWidth="1"/>
    <col min="3855" max="3855" width="7.28515625" style="433" bestFit="1" customWidth="1"/>
    <col min="3856" max="3856" width="6.140625" style="433" bestFit="1" customWidth="1"/>
    <col min="3857" max="3857" width="7.28515625" style="433" bestFit="1" customWidth="1"/>
    <col min="3858" max="3860" width="3.28515625" style="433" bestFit="1" customWidth="1"/>
    <col min="3861" max="3863" width="7.28515625" style="433" bestFit="1" customWidth="1"/>
    <col min="3864" max="3866" width="3.28515625" style="433" bestFit="1" customWidth="1"/>
    <col min="3867" max="3869" width="7.28515625" style="433" bestFit="1" customWidth="1"/>
    <col min="3870" max="3872" width="3.28515625" style="433" bestFit="1" customWidth="1"/>
    <col min="3873" max="3875" width="7.28515625" style="433" bestFit="1" customWidth="1"/>
    <col min="3876" max="3876" width="9.140625" style="433" bestFit="1" customWidth="1"/>
    <col min="3877" max="3877" width="10.140625" style="433" customWidth="1"/>
    <col min="3878" max="3878" width="6.42578125" style="433" customWidth="1"/>
    <col min="3879" max="3879" width="7.28515625" style="433" customWidth="1"/>
    <col min="3880" max="3880" width="9.28515625" style="433" customWidth="1"/>
    <col min="3881" max="3881" width="6" style="433" customWidth="1"/>
    <col min="3882" max="3882" width="12" style="433" customWidth="1"/>
    <col min="3883" max="3883" width="15" style="433" customWidth="1"/>
    <col min="3884" max="3884" width="13.85546875" style="433" customWidth="1"/>
    <col min="3885" max="4096" width="11.42578125" style="433"/>
    <col min="4097" max="4097" width="5" style="433" bestFit="1" customWidth="1"/>
    <col min="4098" max="4098" width="7.7109375" style="433" bestFit="1" customWidth="1"/>
    <col min="4099" max="4099" width="16.140625" style="433" bestFit="1" customWidth="1"/>
    <col min="4100" max="4100" width="22.42578125" style="433" customWidth="1"/>
    <col min="4101" max="4101" width="9" style="433" customWidth="1"/>
    <col min="4102" max="4102" width="10.28515625" style="433" customWidth="1"/>
    <col min="4103" max="4103" width="18.140625" style="433" customWidth="1"/>
    <col min="4104" max="4104" width="15.5703125" style="433" customWidth="1"/>
    <col min="4105" max="4105" width="12.42578125" style="433" customWidth="1"/>
    <col min="4106" max="4106" width="13.140625" style="433" customWidth="1"/>
    <col min="4107" max="4107" width="11.5703125" style="433" customWidth="1"/>
    <col min="4108" max="4108" width="2.140625" style="433" customWidth="1"/>
    <col min="4109" max="4109" width="2.140625" style="433" bestFit="1" customWidth="1"/>
    <col min="4110" max="4110" width="3" style="433" bestFit="1" customWidth="1"/>
    <col min="4111" max="4111" width="7.28515625" style="433" bestFit="1" customWidth="1"/>
    <col min="4112" max="4112" width="6.140625" style="433" bestFit="1" customWidth="1"/>
    <col min="4113" max="4113" width="7.28515625" style="433" bestFit="1" customWidth="1"/>
    <col min="4114" max="4116" width="3.28515625" style="433" bestFit="1" customWidth="1"/>
    <col min="4117" max="4119" width="7.28515625" style="433" bestFit="1" customWidth="1"/>
    <col min="4120" max="4122" width="3.28515625" style="433" bestFit="1" customWidth="1"/>
    <col min="4123" max="4125" width="7.28515625" style="433" bestFit="1" customWidth="1"/>
    <col min="4126" max="4128" width="3.28515625" style="433" bestFit="1" customWidth="1"/>
    <col min="4129" max="4131" width="7.28515625" style="433" bestFit="1" customWidth="1"/>
    <col min="4132" max="4132" width="9.140625" style="433" bestFit="1" customWidth="1"/>
    <col min="4133" max="4133" width="10.140625" style="433" customWidth="1"/>
    <col min="4134" max="4134" width="6.42578125" style="433" customWidth="1"/>
    <col min="4135" max="4135" width="7.28515625" style="433" customWidth="1"/>
    <col min="4136" max="4136" width="9.28515625" style="433" customWidth="1"/>
    <col min="4137" max="4137" width="6" style="433" customWidth="1"/>
    <col min="4138" max="4138" width="12" style="433" customWidth="1"/>
    <col min="4139" max="4139" width="15" style="433" customWidth="1"/>
    <col min="4140" max="4140" width="13.85546875" style="433" customWidth="1"/>
    <col min="4141" max="4352" width="11.42578125" style="433"/>
    <col min="4353" max="4353" width="5" style="433" bestFit="1" customWidth="1"/>
    <col min="4354" max="4354" width="7.7109375" style="433" bestFit="1" customWidth="1"/>
    <col min="4355" max="4355" width="16.140625" style="433" bestFit="1" customWidth="1"/>
    <col min="4356" max="4356" width="22.42578125" style="433" customWidth="1"/>
    <col min="4357" max="4357" width="9" style="433" customWidth="1"/>
    <col min="4358" max="4358" width="10.28515625" style="433" customWidth="1"/>
    <col min="4359" max="4359" width="18.140625" style="433" customWidth="1"/>
    <col min="4360" max="4360" width="15.5703125" style="433" customWidth="1"/>
    <col min="4361" max="4361" width="12.42578125" style="433" customWidth="1"/>
    <col min="4362" max="4362" width="13.140625" style="433" customWidth="1"/>
    <col min="4363" max="4363" width="11.5703125" style="433" customWidth="1"/>
    <col min="4364" max="4364" width="2.140625" style="433" customWidth="1"/>
    <col min="4365" max="4365" width="2.140625" style="433" bestFit="1" customWidth="1"/>
    <col min="4366" max="4366" width="3" style="433" bestFit="1" customWidth="1"/>
    <col min="4367" max="4367" width="7.28515625" style="433" bestFit="1" customWidth="1"/>
    <col min="4368" max="4368" width="6.140625" style="433" bestFit="1" customWidth="1"/>
    <col min="4369" max="4369" width="7.28515625" style="433" bestFit="1" customWidth="1"/>
    <col min="4370" max="4372" width="3.28515625" style="433" bestFit="1" customWidth="1"/>
    <col min="4373" max="4375" width="7.28515625" style="433" bestFit="1" customWidth="1"/>
    <col min="4376" max="4378" width="3.28515625" style="433" bestFit="1" customWidth="1"/>
    <col min="4379" max="4381" width="7.28515625" style="433" bestFit="1" customWidth="1"/>
    <col min="4382" max="4384" width="3.28515625" style="433" bestFit="1" customWidth="1"/>
    <col min="4385" max="4387" width="7.28515625" style="433" bestFit="1" customWidth="1"/>
    <col min="4388" max="4388" width="9.140625" style="433" bestFit="1" customWidth="1"/>
    <col min="4389" max="4389" width="10.140625" style="433" customWidth="1"/>
    <col min="4390" max="4390" width="6.42578125" style="433" customWidth="1"/>
    <col min="4391" max="4391" width="7.28515625" style="433" customWidth="1"/>
    <col min="4392" max="4392" width="9.28515625" style="433" customWidth="1"/>
    <col min="4393" max="4393" width="6" style="433" customWidth="1"/>
    <col min="4394" max="4394" width="12" style="433" customWidth="1"/>
    <col min="4395" max="4395" width="15" style="433" customWidth="1"/>
    <col min="4396" max="4396" width="13.85546875" style="433" customWidth="1"/>
    <col min="4397" max="4608" width="11.42578125" style="433"/>
    <col min="4609" max="4609" width="5" style="433" bestFit="1" customWidth="1"/>
    <col min="4610" max="4610" width="7.7109375" style="433" bestFit="1" customWidth="1"/>
    <col min="4611" max="4611" width="16.140625" style="433" bestFit="1" customWidth="1"/>
    <col min="4612" max="4612" width="22.42578125" style="433" customWidth="1"/>
    <col min="4613" max="4613" width="9" style="433" customWidth="1"/>
    <col min="4614" max="4614" width="10.28515625" style="433" customWidth="1"/>
    <col min="4615" max="4615" width="18.140625" style="433" customWidth="1"/>
    <col min="4616" max="4616" width="15.5703125" style="433" customWidth="1"/>
    <col min="4617" max="4617" width="12.42578125" style="433" customWidth="1"/>
    <col min="4618" max="4618" width="13.140625" style="433" customWidth="1"/>
    <col min="4619" max="4619" width="11.5703125" style="433" customWidth="1"/>
    <col min="4620" max="4620" width="2.140625" style="433" customWidth="1"/>
    <col min="4621" max="4621" width="2.140625" style="433" bestFit="1" customWidth="1"/>
    <col min="4622" max="4622" width="3" style="433" bestFit="1" customWidth="1"/>
    <col min="4623" max="4623" width="7.28515625" style="433" bestFit="1" customWidth="1"/>
    <col min="4624" max="4624" width="6.140625" style="433" bestFit="1" customWidth="1"/>
    <col min="4625" max="4625" width="7.28515625" style="433" bestFit="1" customWidth="1"/>
    <col min="4626" max="4628" width="3.28515625" style="433" bestFit="1" customWidth="1"/>
    <col min="4629" max="4631" width="7.28515625" style="433" bestFit="1" customWidth="1"/>
    <col min="4632" max="4634" width="3.28515625" style="433" bestFit="1" customWidth="1"/>
    <col min="4635" max="4637" width="7.28515625" style="433" bestFit="1" customWidth="1"/>
    <col min="4638" max="4640" width="3.28515625" style="433" bestFit="1" customWidth="1"/>
    <col min="4641" max="4643" width="7.28515625" style="433" bestFit="1" customWidth="1"/>
    <col min="4644" max="4644" width="9.140625" style="433" bestFit="1" customWidth="1"/>
    <col min="4645" max="4645" width="10.140625" style="433" customWidth="1"/>
    <col min="4646" max="4646" width="6.42578125" style="433" customWidth="1"/>
    <col min="4647" max="4647" width="7.28515625" style="433" customWidth="1"/>
    <col min="4648" max="4648" width="9.28515625" style="433" customWidth="1"/>
    <col min="4649" max="4649" width="6" style="433" customWidth="1"/>
    <col min="4650" max="4650" width="12" style="433" customWidth="1"/>
    <col min="4651" max="4651" width="15" style="433" customWidth="1"/>
    <col min="4652" max="4652" width="13.85546875" style="433" customWidth="1"/>
    <col min="4653" max="4864" width="11.42578125" style="433"/>
    <col min="4865" max="4865" width="5" style="433" bestFit="1" customWidth="1"/>
    <col min="4866" max="4866" width="7.7109375" style="433" bestFit="1" customWidth="1"/>
    <col min="4867" max="4867" width="16.140625" style="433" bestFit="1" customWidth="1"/>
    <col min="4868" max="4868" width="22.42578125" style="433" customWidth="1"/>
    <col min="4869" max="4869" width="9" style="433" customWidth="1"/>
    <col min="4870" max="4870" width="10.28515625" style="433" customWidth="1"/>
    <col min="4871" max="4871" width="18.140625" style="433" customWidth="1"/>
    <col min="4872" max="4872" width="15.5703125" style="433" customWidth="1"/>
    <col min="4873" max="4873" width="12.42578125" style="433" customWidth="1"/>
    <col min="4874" max="4874" width="13.140625" style="433" customWidth="1"/>
    <col min="4875" max="4875" width="11.5703125" style="433" customWidth="1"/>
    <col min="4876" max="4876" width="2.140625" style="433" customWidth="1"/>
    <col min="4877" max="4877" width="2.140625" style="433" bestFit="1" customWidth="1"/>
    <col min="4878" max="4878" width="3" style="433" bestFit="1" customWidth="1"/>
    <col min="4879" max="4879" width="7.28515625" style="433" bestFit="1" customWidth="1"/>
    <col min="4880" max="4880" width="6.140625" style="433" bestFit="1" customWidth="1"/>
    <col min="4881" max="4881" width="7.28515625" style="433" bestFit="1" customWidth="1"/>
    <col min="4882" max="4884" width="3.28515625" style="433" bestFit="1" customWidth="1"/>
    <col min="4885" max="4887" width="7.28515625" style="433" bestFit="1" customWidth="1"/>
    <col min="4888" max="4890" width="3.28515625" style="433" bestFit="1" customWidth="1"/>
    <col min="4891" max="4893" width="7.28515625" style="433" bestFit="1" customWidth="1"/>
    <col min="4894" max="4896" width="3.28515625" style="433" bestFit="1" customWidth="1"/>
    <col min="4897" max="4899" width="7.28515625" style="433" bestFit="1" customWidth="1"/>
    <col min="4900" max="4900" width="9.140625" style="433" bestFit="1" customWidth="1"/>
    <col min="4901" max="4901" width="10.140625" style="433" customWidth="1"/>
    <col min="4902" max="4902" width="6.42578125" style="433" customWidth="1"/>
    <col min="4903" max="4903" width="7.28515625" style="433" customWidth="1"/>
    <col min="4904" max="4904" width="9.28515625" style="433" customWidth="1"/>
    <col min="4905" max="4905" width="6" style="433" customWidth="1"/>
    <col min="4906" max="4906" width="12" style="433" customWidth="1"/>
    <col min="4907" max="4907" width="15" style="433" customWidth="1"/>
    <col min="4908" max="4908" width="13.85546875" style="433" customWidth="1"/>
    <col min="4909" max="5120" width="11.42578125" style="433"/>
    <col min="5121" max="5121" width="5" style="433" bestFit="1" customWidth="1"/>
    <col min="5122" max="5122" width="7.7109375" style="433" bestFit="1" customWidth="1"/>
    <col min="5123" max="5123" width="16.140625" style="433" bestFit="1" customWidth="1"/>
    <col min="5124" max="5124" width="22.42578125" style="433" customWidth="1"/>
    <col min="5125" max="5125" width="9" style="433" customWidth="1"/>
    <col min="5126" max="5126" width="10.28515625" style="433" customWidth="1"/>
    <col min="5127" max="5127" width="18.140625" style="433" customWidth="1"/>
    <col min="5128" max="5128" width="15.5703125" style="433" customWidth="1"/>
    <col min="5129" max="5129" width="12.42578125" style="433" customWidth="1"/>
    <col min="5130" max="5130" width="13.140625" style="433" customWidth="1"/>
    <col min="5131" max="5131" width="11.5703125" style="433" customWidth="1"/>
    <col min="5132" max="5132" width="2.140625" style="433" customWidth="1"/>
    <col min="5133" max="5133" width="2.140625" style="433" bestFit="1" customWidth="1"/>
    <col min="5134" max="5134" width="3" style="433" bestFit="1" customWidth="1"/>
    <col min="5135" max="5135" width="7.28515625" style="433" bestFit="1" customWidth="1"/>
    <col min="5136" max="5136" width="6.140625" style="433" bestFit="1" customWidth="1"/>
    <col min="5137" max="5137" width="7.28515625" style="433" bestFit="1" customWidth="1"/>
    <col min="5138" max="5140" width="3.28515625" style="433" bestFit="1" customWidth="1"/>
    <col min="5141" max="5143" width="7.28515625" style="433" bestFit="1" customWidth="1"/>
    <col min="5144" max="5146" width="3.28515625" style="433" bestFit="1" customWidth="1"/>
    <col min="5147" max="5149" width="7.28515625" style="433" bestFit="1" customWidth="1"/>
    <col min="5150" max="5152" width="3.28515625" style="433" bestFit="1" customWidth="1"/>
    <col min="5153" max="5155" width="7.28515625" style="433" bestFit="1" customWidth="1"/>
    <col min="5156" max="5156" width="9.140625" style="433" bestFit="1" customWidth="1"/>
    <col min="5157" max="5157" width="10.140625" style="433" customWidth="1"/>
    <col min="5158" max="5158" width="6.42578125" style="433" customWidth="1"/>
    <col min="5159" max="5159" width="7.28515625" style="433" customWidth="1"/>
    <col min="5160" max="5160" width="9.28515625" style="433" customWidth="1"/>
    <col min="5161" max="5161" width="6" style="433" customWidth="1"/>
    <col min="5162" max="5162" width="12" style="433" customWidth="1"/>
    <col min="5163" max="5163" width="15" style="433" customWidth="1"/>
    <col min="5164" max="5164" width="13.85546875" style="433" customWidth="1"/>
    <col min="5165" max="5376" width="11.42578125" style="433"/>
    <col min="5377" max="5377" width="5" style="433" bestFit="1" customWidth="1"/>
    <col min="5378" max="5378" width="7.7109375" style="433" bestFit="1" customWidth="1"/>
    <col min="5379" max="5379" width="16.140625" style="433" bestFit="1" customWidth="1"/>
    <col min="5380" max="5380" width="22.42578125" style="433" customWidth="1"/>
    <col min="5381" max="5381" width="9" style="433" customWidth="1"/>
    <col min="5382" max="5382" width="10.28515625" style="433" customWidth="1"/>
    <col min="5383" max="5383" width="18.140625" style="433" customWidth="1"/>
    <col min="5384" max="5384" width="15.5703125" style="433" customWidth="1"/>
    <col min="5385" max="5385" width="12.42578125" style="433" customWidth="1"/>
    <col min="5386" max="5386" width="13.140625" style="433" customWidth="1"/>
    <col min="5387" max="5387" width="11.5703125" style="433" customWidth="1"/>
    <col min="5388" max="5388" width="2.140625" style="433" customWidth="1"/>
    <col min="5389" max="5389" width="2.140625" style="433" bestFit="1" customWidth="1"/>
    <col min="5390" max="5390" width="3" style="433" bestFit="1" customWidth="1"/>
    <col min="5391" max="5391" width="7.28515625" style="433" bestFit="1" customWidth="1"/>
    <col min="5392" max="5392" width="6.140625" style="433" bestFit="1" customWidth="1"/>
    <col min="5393" max="5393" width="7.28515625" style="433" bestFit="1" customWidth="1"/>
    <col min="5394" max="5396" width="3.28515625" style="433" bestFit="1" customWidth="1"/>
    <col min="5397" max="5399" width="7.28515625" style="433" bestFit="1" customWidth="1"/>
    <col min="5400" max="5402" width="3.28515625" style="433" bestFit="1" customWidth="1"/>
    <col min="5403" max="5405" width="7.28515625" style="433" bestFit="1" customWidth="1"/>
    <col min="5406" max="5408" width="3.28515625" style="433" bestFit="1" customWidth="1"/>
    <col min="5409" max="5411" width="7.28515625" style="433" bestFit="1" customWidth="1"/>
    <col min="5412" max="5412" width="9.140625" style="433" bestFit="1" customWidth="1"/>
    <col min="5413" max="5413" width="10.140625" style="433" customWidth="1"/>
    <col min="5414" max="5414" width="6.42578125" style="433" customWidth="1"/>
    <col min="5415" max="5415" width="7.28515625" style="433" customWidth="1"/>
    <col min="5416" max="5416" width="9.28515625" style="433" customWidth="1"/>
    <col min="5417" max="5417" width="6" style="433" customWidth="1"/>
    <col min="5418" max="5418" width="12" style="433" customWidth="1"/>
    <col min="5419" max="5419" width="15" style="433" customWidth="1"/>
    <col min="5420" max="5420" width="13.85546875" style="433" customWidth="1"/>
    <col min="5421" max="5632" width="11.42578125" style="433"/>
    <col min="5633" max="5633" width="5" style="433" bestFit="1" customWidth="1"/>
    <col min="5634" max="5634" width="7.7109375" style="433" bestFit="1" customWidth="1"/>
    <col min="5635" max="5635" width="16.140625" style="433" bestFit="1" customWidth="1"/>
    <col min="5636" max="5636" width="22.42578125" style="433" customWidth="1"/>
    <col min="5637" max="5637" width="9" style="433" customWidth="1"/>
    <col min="5638" max="5638" width="10.28515625" style="433" customWidth="1"/>
    <col min="5639" max="5639" width="18.140625" style="433" customWidth="1"/>
    <col min="5640" max="5640" width="15.5703125" style="433" customWidth="1"/>
    <col min="5641" max="5641" width="12.42578125" style="433" customWidth="1"/>
    <col min="5642" max="5642" width="13.140625" style="433" customWidth="1"/>
    <col min="5643" max="5643" width="11.5703125" style="433" customWidth="1"/>
    <col min="5644" max="5644" width="2.140625" style="433" customWidth="1"/>
    <col min="5645" max="5645" width="2.140625" style="433" bestFit="1" customWidth="1"/>
    <col min="5646" max="5646" width="3" style="433" bestFit="1" customWidth="1"/>
    <col min="5647" max="5647" width="7.28515625" style="433" bestFit="1" customWidth="1"/>
    <col min="5648" max="5648" width="6.140625" style="433" bestFit="1" customWidth="1"/>
    <col min="5649" max="5649" width="7.28515625" style="433" bestFit="1" customWidth="1"/>
    <col min="5650" max="5652" width="3.28515625" style="433" bestFit="1" customWidth="1"/>
    <col min="5653" max="5655" width="7.28515625" style="433" bestFit="1" customWidth="1"/>
    <col min="5656" max="5658" width="3.28515625" style="433" bestFit="1" customWidth="1"/>
    <col min="5659" max="5661" width="7.28515625" style="433" bestFit="1" customWidth="1"/>
    <col min="5662" max="5664" width="3.28515625" style="433" bestFit="1" customWidth="1"/>
    <col min="5665" max="5667" width="7.28515625" style="433" bestFit="1" customWidth="1"/>
    <col min="5668" max="5668" width="9.140625" style="433" bestFit="1" customWidth="1"/>
    <col min="5669" max="5669" width="10.140625" style="433" customWidth="1"/>
    <col min="5670" max="5670" width="6.42578125" style="433" customWidth="1"/>
    <col min="5671" max="5671" width="7.28515625" style="433" customWidth="1"/>
    <col min="5672" max="5672" width="9.28515625" style="433" customWidth="1"/>
    <col min="5673" max="5673" width="6" style="433" customWidth="1"/>
    <col min="5674" max="5674" width="12" style="433" customWidth="1"/>
    <col min="5675" max="5675" width="15" style="433" customWidth="1"/>
    <col min="5676" max="5676" width="13.85546875" style="433" customWidth="1"/>
    <col min="5677" max="5888" width="11.42578125" style="433"/>
    <col min="5889" max="5889" width="5" style="433" bestFit="1" customWidth="1"/>
    <col min="5890" max="5890" width="7.7109375" style="433" bestFit="1" customWidth="1"/>
    <col min="5891" max="5891" width="16.140625" style="433" bestFit="1" customWidth="1"/>
    <col min="5892" max="5892" width="22.42578125" style="433" customWidth="1"/>
    <col min="5893" max="5893" width="9" style="433" customWidth="1"/>
    <col min="5894" max="5894" width="10.28515625" style="433" customWidth="1"/>
    <col min="5895" max="5895" width="18.140625" style="433" customWidth="1"/>
    <col min="5896" max="5896" width="15.5703125" style="433" customWidth="1"/>
    <col min="5897" max="5897" width="12.42578125" style="433" customWidth="1"/>
    <col min="5898" max="5898" width="13.140625" style="433" customWidth="1"/>
    <col min="5899" max="5899" width="11.5703125" style="433" customWidth="1"/>
    <col min="5900" max="5900" width="2.140625" style="433" customWidth="1"/>
    <col min="5901" max="5901" width="2.140625" style="433" bestFit="1" customWidth="1"/>
    <col min="5902" max="5902" width="3" style="433" bestFit="1" customWidth="1"/>
    <col min="5903" max="5903" width="7.28515625" style="433" bestFit="1" customWidth="1"/>
    <col min="5904" max="5904" width="6.140625" style="433" bestFit="1" customWidth="1"/>
    <col min="5905" max="5905" width="7.28515625" style="433" bestFit="1" customWidth="1"/>
    <col min="5906" max="5908" width="3.28515625" style="433" bestFit="1" customWidth="1"/>
    <col min="5909" max="5911" width="7.28515625" style="433" bestFit="1" customWidth="1"/>
    <col min="5912" max="5914" width="3.28515625" style="433" bestFit="1" customWidth="1"/>
    <col min="5915" max="5917" width="7.28515625" style="433" bestFit="1" customWidth="1"/>
    <col min="5918" max="5920" width="3.28515625" style="433" bestFit="1" customWidth="1"/>
    <col min="5921" max="5923" width="7.28515625" style="433" bestFit="1" customWidth="1"/>
    <col min="5924" max="5924" width="9.140625" style="433" bestFit="1" customWidth="1"/>
    <col min="5925" max="5925" width="10.140625" style="433" customWidth="1"/>
    <col min="5926" max="5926" width="6.42578125" style="433" customWidth="1"/>
    <col min="5927" max="5927" width="7.28515625" style="433" customWidth="1"/>
    <col min="5928" max="5928" width="9.28515625" style="433" customWidth="1"/>
    <col min="5929" max="5929" width="6" style="433" customWidth="1"/>
    <col min="5930" max="5930" width="12" style="433" customWidth="1"/>
    <col min="5931" max="5931" width="15" style="433" customWidth="1"/>
    <col min="5932" max="5932" width="13.85546875" style="433" customWidth="1"/>
    <col min="5933" max="6144" width="11.42578125" style="433"/>
    <col min="6145" max="6145" width="5" style="433" bestFit="1" customWidth="1"/>
    <col min="6146" max="6146" width="7.7109375" style="433" bestFit="1" customWidth="1"/>
    <col min="6147" max="6147" width="16.140625" style="433" bestFit="1" customWidth="1"/>
    <col min="6148" max="6148" width="22.42578125" style="433" customWidth="1"/>
    <col min="6149" max="6149" width="9" style="433" customWidth="1"/>
    <col min="6150" max="6150" width="10.28515625" style="433" customWidth="1"/>
    <col min="6151" max="6151" width="18.140625" style="433" customWidth="1"/>
    <col min="6152" max="6152" width="15.5703125" style="433" customWidth="1"/>
    <col min="6153" max="6153" width="12.42578125" style="433" customWidth="1"/>
    <col min="6154" max="6154" width="13.140625" style="433" customWidth="1"/>
    <col min="6155" max="6155" width="11.5703125" style="433" customWidth="1"/>
    <col min="6156" max="6156" width="2.140625" style="433" customWidth="1"/>
    <col min="6157" max="6157" width="2.140625" style="433" bestFit="1" customWidth="1"/>
    <col min="6158" max="6158" width="3" style="433" bestFit="1" customWidth="1"/>
    <col min="6159" max="6159" width="7.28515625" style="433" bestFit="1" customWidth="1"/>
    <col min="6160" max="6160" width="6.140625" style="433" bestFit="1" customWidth="1"/>
    <col min="6161" max="6161" width="7.28515625" style="433" bestFit="1" customWidth="1"/>
    <col min="6162" max="6164" width="3.28515625" style="433" bestFit="1" customWidth="1"/>
    <col min="6165" max="6167" width="7.28515625" style="433" bestFit="1" customWidth="1"/>
    <col min="6168" max="6170" width="3.28515625" style="433" bestFit="1" customWidth="1"/>
    <col min="6171" max="6173" width="7.28515625" style="433" bestFit="1" customWidth="1"/>
    <col min="6174" max="6176" width="3.28515625" style="433" bestFit="1" customWidth="1"/>
    <col min="6177" max="6179" width="7.28515625" style="433" bestFit="1" customWidth="1"/>
    <col min="6180" max="6180" width="9.140625" style="433" bestFit="1" customWidth="1"/>
    <col min="6181" max="6181" width="10.140625" style="433" customWidth="1"/>
    <col min="6182" max="6182" width="6.42578125" style="433" customWidth="1"/>
    <col min="6183" max="6183" width="7.28515625" style="433" customWidth="1"/>
    <col min="6184" max="6184" width="9.28515625" style="433" customWidth="1"/>
    <col min="6185" max="6185" width="6" style="433" customWidth="1"/>
    <col min="6186" max="6186" width="12" style="433" customWidth="1"/>
    <col min="6187" max="6187" width="15" style="433" customWidth="1"/>
    <col min="6188" max="6188" width="13.85546875" style="433" customWidth="1"/>
    <col min="6189" max="6400" width="11.42578125" style="433"/>
    <col min="6401" max="6401" width="5" style="433" bestFit="1" customWidth="1"/>
    <col min="6402" max="6402" width="7.7109375" style="433" bestFit="1" customWidth="1"/>
    <col min="6403" max="6403" width="16.140625" style="433" bestFit="1" customWidth="1"/>
    <col min="6404" max="6404" width="22.42578125" style="433" customWidth="1"/>
    <col min="6405" max="6405" width="9" style="433" customWidth="1"/>
    <col min="6406" max="6406" width="10.28515625" style="433" customWidth="1"/>
    <col min="6407" max="6407" width="18.140625" style="433" customWidth="1"/>
    <col min="6408" max="6408" width="15.5703125" style="433" customWidth="1"/>
    <col min="6409" max="6409" width="12.42578125" style="433" customWidth="1"/>
    <col min="6410" max="6410" width="13.140625" style="433" customWidth="1"/>
    <col min="6411" max="6411" width="11.5703125" style="433" customWidth="1"/>
    <col min="6412" max="6412" width="2.140625" style="433" customWidth="1"/>
    <col min="6413" max="6413" width="2.140625" style="433" bestFit="1" customWidth="1"/>
    <col min="6414" max="6414" width="3" style="433" bestFit="1" customWidth="1"/>
    <col min="6415" max="6415" width="7.28515625" style="433" bestFit="1" customWidth="1"/>
    <col min="6416" max="6416" width="6.140625" style="433" bestFit="1" customWidth="1"/>
    <col min="6417" max="6417" width="7.28515625" style="433" bestFit="1" customWidth="1"/>
    <col min="6418" max="6420" width="3.28515625" style="433" bestFit="1" customWidth="1"/>
    <col min="6421" max="6423" width="7.28515625" style="433" bestFit="1" customWidth="1"/>
    <col min="6424" max="6426" width="3.28515625" style="433" bestFit="1" customWidth="1"/>
    <col min="6427" max="6429" width="7.28515625" style="433" bestFit="1" customWidth="1"/>
    <col min="6430" max="6432" width="3.28515625" style="433" bestFit="1" customWidth="1"/>
    <col min="6433" max="6435" width="7.28515625" style="433" bestFit="1" customWidth="1"/>
    <col min="6436" max="6436" width="9.140625" style="433" bestFit="1" customWidth="1"/>
    <col min="6437" max="6437" width="10.140625" style="433" customWidth="1"/>
    <col min="6438" max="6438" width="6.42578125" style="433" customWidth="1"/>
    <col min="6439" max="6439" width="7.28515625" style="433" customWidth="1"/>
    <col min="6440" max="6440" width="9.28515625" style="433" customWidth="1"/>
    <col min="6441" max="6441" width="6" style="433" customWidth="1"/>
    <col min="6442" max="6442" width="12" style="433" customWidth="1"/>
    <col min="6443" max="6443" width="15" style="433" customWidth="1"/>
    <col min="6444" max="6444" width="13.85546875" style="433" customWidth="1"/>
    <col min="6445" max="6656" width="11.42578125" style="433"/>
    <col min="6657" max="6657" width="5" style="433" bestFit="1" customWidth="1"/>
    <col min="6658" max="6658" width="7.7109375" style="433" bestFit="1" customWidth="1"/>
    <col min="6659" max="6659" width="16.140625" style="433" bestFit="1" customWidth="1"/>
    <col min="6660" max="6660" width="22.42578125" style="433" customWidth="1"/>
    <col min="6661" max="6661" width="9" style="433" customWidth="1"/>
    <col min="6662" max="6662" width="10.28515625" style="433" customWidth="1"/>
    <col min="6663" max="6663" width="18.140625" style="433" customWidth="1"/>
    <col min="6664" max="6664" width="15.5703125" style="433" customWidth="1"/>
    <col min="6665" max="6665" width="12.42578125" style="433" customWidth="1"/>
    <col min="6666" max="6666" width="13.140625" style="433" customWidth="1"/>
    <col min="6667" max="6667" width="11.5703125" style="433" customWidth="1"/>
    <col min="6668" max="6668" width="2.140625" style="433" customWidth="1"/>
    <col min="6669" max="6669" width="2.140625" style="433" bestFit="1" customWidth="1"/>
    <col min="6670" max="6670" width="3" style="433" bestFit="1" customWidth="1"/>
    <col min="6671" max="6671" width="7.28515625" style="433" bestFit="1" customWidth="1"/>
    <col min="6672" max="6672" width="6.140625" style="433" bestFit="1" customWidth="1"/>
    <col min="6673" max="6673" width="7.28515625" style="433" bestFit="1" customWidth="1"/>
    <col min="6674" max="6676" width="3.28515625" style="433" bestFit="1" customWidth="1"/>
    <col min="6677" max="6679" width="7.28515625" style="433" bestFit="1" customWidth="1"/>
    <col min="6680" max="6682" width="3.28515625" style="433" bestFit="1" customWidth="1"/>
    <col min="6683" max="6685" width="7.28515625" style="433" bestFit="1" customWidth="1"/>
    <col min="6686" max="6688" width="3.28515625" style="433" bestFit="1" customWidth="1"/>
    <col min="6689" max="6691" width="7.28515625" style="433" bestFit="1" customWidth="1"/>
    <col min="6692" max="6692" width="9.140625" style="433" bestFit="1" customWidth="1"/>
    <col min="6693" max="6693" width="10.140625" style="433" customWidth="1"/>
    <col min="6694" max="6694" width="6.42578125" style="433" customWidth="1"/>
    <col min="6695" max="6695" width="7.28515625" style="433" customWidth="1"/>
    <col min="6696" max="6696" width="9.28515625" style="433" customWidth="1"/>
    <col min="6697" max="6697" width="6" style="433" customWidth="1"/>
    <col min="6698" max="6698" width="12" style="433" customWidth="1"/>
    <col min="6699" max="6699" width="15" style="433" customWidth="1"/>
    <col min="6700" max="6700" width="13.85546875" style="433" customWidth="1"/>
    <col min="6701" max="6912" width="11.42578125" style="433"/>
    <col min="6913" max="6913" width="5" style="433" bestFit="1" customWidth="1"/>
    <col min="6914" max="6914" width="7.7109375" style="433" bestFit="1" customWidth="1"/>
    <col min="6915" max="6915" width="16.140625" style="433" bestFit="1" customWidth="1"/>
    <col min="6916" max="6916" width="22.42578125" style="433" customWidth="1"/>
    <col min="6917" max="6917" width="9" style="433" customWidth="1"/>
    <col min="6918" max="6918" width="10.28515625" style="433" customWidth="1"/>
    <col min="6919" max="6919" width="18.140625" style="433" customWidth="1"/>
    <col min="6920" max="6920" width="15.5703125" style="433" customWidth="1"/>
    <col min="6921" max="6921" width="12.42578125" style="433" customWidth="1"/>
    <col min="6922" max="6922" width="13.140625" style="433" customWidth="1"/>
    <col min="6923" max="6923" width="11.5703125" style="433" customWidth="1"/>
    <col min="6924" max="6924" width="2.140625" style="433" customWidth="1"/>
    <col min="6925" max="6925" width="2.140625" style="433" bestFit="1" customWidth="1"/>
    <col min="6926" max="6926" width="3" style="433" bestFit="1" customWidth="1"/>
    <col min="6927" max="6927" width="7.28515625" style="433" bestFit="1" customWidth="1"/>
    <col min="6928" max="6928" width="6.140625" style="433" bestFit="1" customWidth="1"/>
    <col min="6929" max="6929" width="7.28515625" style="433" bestFit="1" customWidth="1"/>
    <col min="6930" max="6932" width="3.28515625" style="433" bestFit="1" customWidth="1"/>
    <col min="6933" max="6935" width="7.28515625" style="433" bestFit="1" customWidth="1"/>
    <col min="6936" max="6938" width="3.28515625" style="433" bestFit="1" customWidth="1"/>
    <col min="6939" max="6941" width="7.28515625" style="433" bestFit="1" customWidth="1"/>
    <col min="6942" max="6944" width="3.28515625" style="433" bestFit="1" customWidth="1"/>
    <col min="6945" max="6947" width="7.28515625" style="433" bestFit="1" customWidth="1"/>
    <col min="6948" max="6948" width="9.140625" style="433" bestFit="1" customWidth="1"/>
    <col min="6949" max="6949" width="10.140625" style="433" customWidth="1"/>
    <col min="6950" max="6950" width="6.42578125" style="433" customWidth="1"/>
    <col min="6951" max="6951" width="7.28515625" style="433" customWidth="1"/>
    <col min="6952" max="6952" width="9.28515625" style="433" customWidth="1"/>
    <col min="6953" max="6953" width="6" style="433" customWidth="1"/>
    <col min="6954" max="6954" width="12" style="433" customWidth="1"/>
    <col min="6955" max="6955" width="15" style="433" customWidth="1"/>
    <col min="6956" max="6956" width="13.85546875" style="433" customWidth="1"/>
    <col min="6957" max="7168" width="11.42578125" style="433"/>
    <col min="7169" max="7169" width="5" style="433" bestFit="1" customWidth="1"/>
    <col min="7170" max="7170" width="7.7109375" style="433" bestFit="1" customWidth="1"/>
    <col min="7171" max="7171" width="16.140625" style="433" bestFit="1" customWidth="1"/>
    <col min="7172" max="7172" width="22.42578125" style="433" customWidth="1"/>
    <col min="7173" max="7173" width="9" style="433" customWidth="1"/>
    <col min="7174" max="7174" width="10.28515625" style="433" customWidth="1"/>
    <col min="7175" max="7175" width="18.140625" style="433" customWidth="1"/>
    <col min="7176" max="7176" width="15.5703125" style="433" customWidth="1"/>
    <col min="7177" max="7177" width="12.42578125" style="433" customWidth="1"/>
    <col min="7178" max="7178" width="13.140625" style="433" customWidth="1"/>
    <col min="7179" max="7179" width="11.5703125" style="433" customWidth="1"/>
    <col min="7180" max="7180" width="2.140625" style="433" customWidth="1"/>
    <col min="7181" max="7181" width="2.140625" style="433" bestFit="1" customWidth="1"/>
    <col min="7182" max="7182" width="3" style="433" bestFit="1" customWidth="1"/>
    <col min="7183" max="7183" width="7.28515625" style="433" bestFit="1" customWidth="1"/>
    <col min="7184" max="7184" width="6.140625" style="433" bestFit="1" customWidth="1"/>
    <col min="7185" max="7185" width="7.28515625" style="433" bestFit="1" customWidth="1"/>
    <col min="7186" max="7188" width="3.28515625" style="433" bestFit="1" customWidth="1"/>
    <col min="7189" max="7191" width="7.28515625" style="433" bestFit="1" customWidth="1"/>
    <col min="7192" max="7194" width="3.28515625" style="433" bestFit="1" customWidth="1"/>
    <col min="7195" max="7197" width="7.28515625" style="433" bestFit="1" customWidth="1"/>
    <col min="7198" max="7200" width="3.28515625" style="433" bestFit="1" customWidth="1"/>
    <col min="7201" max="7203" width="7.28515625" style="433" bestFit="1" customWidth="1"/>
    <col min="7204" max="7204" width="9.140625" style="433" bestFit="1" customWidth="1"/>
    <col min="7205" max="7205" width="10.140625" style="433" customWidth="1"/>
    <col min="7206" max="7206" width="6.42578125" style="433" customWidth="1"/>
    <col min="7207" max="7207" width="7.28515625" style="433" customWidth="1"/>
    <col min="7208" max="7208" width="9.28515625" style="433" customWidth="1"/>
    <col min="7209" max="7209" width="6" style="433" customWidth="1"/>
    <col min="7210" max="7210" width="12" style="433" customWidth="1"/>
    <col min="7211" max="7211" width="15" style="433" customWidth="1"/>
    <col min="7212" max="7212" width="13.85546875" style="433" customWidth="1"/>
    <col min="7213" max="7424" width="11.42578125" style="433"/>
    <col min="7425" max="7425" width="5" style="433" bestFit="1" customWidth="1"/>
    <col min="7426" max="7426" width="7.7109375" style="433" bestFit="1" customWidth="1"/>
    <col min="7427" max="7427" width="16.140625" style="433" bestFit="1" customWidth="1"/>
    <col min="7428" max="7428" width="22.42578125" style="433" customWidth="1"/>
    <col min="7429" max="7429" width="9" style="433" customWidth="1"/>
    <col min="7430" max="7430" width="10.28515625" style="433" customWidth="1"/>
    <col min="7431" max="7431" width="18.140625" style="433" customWidth="1"/>
    <col min="7432" max="7432" width="15.5703125" style="433" customWidth="1"/>
    <col min="7433" max="7433" width="12.42578125" style="433" customWidth="1"/>
    <col min="7434" max="7434" width="13.140625" style="433" customWidth="1"/>
    <col min="7435" max="7435" width="11.5703125" style="433" customWidth="1"/>
    <col min="7436" max="7436" width="2.140625" style="433" customWidth="1"/>
    <col min="7437" max="7437" width="2.140625" style="433" bestFit="1" customWidth="1"/>
    <col min="7438" max="7438" width="3" style="433" bestFit="1" customWidth="1"/>
    <col min="7439" max="7439" width="7.28515625" style="433" bestFit="1" customWidth="1"/>
    <col min="7440" max="7440" width="6.140625" style="433" bestFit="1" customWidth="1"/>
    <col min="7441" max="7441" width="7.28515625" style="433" bestFit="1" customWidth="1"/>
    <col min="7442" max="7444" width="3.28515625" style="433" bestFit="1" customWidth="1"/>
    <col min="7445" max="7447" width="7.28515625" style="433" bestFit="1" customWidth="1"/>
    <col min="7448" max="7450" width="3.28515625" style="433" bestFit="1" customWidth="1"/>
    <col min="7451" max="7453" width="7.28515625" style="433" bestFit="1" customWidth="1"/>
    <col min="7454" max="7456" width="3.28515625" style="433" bestFit="1" customWidth="1"/>
    <col min="7457" max="7459" width="7.28515625" style="433" bestFit="1" customWidth="1"/>
    <col min="7460" max="7460" width="9.140625" style="433" bestFit="1" customWidth="1"/>
    <col min="7461" max="7461" width="10.140625" style="433" customWidth="1"/>
    <col min="7462" max="7462" width="6.42578125" style="433" customWidth="1"/>
    <col min="7463" max="7463" width="7.28515625" style="433" customWidth="1"/>
    <col min="7464" max="7464" width="9.28515625" style="433" customWidth="1"/>
    <col min="7465" max="7465" width="6" style="433" customWidth="1"/>
    <col min="7466" max="7466" width="12" style="433" customWidth="1"/>
    <col min="7467" max="7467" width="15" style="433" customWidth="1"/>
    <col min="7468" max="7468" width="13.85546875" style="433" customWidth="1"/>
    <col min="7469" max="7680" width="11.42578125" style="433"/>
    <col min="7681" max="7681" width="5" style="433" bestFit="1" customWidth="1"/>
    <col min="7682" max="7682" width="7.7109375" style="433" bestFit="1" customWidth="1"/>
    <col min="7683" max="7683" width="16.140625" style="433" bestFit="1" customWidth="1"/>
    <col min="7684" max="7684" width="22.42578125" style="433" customWidth="1"/>
    <col min="7685" max="7685" width="9" style="433" customWidth="1"/>
    <col min="7686" max="7686" width="10.28515625" style="433" customWidth="1"/>
    <col min="7687" max="7687" width="18.140625" style="433" customWidth="1"/>
    <col min="7688" max="7688" width="15.5703125" style="433" customWidth="1"/>
    <col min="7689" max="7689" width="12.42578125" style="433" customWidth="1"/>
    <col min="7690" max="7690" width="13.140625" style="433" customWidth="1"/>
    <col min="7691" max="7691" width="11.5703125" style="433" customWidth="1"/>
    <col min="7692" max="7692" width="2.140625" style="433" customWidth="1"/>
    <col min="7693" max="7693" width="2.140625" style="433" bestFit="1" customWidth="1"/>
    <col min="7694" max="7694" width="3" style="433" bestFit="1" customWidth="1"/>
    <col min="7695" max="7695" width="7.28515625" style="433" bestFit="1" customWidth="1"/>
    <col min="7696" max="7696" width="6.140625" style="433" bestFit="1" customWidth="1"/>
    <col min="7697" max="7697" width="7.28515625" style="433" bestFit="1" customWidth="1"/>
    <col min="7698" max="7700" width="3.28515625" style="433" bestFit="1" customWidth="1"/>
    <col min="7701" max="7703" width="7.28515625" style="433" bestFit="1" customWidth="1"/>
    <col min="7704" max="7706" width="3.28515625" style="433" bestFit="1" customWidth="1"/>
    <col min="7707" max="7709" width="7.28515625" style="433" bestFit="1" customWidth="1"/>
    <col min="7710" max="7712" width="3.28515625" style="433" bestFit="1" customWidth="1"/>
    <col min="7713" max="7715" width="7.28515625" style="433" bestFit="1" customWidth="1"/>
    <col min="7716" max="7716" width="9.140625" style="433" bestFit="1" customWidth="1"/>
    <col min="7717" max="7717" width="10.140625" style="433" customWidth="1"/>
    <col min="7718" max="7718" width="6.42578125" style="433" customWidth="1"/>
    <col min="7719" max="7719" width="7.28515625" style="433" customWidth="1"/>
    <col min="7720" max="7720" width="9.28515625" style="433" customWidth="1"/>
    <col min="7721" max="7721" width="6" style="433" customWidth="1"/>
    <col min="7722" max="7722" width="12" style="433" customWidth="1"/>
    <col min="7723" max="7723" width="15" style="433" customWidth="1"/>
    <col min="7724" max="7724" width="13.85546875" style="433" customWidth="1"/>
    <col min="7725" max="7936" width="11.42578125" style="433"/>
    <col min="7937" max="7937" width="5" style="433" bestFit="1" customWidth="1"/>
    <col min="7938" max="7938" width="7.7109375" style="433" bestFit="1" customWidth="1"/>
    <col min="7939" max="7939" width="16.140625" style="433" bestFit="1" customWidth="1"/>
    <col min="7940" max="7940" width="22.42578125" style="433" customWidth="1"/>
    <col min="7941" max="7941" width="9" style="433" customWidth="1"/>
    <col min="7942" max="7942" width="10.28515625" style="433" customWidth="1"/>
    <col min="7943" max="7943" width="18.140625" style="433" customWidth="1"/>
    <col min="7944" max="7944" width="15.5703125" style="433" customWidth="1"/>
    <col min="7945" max="7945" width="12.42578125" style="433" customWidth="1"/>
    <col min="7946" max="7946" width="13.140625" style="433" customWidth="1"/>
    <col min="7947" max="7947" width="11.5703125" style="433" customWidth="1"/>
    <col min="7948" max="7948" width="2.140625" style="433" customWidth="1"/>
    <col min="7949" max="7949" width="2.140625" style="433" bestFit="1" customWidth="1"/>
    <col min="7950" max="7950" width="3" style="433" bestFit="1" customWidth="1"/>
    <col min="7951" max="7951" width="7.28515625" style="433" bestFit="1" customWidth="1"/>
    <col min="7952" max="7952" width="6.140625" style="433" bestFit="1" customWidth="1"/>
    <col min="7953" max="7953" width="7.28515625" style="433" bestFit="1" customWidth="1"/>
    <col min="7954" max="7956" width="3.28515625" style="433" bestFit="1" customWidth="1"/>
    <col min="7957" max="7959" width="7.28515625" style="433" bestFit="1" customWidth="1"/>
    <col min="7960" max="7962" width="3.28515625" style="433" bestFit="1" customWidth="1"/>
    <col min="7963" max="7965" width="7.28515625" style="433" bestFit="1" customWidth="1"/>
    <col min="7966" max="7968" width="3.28515625" style="433" bestFit="1" customWidth="1"/>
    <col min="7969" max="7971" width="7.28515625" style="433" bestFit="1" customWidth="1"/>
    <col min="7972" max="7972" width="9.140625" style="433" bestFit="1" customWidth="1"/>
    <col min="7973" max="7973" width="10.140625" style="433" customWidth="1"/>
    <col min="7974" max="7974" width="6.42578125" style="433" customWidth="1"/>
    <col min="7975" max="7975" width="7.28515625" style="433" customWidth="1"/>
    <col min="7976" max="7976" width="9.28515625" style="433" customWidth="1"/>
    <col min="7977" max="7977" width="6" style="433" customWidth="1"/>
    <col min="7978" max="7978" width="12" style="433" customWidth="1"/>
    <col min="7979" max="7979" width="15" style="433" customWidth="1"/>
    <col min="7980" max="7980" width="13.85546875" style="433" customWidth="1"/>
    <col min="7981" max="8192" width="11.42578125" style="433"/>
    <col min="8193" max="8193" width="5" style="433" bestFit="1" customWidth="1"/>
    <col min="8194" max="8194" width="7.7109375" style="433" bestFit="1" customWidth="1"/>
    <col min="8195" max="8195" width="16.140625" style="433" bestFit="1" customWidth="1"/>
    <col min="8196" max="8196" width="22.42578125" style="433" customWidth="1"/>
    <col min="8197" max="8197" width="9" style="433" customWidth="1"/>
    <col min="8198" max="8198" width="10.28515625" style="433" customWidth="1"/>
    <col min="8199" max="8199" width="18.140625" style="433" customWidth="1"/>
    <col min="8200" max="8200" width="15.5703125" style="433" customWidth="1"/>
    <col min="8201" max="8201" width="12.42578125" style="433" customWidth="1"/>
    <col min="8202" max="8202" width="13.140625" style="433" customWidth="1"/>
    <col min="8203" max="8203" width="11.5703125" style="433" customWidth="1"/>
    <col min="8204" max="8204" width="2.140625" style="433" customWidth="1"/>
    <col min="8205" max="8205" width="2.140625" style="433" bestFit="1" customWidth="1"/>
    <col min="8206" max="8206" width="3" style="433" bestFit="1" customWidth="1"/>
    <col min="8207" max="8207" width="7.28515625" style="433" bestFit="1" customWidth="1"/>
    <col min="8208" max="8208" width="6.140625" style="433" bestFit="1" customWidth="1"/>
    <col min="8209" max="8209" width="7.28515625" style="433" bestFit="1" customWidth="1"/>
    <col min="8210" max="8212" width="3.28515625" style="433" bestFit="1" customWidth="1"/>
    <col min="8213" max="8215" width="7.28515625" style="433" bestFit="1" customWidth="1"/>
    <col min="8216" max="8218" width="3.28515625" style="433" bestFit="1" customWidth="1"/>
    <col min="8219" max="8221" width="7.28515625" style="433" bestFit="1" customWidth="1"/>
    <col min="8222" max="8224" width="3.28515625" style="433" bestFit="1" customWidth="1"/>
    <col min="8225" max="8227" width="7.28515625" style="433" bestFit="1" customWidth="1"/>
    <col min="8228" max="8228" width="9.140625" style="433" bestFit="1" customWidth="1"/>
    <col min="8229" max="8229" width="10.140625" style="433" customWidth="1"/>
    <col min="8230" max="8230" width="6.42578125" style="433" customWidth="1"/>
    <col min="8231" max="8231" width="7.28515625" style="433" customWidth="1"/>
    <col min="8232" max="8232" width="9.28515625" style="433" customWidth="1"/>
    <col min="8233" max="8233" width="6" style="433" customWidth="1"/>
    <col min="8234" max="8234" width="12" style="433" customWidth="1"/>
    <col min="8235" max="8235" width="15" style="433" customWidth="1"/>
    <col min="8236" max="8236" width="13.85546875" style="433" customWidth="1"/>
    <col min="8237" max="8448" width="11.42578125" style="433"/>
    <col min="8449" max="8449" width="5" style="433" bestFit="1" customWidth="1"/>
    <col min="8450" max="8450" width="7.7109375" style="433" bestFit="1" customWidth="1"/>
    <col min="8451" max="8451" width="16.140625" style="433" bestFit="1" customWidth="1"/>
    <col min="8452" max="8452" width="22.42578125" style="433" customWidth="1"/>
    <col min="8453" max="8453" width="9" style="433" customWidth="1"/>
    <col min="8454" max="8454" width="10.28515625" style="433" customWidth="1"/>
    <col min="8455" max="8455" width="18.140625" style="433" customWidth="1"/>
    <col min="8456" max="8456" width="15.5703125" style="433" customWidth="1"/>
    <col min="8457" max="8457" width="12.42578125" style="433" customWidth="1"/>
    <col min="8458" max="8458" width="13.140625" style="433" customWidth="1"/>
    <col min="8459" max="8459" width="11.5703125" style="433" customWidth="1"/>
    <col min="8460" max="8460" width="2.140625" style="433" customWidth="1"/>
    <col min="8461" max="8461" width="2.140625" style="433" bestFit="1" customWidth="1"/>
    <col min="8462" max="8462" width="3" style="433" bestFit="1" customWidth="1"/>
    <col min="8463" max="8463" width="7.28515625" style="433" bestFit="1" customWidth="1"/>
    <col min="8464" max="8464" width="6.140625" style="433" bestFit="1" customWidth="1"/>
    <col min="8465" max="8465" width="7.28515625" style="433" bestFit="1" customWidth="1"/>
    <col min="8466" max="8468" width="3.28515625" style="433" bestFit="1" customWidth="1"/>
    <col min="8469" max="8471" width="7.28515625" style="433" bestFit="1" customWidth="1"/>
    <col min="8472" max="8474" width="3.28515625" style="433" bestFit="1" customWidth="1"/>
    <col min="8475" max="8477" width="7.28515625" style="433" bestFit="1" customWidth="1"/>
    <col min="8478" max="8480" width="3.28515625" style="433" bestFit="1" customWidth="1"/>
    <col min="8481" max="8483" width="7.28515625" style="433" bestFit="1" customWidth="1"/>
    <col min="8484" max="8484" width="9.140625" style="433" bestFit="1" customWidth="1"/>
    <col min="8485" max="8485" width="10.140625" style="433" customWidth="1"/>
    <col min="8486" max="8486" width="6.42578125" style="433" customWidth="1"/>
    <col min="8487" max="8487" width="7.28515625" style="433" customWidth="1"/>
    <col min="8488" max="8488" width="9.28515625" style="433" customWidth="1"/>
    <col min="8489" max="8489" width="6" style="433" customWidth="1"/>
    <col min="8490" max="8490" width="12" style="433" customWidth="1"/>
    <col min="8491" max="8491" width="15" style="433" customWidth="1"/>
    <col min="8492" max="8492" width="13.85546875" style="433" customWidth="1"/>
    <col min="8493" max="8704" width="11.42578125" style="433"/>
    <col min="8705" max="8705" width="5" style="433" bestFit="1" customWidth="1"/>
    <col min="8706" max="8706" width="7.7109375" style="433" bestFit="1" customWidth="1"/>
    <col min="8707" max="8707" width="16.140625" style="433" bestFit="1" customWidth="1"/>
    <col min="8708" max="8708" width="22.42578125" style="433" customWidth="1"/>
    <col min="8709" max="8709" width="9" style="433" customWidth="1"/>
    <col min="8710" max="8710" width="10.28515625" style="433" customWidth="1"/>
    <col min="8711" max="8711" width="18.140625" style="433" customWidth="1"/>
    <col min="8712" max="8712" width="15.5703125" style="433" customWidth="1"/>
    <col min="8713" max="8713" width="12.42578125" style="433" customWidth="1"/>
    <col min="8714" max="8714" width="13.140625" style="433" customWidth="1"/>
    <col min="8715" max="8715" width="11.5703125" style="433" customWidth="1"/>
    <col min="8716" max="8716" width="2.140625" style="433" customWidth="1"/>
    <col min="8717" max="8717" width="2.140625" style="433" bestFit="1" customWidth="1"/>
    <col min="8718" max="8718" width="3" style="433" bestFit="1" customWidth="1"/>
    <col min="8719" max="8719" width="7.28515625" style="433" bestFit="1" customWidth="1"/>
    <col min="8720" max="8720" width="6.140625" style="433" bestFit="1" customWidth="1"/>
    <col min="8721" max="8721" width="7.28515625" style="433" bestFit="1" customWidth="1"/>
    <col min="8722" max="8724" width="3.28515625" style="433" bestFit="1" customWidth="1"/>
    <col min="8725" max="8727" width="7.28515625" style="433" bestFit="1" customWidth="1"/>
    <col min="8728" max="8730" width="3.28515625" style="433" bestFit="1" customWidth="1"/>
    <col min="8731" max="8733" width="7.28515625" style="433" bestFit="1" customWidth="1"/>
    <col min="8734" max="8736" width="3.28515625" style="433" bestFit="1" customWidth="1"/>
    <col min="8737" max="8739" width="7.28515625" style="433" bestFit="1" customWidth="1"/>
    <col min="8740" max="8740" width="9.140625" style="433" bestFit="1" customWidth="1"/>
    <col min="8741" max="8741" width="10.140625" style="433" customWidth="1"/>
    <col min="8742" max="8742" width="6.42578125" style="433" customWidth="1"/>
    <col min="8743" max="8743" width="7.28515625" style="433" customWidth="1"/>
    <col min="8744" max="8744" width="9.28515625" style="433" customWidth="1"/>
    <col min="8745" max="8745" width="6" style="433" customWidth="1"/>
    <col min="8746" max="8746" width="12" style="433" customWidth="1"/>
    <col min="8747" max="8747" width="15" style="433" customWidth="1"/>
    <col min="8748" max="8748" width="13.85546875" style="433" customWidth="1"/>
    <col min="8749" max="8960" width="11.42578125" style="433"/>
    <col min="8961" max="8961" width="5" style="433" bestFit="1" customWidth="1"/>
    <col min="8962" max="8962" width="7.7109375" style="433" bestFit="1" customWidth="1"/>
    <col min="8963" max="8963" width="16.140625" style="433" bestFit="1" customWidth="1"/>
    <col min="8964" max="8964" width="22.42578125" style="433" customWidth="1"/>
    <col min="8965" max="8965" width="9" style="433" customWidth="1"/>
    <col min="8966" max="8966" width="10.28515625" style="433" customWidth="1"/>
    <col min="8967" max="8967" width="18.140625" style="433" customWidth="1"/>
    <col min="8968" max="8968" width="15.5703125" style="433" customWidth="1"/>
    <col min="8969" max="8969" width="12.42578125" style="433" customWidth="1"/>
    <col min="8970" max="8970" width="13.140625" style="433" customWidth="1"/>
    <col min="8971" max="8971" width="11.5703125" style="433" customWidth="1"/>
    <col min="8972" max="8972" width="2.140625" style="433" customWidth="1"/>
    <col min="8973" max="8973" width="2.140625" style="433" bestFit="1" customWidth="1"/>
    <col min="8974" max="8974" width="3" style="433" bestFit="1" customWidth="1"/>
    <col min="8975" max="8975" width="7.28515625" style="433" bestFit="1" customWidth="1"/>
    <col min="8976" max="8976" width="6.140625" style="433" bestFit="1" customWidth="1"/>
    <col min="8977" max="8977" width="7.28515625" style="433" bestFit="1" customWidth="1"/>
    <col min="8978" max="8980" width="3.28515625" style="433" bestFit="1" customWidth="1"/>
    <col min="8981" max="8983" width="7.28515625" style="433" bestFit="1" customWidth="1"/>
    <col min="8984" max="8986" width="3.28515625" style="433" bestFit="1" customWidth="1"/>
    <col min="8987" max="8989" width="7.28515625" style="433" bestFit="1" customWidth="1"/>
    <col min="8990" max="8992" width="3.28515625" style="433" bestFit="1" customWidth="1"/>
    <col min="8993" max="8995" width="7.28515625" style="433" bestFit="1" customWidth="1"/>
    <col min="8996" max="8996" width="9.140625" style="433" bestFit="1" customWidth="1"/>
    <col min="8997" max="8997" width="10.140625" style="433" customWidth="1"/>
    <col min="8998" max="8998" width="6.42578125" style="433" customWidth="1"/>
    <col min="8999" max="8999" width="7.28515625" style="433" customWidth="1"/>
    <col min="9000" max="9000" width="9.28515625" style="433" customWidth="1"/>
    <col min="9001" max="9001" width="6" style="433" customWidth="1"/>
    <col min="9002" max="9002" width="12" style="433" customWidth="1"/>
    <col min="9003" max="9003" width="15" style="433" customWidth="1"/>
    <col min="9004" max="9004" width="13.85546875" style="433" customWidth="1"/>
    <col min="9005" max="9216" width="11.42578125" style="433"/>
    <col min="9217" max="9217" width="5" style="433" bestFit="1" customWidth="1"/>
    <col min="9218" max="9218" width="7.7109375" style="433" bestFit="1" customWidth="1"/>
    <col min="9219" max="9219" width="16.140625" style="433" bestFit="1" customWidth="1"/>
    <col min="9220" max="9220" width="22.42578125" style="433" customWidth="1"/>
    <col min="9221" max="9221" width="9" style="433" customWidth="1"/>
    <col min="9222" max="9222" width="10.28515625" style="433" customWidth="1"/>
    <col min="9223" max="9223" width="18.140625" style="433" customWidth="1"/>
    <col min="9224" max="9224" width="15.5703125" style="433" customWidth="1"/>
    <col min="9225" max="9225" width="12.42578125" style="433" customWidth="1"/>
    <col min="9226" max="9226" width="13.140625" style="433" customWidth="1"/>
    <col min="9227" max="9227" width="11.5703125" style="433" customWidth="1"/>
    <col min="9228" max="9228" width="2.140625" style="433" customWidth="1"/>
    <col min="9229" max="9229" width="2.140625" style="433" bestFit="1" customWidth="1"/>
    <col min="9230" max="9230" width="3" style="433" bestFit="1" customWidth="1"/>
    <col min="9231" max="9231" width="7.28515625" style="433" bestFit="1" customWidth="1"/>
    <col min="9232" max="9232" width="6.140625" style="433" bestFit="1" customWidth="1"/>
    <col min="9233" max="9233" width="7.28515625" style="433" bestFit="1" customWidth="1"/>
    <col min="9234" max="9236" width="3.28515625" style="433" bestFit="1" customWidth="1"/>
    <col min="9237" max="9239" width="7.28515625" style="433" bestFit="1" customWidth="1"/>
    <col min="9240" max="9242" width="3.28515625" style="433" bestFit="1" customWidth="1"/>
    <col min="9243" max="9245" width="7.28515625" style="433" bestFit="1" customWidth="1"/>
    <col min="9246" max="9248" width="3.28515625" style="433" bestFit="1" customWidth="1"/>
    <col min="9249" max="9251" width="7.28515625" style="433" bestFit="1" customWidth="1"/>
    <col min="9252" max="9252" width="9.140625" style="433" bestFit="1" customWidth="1"/>
    <col min="9253" max="9253" width="10.140625" style="433" customWidth="1"/>
    <col min="9254" max="9254" width="6.42578125" style="433" customWidth="1"/>
    <col min="9255" max="9255" width="7.28515625" style="433" customWidth="1"/>
    <col min="9256" max="9256" width="9.28515625" style="433" customWidth="1"/>
    <col min="9257" max="9257" width="6" style="433" customWidth="1"/>
    <col min="9258" max="9258" width="12" style="433" customWidth="1"/>
    <col min="9259" max="9259" width="15" style="433" customWidth="1"/>
    <col min="9260" max="9260" width="13.85546875" style="433" customWidth="1"/>
    <col min="9261" max="9472" width="11.42578125" style="433"/>
    <col min="9473" max="9473" width="5" style="433" bestFit="1" customWidth="1"/>
    <col min="9474" max="9474" width="7.7109375" style="433" bestFit="1" customWidth="1"/>
    <col min="9475" max="9475" width="16.140625" style="433" bestFit="1" customWidth="1"/>
    <col min="9476" max="9476" width="22.42578125" style="433" customWidth="1"/>
    <col min="9477" max="9477" width="9" style="433" customWidth="1"/>
    <col min="9478" max="9478" width="10.28515625" style="433" customWidth="1"/>
    <col min="9479" max="9479" width="18.140625" style="433" customWidth="1"/>
    <col min="9480" max="9480" width="15.5703125" style="433" customWidth="1"/>
    <col min="9481" max="9481" width="12.42578125" style="433" customWidth="1"/>
    <col min="9482" max="9482" width="13.140625" style="433" customWidth="1"/>
    <col min="9483" max="9483" width="11.5703125" style="433" customWidth="1"/>
    <col min="9484" max="9484" width="2.140625" style="433" customWidth="1"/>
    <col min="9485" max="9485" width="2.140625" style="433" bestFit="1" customWidth="1"/>
    <col min="9486" max="9486" width="3" style="433" bestFit="1" customWidth="1"/>
    <col min="9487" max="9487" width="7.28515625" style="433" bestFit="1" customWidth="1"/>
    <col min="9488" max="9488" width="6.140625" style="433" bestFit="1" customWidth="1"/>
    <col min="9489" max="9489" width="7.28515625" style="433" bestFit="1" customWidth="1"/>
    <col min="9490" max="9492" width="3.28515625" style="433" bestFit="1" customWidth="1"/>
    <col min="9493" max="9495" width="7.28515625" style="433" bestFit="1" customWidth="1"/>
    <col min="9496" max="9498" width="3.28515625" style="433" bestFit="1" customWidth="1"/>
    <col min="9499" max="9501" width="7.28515625" style="433" bestFit="1" customWidth="1"/>
    <col min="9502" max="9504" width="3.28515625" style="433" bestFit="1" customWidth="1"/>
    <col min="9505" max="9507" width="7.28515625" style="433" bestFit="1" customWidth="1"/>
    <col min="9508" max="9508" width="9.140625" style="433" bestFit="1" customWidth="1"/>
    <col min="9509" max="9509" width="10.140625" style="433" customWidth="1"/>
    <col min="9510" max="9510" width="6.42578125" style="433" customWidth="1"/>
    <col min="9511" max="9511" width="7.28515625" style="433" customWidth="1"/>
    <col min="9512" max="9512" width="9.28515625" style="433" customWidth="1"/>
    <col min="9513" max="9513" width="6" style="433" customWidth="1"/>
    <col min="9514" max="9514" width="12" style="433" customWidth="1"/>
    <col min="9515" max="9515" width="15" style="433" customWidth="1"/>
    <col min="9516" max="9516" width="13.85546875" style="433" customWidth="1"/>
    <col min="9517" max="9728" width="11.42578125" style="433"/>
    <col min="9729" max="9729" width="5" style="433" bestFit="1" customWidth="1"/>
    <col min="9730" max="9730" width="7.7109375" style="433" bestFit="1" customWidth="1"/>
    <col min="9731" max="9731" width="16.140625" style="433" bestFit="1" customWidth="1"/>
    <col min="9732" max="9732" width="22.42578125" style="433" customWidth="1"/>
    <col min="9733" max="9733" width="9" style="433" customWidth="1"/>
    <col min="9734" max="9734" width="10.28515625" style="433" customWidth="1"/>
    <col min="9735" max="9735" width="18.140625" style="433" customWidth="1"/>
    <col min="9736" max="9736" width="15.5703125" style="433" customWidth="1"/>
    <col min="9737" max="9737" width="12.42578125" style="433" customWidth="1"/>
    <col min="9738" max="9738" width="13.140625" style="433" customWidth="1"/>
    <col min="9739" max="9739" width="11.5703125" style="433" customWidth="1"/>
    <col min="9740" max="9740" width="2.140625" style="433" customWidth="1"/>
    <col min="9741" max="9741" width="2.140625" style="433" bestFit="1" customWidth="1"/>
    <col min="9742" max="9742" width="3" style="433" bestFit="1" customWidth="1"/>
    <col min="9743" max="9743" width="7.28515625" style="433" bestFit="1" customWidth="1"/>
    <col min="9744" max="9744" width="6.140625" style="433" bestFit="1" customWidth="1"/>
    <col min="9745" max="9745" width="7.28515625" style="433" bestFit="1" customWidth="1"/>
    <col min="9746" max="9748" width="3.28515625" style="433" bestFit="1" customWidth="1"/>
    <col min="9749" max="9751" width="7.28515625" style="433" bestFit="1" customWidth="1"/>
    <col min="9752" max="9754" width="3.28515625" style="433" bestFit="1" customWidth="1"/>
    <col min="9755" max="9757" width="7.28515625" style="433" bestFit="1" customWidth="1"/>
    <col min="9758" max="9760" width="3.28515625" style="433" bestFit="1" customWidth="1"/>
    <col min="9761" max="9763" width="7.28515625" style="433" bestFit="1" customWidth="1"/>
    <col min="9764" max="9764" width="9.140625" style="433" bestFit="1" customWidth="1"/>
    <col min="9765" max="9765" width="10.140625" style="433" customWidth="1"/>
    <col min="9766" max="9766" width="6.42578125" style="433" customWidth="1"/>
    <col min="9767" max="9767" width="7.28515625" style="433" customWidth="1"/>
    <col min="9768" max="9768" width="9.28515625" style="433" customWidth="1"/>
    <col min="9769" max="9769" width="6" style="433" customWidth="1"/>
    <col min="9770" max="9770" width="12" style="433" customWidth="1"/>
    <col min="9771" max="9771" width="15" style="433" customWidth="1"/>
    <col min="9772" max="9772" width="13.85546875" style="433" customWidth="1"/>
    <col min="9773" max="9984" width="11.42578125" style="433"/>
    <col min="9985" max="9985" width="5" style="433" bestFit="1" customWidth="1"/>
    <col min="9986" max="9986" width="7.7109375" style="433" bestFit="1" customWidth="1"/>
    <col min="9987" max="9987" width="16.140625" style="433" bestFit="1" customWidth="1"/>
    <col min="9988" max="9988" width="22.42578125" style="433" customWidth="1"/>
    <col min="9989" max="9989" width="9" style="433" customWidth="1"/>
    <col min="9990" max="9990" width="10.28515625" style="433" customWidth="1"/>
    <col min="9991" max="9991" width="18.140625" style="433" customWidth="1"/>
    <col min="9992" max="9992" width="15.5703125" style="433" customWidth="1"/>
    <col min="9993" max="9993" width="12.42578125" style="433" customWidth="1"/>
    <col min="9994" max="9994" width="13.140625" style="433" customWidth="1"/>
    <col min="9995" max="9995" width="11.5703125" style="433" customWidth="1"/>
    <col min="9996" max="9996" width="2.140625" style="433" customWidth="1"/>
    <col min="9997" max="9997" width="2.140625" style="433" bestFit="1" customWidth="1"/>
    <col min="9998" max="9998" width="3" style="433" bestFit="1" customWidth="1"/>
    <col min="9999" max="9999" width="7.28515625" style="433" bestFit="1" customWidth="1"/>
    <col min="10000" max="10000" width="6.140625" style="433" bestFit="1" customWidth="1"/>
    <col min="10001" max="10001" width="7.28515625" style="433" bestFit="1" customWidth="1"/>
    <col min="10002" max="10004" width="3.28515625" style="433" bestFit="1" customWidth="1"/>
    <col min="10005" max="10007" width="7.28515625" style="433" bestFit="1" customWidth="1"/>
    <col min="10008" max="10010" width="3.28515625" style="433" bestFit="1" customWidth="1"/>
    <col min="10011" max="10013" width="7.28515625" style="433" bestFit="1" customWidth="1"/>
    <col min="10014" max="10016" width="3.28515625" style="433" bestFit="1" customWidth="1"/>
    <col min="10017" max="10019" width="7.28515625" style="433" bestFit="1" customWidth="1"/>
    <col min="10020" max="10020" width="9.140625" style="433" bestFit="1" customWidth="1"/>
    <col min="10021" max="10021" width="10.140625" style="433" customWidth="1"/>
    <col min="10022" max="10022" width="6.42578125" style="433" customWidth="1"/>
    <col min="10023" max="10023" width="7.28515625" style="433" customWidth="1"/>
    <col min="10024" max="10024" width="9.28515625" style="433" customWidth="1"/>
    <col min="10025" max="10025" width="6" style="433" customWidth="1"/>
    <col min="10026" max="10026" width="12" style="433" customWidth="1"/>
    <col min="10027" max="10027" width="15" style="433" customWidth="1"/>
    <col min="10028" max="10028" width="13.85546875" style="433" customWidth="1"/>
    <col min="10029" max="10240" width="11.42578125" style="433"/>
    <col min="10241" max="10241" width="5" style="433" bestFit="1" customWidth="1"/>
    <col min="10242" max="10242" width="7.7109375" style="433" bestFit="1" customWidth="1"/>
    <col min="10243" max="10243" width="16.140625" style="433" bestFit="1" customWidth="1"/>
    <col min="10244" max="10244" width="22.42578125" style="433" customWidth="1"/>
    <col min="10245" max="10245" width="9" style="433" customWidth="1"/>
    <col min="10246" max="10246" width="10.28515625" style="433" customWidth="1"/>
    <col min="10247" max="10247" width="18.140625" style="433" customWidth="1"/>
    <col min="10248" max="10248" width="15.5703125" style="433" customWidth="1"/>
    <col min="10249" max="10249" width="12.42578125" style="433" customWidth="1"/>
    <col min="10250" max="10250" width="13.140625" style="433" customWidth="1"/>
    <col min="10251" max="10251" width="11.5703125" style="433" customWidth="1"/>
    <col min="10252" max="10252" width="2.140625" style="433" customWidth="1"/>
    <col min="10253" max="10253" width="2.140625" style="433" bestFit="1" customWidth="1"/>
    <col min="10254" max="10254" width="3" style="433" bestFit="1" customWidth="1"/>
    <col min="10255" max="10255" width="7.28515625" style="433" bestFit="1" customWidth="1"/>
    <col min="10256" max="10256" width="6.140625" style="433" bestFit="1" customWidth="1"/>
    <col min="10257" max="10257" width="7.28515625" style="433" bestFit="1" customWidth="1"/>
    <col min="10258" max="10260" width="3.28515625" style="433" bestFit="1" customWidth="1"/>
    <col min="10261" max="10263" width="7.28515625" style="433" bestFit="1" customWidth="1"/>
    <col min="10264" max="10266" width="3.28515625" style="433" bestFit="1" customWidth="1"/>
    <col min="10267" max="10269" width="7.28515625" style="433" bestFit="1" customWidth="1"/>
    <col min="10270" max="10272" width="3.28515625" style="433" bestFit="1" customWidth="1"/>
    <col min="10273" max="10275" width="7.28515625" style="433" bestFit="1" customWidth="1"/>
    <col min="10276" max="10276" width="9.140625" style="433" bestFit="1" customWidth="1"/>
    <col min="10277" max="10277" width="10.140625" style="433" customWidth="1"/>
    <col min="10278" max="10278" width="6.42578125" style="433" customWidth="1"/>
    <col min="10279" max="10279" width="7.28515625" style="433" customWidth="1"/>
    <col min="10280" max="10280" width="9.28515625" style="433" customWidth="1"/>
    <col min="10281" max="10281" width="6" style="433" customWidth="1"/>
    <col min="10282" max="10282" width="12" style="433" customWidth="1"/>
    <col min="10283" max="10283" width="15" style="433" customWidth="1"/>
    <col min="10284" max="10284" width="13.85546875" style="433" customWidth="1"/>
    <col min="10285" max="10496" width="11.42578125" style="433"/>
    <col min="10497" max="10497" width="5" style="433" bestFit="1" customWidth="1"/>
    <col min="10498" max="10498" width="7.7109375" style="433" bestFit="1" customWidth="1"/>
    <col min="10499" max="10499" width="16.140625" style="433" bestFit="1" customWidth="1"/>
    <col min="10500" max="10500" width="22.42578125" style="433" customWidth="1"/>
    <col min="10501" max="10501" width="9" style="433" customWidth="1"/>
    <col min="10502" max="10502" width="10.28515625" style="433" customWidth="1"/>
    <col min="10503" max="10503" width="18.140625" style="433" customWidth="1"/>
    <col min="10504" max="10504" width="15.5703125" style="433" customWidth="1"/>
    <col min="10505" max="10505" width="12.42578125" style="433" customWidth="1"/>
    <col min="10506" max="10506" width="13.140625" style="433" customWidth="1"/>
    <col min="10507" max="10507" width="11.5703125" style="433" customWidth="1"/>
    <col min="10508" max="10508" width="2.140625" style="433" customWidth="1"/>
    <col min="10509" max="10509" width="2.140625" style="433" bestFit="1" customWidth="1"/>
    <col min="10510" max="10510" width="3" style="433" bestFit="1" customWidth="1"/>
    <col min="10511" max="10511" width="7.28515625" style="433" bestFit="1" customWidth="1"/>
    <col min="10512" max="10512" width="6.140625" style="433" bestFit="1" customWidth="1"/>
    <col min="10513" max="10513" width="7.28515625" style="433" bestFit="1" customWidth="1"/>
    <col min="10514" max="10516" width="3.28515625" style="433" bestFit="1" customWidth="1"/>
    <col min="10517" max="10519" width="7.28515625" style="433" bestFit="1" customWidth="1"/>
    <col min="10520" max="10522" width="3.28515625" style="433" bestFit="1" customWidth="1"/>
    <col min="10523" max="10525" width="7.28515625" style="433" bestFit="1" customWidth="1"/>
    <col min="10526" max="10528" width="3.28515625" style="433" bestFit="1" customWidth="1"/>
    <col min="10529" max="10531" width="7.28515625" style="433" bestFit="1" customWidth="1"/>
    <col min="10532" max="10532" width="9.140625" style="433" bestFit="1" customWidth="1"/>
    <col min="10533" max="10533" width="10.140625" style="433" customWidth="1"/>
    <col min="10534" max="10534" width="6.42578125" style="433" customWidth="1"/>
    <col min="10535" max="10535" width="7.28515625" style="433" customWidth="1"/>
    <col min="10536" max="10536" width="9.28515625" style="433" customWidth="1"/>
    <col min="10537" max="10537" width="6" style="433" customWidth="1"/>
    <col min="10538" max="10538" width="12" style="433" customWidth="1"/>
    <col min="10539" max="10539" width="15" style="433" customWidth="1"/>
    <col min="10540" max="10540" width="13.85546875" style="433" customWidth="1"/>
    <col min="10541" max="10752" width="11.42578125" style="433"/>
    <col min="10753" max="10753" width="5" style="433" bestFit="1" customWidth="1"/>
    <col min="10754" max="10754" width="7.7109375" style="433" bestFit="1" customWidth="1"/>
    <col min="10755" max="10755" width="16.140625" style="433" bestFit="1" customWidth="1"/>
    <col min="10756" max="10756" width="22.42578125" style="433" customWidth="1"/>
    <col min="10757" max="10757" width="9" style="433" customWidth="1"/>
    <col min="10758" max="10758" width="10.28515625" style="433" customWidth="1"/>
    <col min="10759" max="10759" width="18.140625" style="433" customWidth="1"/>
    <col min="10760" max="10760" width="15.5703125" style="433" customWidth="1"/>
    <col min="10761" max="10761" width="12.42578125" style="433" customWidth="1"/>
    <col min="10762" max="10762" width="13.140625" style="433" customWidth="1"/>
    <col min="10763" max="10763" width="11.5703125" style="433" customWidth="1"/>
    <col min="10764" max="10764" width="2.140625" style="433" customWidth="1"/>
    <col min="10765" max="10765" width="2.140625" style="433" bestFit="1" customWidth="1"/>
    <col min="10766" max="10766" width="3" style="433" bestFit="1" customWidth="1"/>
    <col min="10767" max="10767" width="7.28515625" style="433" bestFit="1" customWidth="1"/>
    <col min="10768" max="10768" width="6.140625" style="433" bestFit="1" customWidth="1"/>
    <col min="10769" max="10769" width="7.28515625" style="433" bestFit="1" customWidth="1"/>
    <col min="10770" max="10772" width="3.28515625" style="433" bestFit="1" customWidth="1"/>
    <col min="10773" max="10775" width="7.28515625" style="433" bestFit="1" customWidth="1"/>
    <col min="10776" max="10778" width="3.28515625" style="433" bestFit="1" customWidth="1"/>
    <col min="10779" max="10781" width="7.28515625" style="433" bestFit="1" customWidth="1"/>
    <col min="10782" max="10784" width="3.28515625" style="433" bestFit="1" customWidth="1"/>
    <col min="10785" max="10787" width="7.28515625" style="433" bestFit="1" customWidth="1"/>
    <col min="10788" max="10788" width="9.140625" style="433" bestFit="1" customWidth="1"/>
    <col min="10789" max="10789" width="10.140625" style="433" customWidth="1"/>
    <col min="10790" max="10790" width="6.42578125" style="433" customWidth="1"/>
    <col min="10791" max="10791" width="7.28515625" style="433" customWidth="1"/>
    <col min="10792" max="10792" width="9.28515625" style="433" customWidth="1"/>
    <col min="10793" max="10793" width="6" style="433" customWidth="1"/>
    <col min="10794" max="10794" width="12" style="433" customWidth="1"/>
    <col min="10795" max="10795" width="15" style="433" customWidth="1"/>
    <col min="10796" max="10796" width="13.85546875" style="433" customWidth="1"/>
    <col min="10797" max="11008" width="11.42578125" style="433"/>
    <col min="11009" max="11009" width="5" style="433" bestFit="1" customWidth="1"/>
    <col min="11010" max="11010" width="7.7109375" style="433" bestFit="1" customWidth="1"/>
    <col min="11011" max="11011" width="16.140625" style="433" bestFit="1" customWidth="1"/>
    <col min="11012" max="11012" width="22.42578125" style="433" customWidth="1"/>
    <col min="11013" max="11013" width="9" style="433" customWidth="1"/>
    <col min="11014" max="11014" width="10.28515625" style="433" customWidth="1"/>
    <col min="11015" max="11015" width="18.140625" style="433" customWidth="1"/>
    <col min="11016" max="11016" width="15.5703125" style="433" customWidth="1"/>
    <col min="11017" max="11017" width="12.42578125" style="433" customWidth="1"/>
    <col min="11018" max="11018" width="13.140625" style="433" customWidth="1"/>
    <col min="11019" max="11019" width="11.5703125" style="433" customWidth="1"/>
    <col min="11020" max="11020" width="2.140625" style="433" customWidth="1"/>
    <col min="11021" max="11021" width="2.140625" style="433" bestFit="1" customWidth="1"/>
    <col min="11022" max="11022" width="3" style="433" bestFit="1" customWidth="1"/>
    <col min="11023" max="11023" width="7.28515625" style="433" bestFit="1" customWidth="1"/>
    <col min="11024" max="11024" width="6.140625" style="433" bestFit="1" customWidth="1"/>
    <col min="11025" max="11025" width="7.28515625" style="433" bestFit="1" customWidth="1"/>
    <col min="11026" max="11028" width="3.28515625" style="433" bestFit="1" customWidth="1"/>
    <col min="11029" max="11031" width="7.28515625" style="433" bestFit="1" customWidth="1"/>
    <col min="11032" max="11034" width="3.28515625" style="433" bestFit="1" customWidth="1"/>
    <col min="11035" max="11037" width="7.28515625" style="433" bestFit="1" customWidth="1"/>
    <col min="11038" max="11040" width="3.28515625" style="433" bestFit="1" customWidth="1"/>
    <col min="11041" max="11043" width="7.28515625" style="433" bestFit="1" customWidth="1"/>
    <col min="11044" max="11044" width="9.140625" style="433" bestFit="1" customWidth="1"/>
    <col min="11045" max="11045" width="10.140625" style="433" customWidth="1"/>
    <col min="11046" max="11046" width="6.42578125" style="433" customWidth="1"/>
    <col min="11047" max="11047" width="7.28515625" style="433" customWidth="1"/>
    <col min="11048" max="11048" width="9.28515625" style="433" customWidth="1"/>
    <col min="11049" max="11049" width="6" style="433" customWidth="1"/>
    <col min="11050" max="11050" width="12" style="433" customWidth="1"/>
    <col min="11051" max="11051" width="15" style="433" customWidth="1"/>
    <col min="11052" max="11052" width="13.85546875" style="433" customWidth="1"/>
    <col min="11053" max="11264" width="11.42578125" style="433"/>
    <col min="11265" max="11265" width="5" style="433" bestFit="1" customWidth="1"/>
    <col min="11266" max="11266" width="7.7109375" style="433" bestFit="1" customWidth="1"/>
    <col min="11267" max="11267" width="16.140625" style="433" bestFit="1" customWidth="1"/>
    <col min="11268" max="11268" width="22.42578125" style="433" customWidth="1"/>
    <col min="11269" max="11269" width="9" style="433" customWidth="1"/>
    <col min="11270" max="11270" width="10.28515625" style="433" customWidth="1"/>
    <col min="11271" max="11271" width="18.140625" style="433" customWidth="1"/>
    <col min="11272" max="11272" width="15.5703125" style="433" customWidth="1"/>
    <col min="11273" max="11273" width="12.42578125" style="433" customWidth="1"/>
    <col min="11274" max="11274" width="13.140625" style="433" customWidth="1"/>
    <col min="11275" max="11275" width="11.5703125" style="433" customWidth="1"/>
    <col min="11276" max="11276" width="2.140625" style="433" customWidth="1"/>
    <col min="11277" max="11277" width="2.140625" style="433" bestFit="1" customWidth="1"/>
    <col min="11278" max="11278" width="3" style="433" bestFit="1" customWidth="1"/>
    <col min="11279" max="11279" width="7.28515625" style="433" bestFit="1" customWidth="1"/>
    <col min="11280" max="11280" width="6.140625" style="433" bestFit="1" customWidth="1"/>
    <col min="11281" max="11281" width="7.28515625" style="433" bestFit="1" customWidth="1"/>
    <col min="11282" max="11284" width="3.28515625" style="433" bestFit="1" customWidth="1"/>
    <col min="11285" max="11287" width="7.28515625" style="433" bestFit="1" customWidth="1"/>
    <col min="11288" max="11290" width="3.28515625" style="433" bestFit="1" customWidth="1"/>
    <col min="11291" max="11293" width="7.28515625" style="433" bestFit="1" customWidth="1"/>
    <col min="11294" max="11296" width="3.28515625" style="433" bestFit="1" customWidth="1"/>
    <col min="11297" max="11299" width="7.28515625" style="433" bestFit="1" customWidth="1"/>
    <col min="11300" max="11300" width="9.140625" style="433" bestFit="1" customWidth="1"/>
    <col min="11301" max="11301" width="10.140625" style="433" customWidth="1"/>
    <col min="11302" max="11302" width="6.42578125" style="433" customWidth="1"/>
    <col min="11303" max="11303" width="7.28515625" style="433" customWidth="1"/>
    <col min="11304" max="11304" width="9.28515625" style="433" customWidth="1"/>
    <col min="11305" max="11305" width="6" style="433" customWidth="1"/>
    <col min="11306" max="11306" width="12" style="433" customWidth="1"/>
    <col min="11307" max="11307" width="15" style="433" customWidth="1"/>
    <col min="11308" max="11308" width="13.85546875" style="433" customWidth="1"/>
    <col min="11309" max="11520" width="11.42578125" style="433"/>
    <col min="11521" max="11521" width="5" style="433" bestFit="1" customWidth="1"/>
    <col min="11522" max="11522" width="7.7109375" style="433" bestFit="1" customWidth="1"/>
    <col min="11523" max="11523" width="16.140625" style="433" bestFit="1" customWidth="1"/>
    <col min="11524" max="11524" width="22.42578125" style="433" customWidth="1"/>
    <col min="11525" max="11525" width="9" style="433" customWidth="1"/>
    <col min="11526" max="11526" width="10.28515625" style="433" customWidth="1"/>
    <col min="11527" max="11527" width="18.140625" style="433" customWidth="1"/>
    <col min="11528" max="11528" width="15.5703125" style="433" customWidth="1"/>
    <col min="11529" max="11529" width="12.42578125" style="433" customWidth="1"/>
    <col min="11530" max="11530" width="13.140625" style="433" customWidth="1"/>
    <col min="11531" max="11531" width="11.5703125" style="433" customWidth="1"/>
    <col min="11532" max="11532" width="2.140625" style="433" customWidth="1"/>
    <col min="11533" max="11533" width="2.140625" style="433" bestFit="1" customWidth="1"/>
    <col min="11534" max="11534" width="3" style="433" bestFit="1" customWidth="1"/>
    <col min="11535" max="11535" width="7.28515625" style="433" bestFit="1" customWidth="1"/>
    <col min="11536" max="11536" width="6.140625" style="433" bestFit="1" customWidth="1"/>
    <col min="11537" max="11537" width="7.28515625" style="433" bestFit="1" customWidth="1"/>
    <col min="11538" max="11540" width="3.28515625" style="433" bestFit="1" customWidth="1"/>
    <col min="11541" max="11543" width="7.28515625" style="433" bestFit="1" customWidth="1"/>
    <col min="11544" max="11546" width="3.28515625" style="433" bestFit="1" customWidth="1"/>
    <col min="11547" max="11549" width="7.28515625" style="433" bestFit="1" customWidth="1"/>
    <col min="11550" max="11552" width="3.28515625" style="433" bestFit="1" customWidth="1"/>
    <col min="11553" max="11555" width="7.28515625" style="433" bestFit="1" customWidth="1"/>
    <col min="11556" max="11556" width="9.140625" style="433" bestFit="1" customWidth="1"/>
    <col min="11557" max="11557" width="10.140625" style="433" customWidth="1"/>
    <col min="11558" max="11558" width="6.42578125" style="433" customWidth="1"/>
    <col min="11559" max="11559" width="7.28515625" style="433" customWidth="1"/>
    <col min="11560" max="11560" width="9.28515625" style="433" customWidth="1"/>
    <col min="11561" max="11561" width="6" style="433" customWidth="1"/>
    <col min="11562" max="11562" width="12" style="433" customWidth="1"/>
    <col min="11563" max="11563" width="15" style="433" customWidth="1"/>
    <col min="11564" max="11564" width="13.85546875" style="433" customWidth="1"/>
    <col min="11565" max="11776" width="11.42578125" style="433"/>
    <col min="11777" max="11777" width="5" style="433" bestFit="1" customWidth="1"/>
    <col min="11778" max="11778" width="7.7109375" style="433" bestFit="1" customWidth="1"/>
    <col min="11779" max="11779" width="16.140625" style="433" bestFit="1" customWidth="1"/>
    <col min="11780" max="11780" width="22.42578125" style="433" customWidth="1"/>
    <col min="11781" max="11781" width="9" style="433" customWidth="1"/>
    <col min="11782" max="11782" width="10.28515625" style="433" customWidth="1"/>
    <col min="11783" max="11783" width="18.140625" style="433" customWidth="1"/>
    <col min="11784" max="11784" width="15.5703125" style="433" customWidth="1"/>
    <col min="11785" max="11785" width="12.42578125" style="433" customWidth="1"/>
    <col min="11786" max="11786" width="13.140625" style="433" customWidth="1"/>
    <col min="11787" max="11787" width="11.5703125" style="433" customWidth="1"/>
    <col min="11788" max="11788" width="2.140625" style="433" customWidth="1"/>
    <col min="11789" max="11789" width="2.140625" style="433" bestFit="1" customWidth="1"/>
    <col min="11790" max="11790" width="3" style="433" bestFit="1" customWidth="1"/>
    <col min="11791" max="11791" width="7.28515625" style="433" bestFit="1" customWidth="1"/>
    <col min="11792" max="11792" width="6.140625" style="433" bestFit="1" customWidth="1"/>
    <col min="11793" max="11793" width="7.28515625" style="433" bestFit="1" customWidth="1"/>
    <col min="11794" max="11796" width="3.28515625" style="433" bestFit="1" customWidth="1"/>
    <col min="11797" max="11799" width="7.28515625" style="433" bestFit="1" customWidth="1"/>
    <col min="11800" max="11802" width="3.28515625" style="433" bestFit="1" customWidth="1"/>
    <col min="11803" max="11805" width="7.28515625" style="433" bestFit="1" customWidth="1"/>
    <col min="11806" max="11808" width="3.28515625" style="433" bestFit="1" customWidth="1"/>
    <col min="11809" max="11811" width="7.28515625" style="433" bestFit="1" customWidth="1"/>
    <col min="11812" max="11812" width="9.140625" style="433" bestFit="1" customWidth="1"/>
    <col min="11813" max="11813" width="10.140625" style="433" customWidth="1"/>
    <col min="11814" max="11814" width="6.42578125" style="433" customWidth="1"/>
    <col min="11815" max="11815" width="7.28515625" style="433" customWidth="1"/>
    <col min="11816" max="11816" width="9.28515625" style="433" customWidth="1"/>
    <col min="11817" max="11817" width="6" style="433" customWidth="1"/>
    <col min="11818" max="11818" width="12" style="433" customWidth="1"/>
    <col min="11819" max="11819" width="15" style="433" customWidth="1"/>
    <col min="11820" max="11820" width="13.85546875" style="433" customWidth="1"/>
    <col min="11821" max="12032" width="11.42578125" style="433"/>
    <col min="12033" max="12033" width="5" style="433" bestFit="1" customWidth="1"/>
    <col min="12034" max="12034" width="7.7109375" style="433" bestFit="1" customWidth="1"/>
    <col min="12035" max="12035" width="16.140625" style="433" bestFit="1" customWidth="1"/>
    <col min="12036" max="12036" width="22.42578125" style="433" customWidth="1"/>
    <col min="12037" max="12037" width="9" style="433" customWidth="1"/>
    <col min="12038" max="12038" width="10.28515625" style="433" customWidth="1"/>
    <col min="12039" max="12039" width="18.140625" style="433" customWidth="1"/>
    <col min="12040" max="12040" width="15.5703125" style="433" customWidth="1"/>
    <col min="12041" max="12041" width="12.42578125" style="433" customWidth="1"/>
    <col min="12042" max="12042" width="13.140625" style="433" customWidth="1"/>
    <col min="12043" max="12043" width="11.5703125" style="433" customWidth="1"/>
    <col min="12044" max="12044" width="2.140625" style="433" customWidth="1"/>
    <col min="12045" max="12045" width="2.140625" style="433" bestFit="1" customWidth="1"/>
    <col min="12046" max="12046" width="3" style="433" bestFit="1" customWidth="1"/>
    <col min="12047" max="12047" width="7.28515625" style="433" bestFit="1" customWidth="1"/>
    <col min="12048" max="12048" width="6.140625" style="433" bestFit="1" customWidth="1"/>
    <col min="12049" max="12049" width="7.28515625" style="433" bestFit="1" customWidth="1"/>
    <col min="12050" max="12052" width="3.28515625" style="433" bestFit="1" customWidth="1"/>
    <col min="12053" max="12055" width="7.28515625" style="433" bestFit="1" customWidth="1"/>
    <col min="12056" max="12058" width="3.28515625" style="433" bestFit="1" customWidth="1"/>
    <col min="12059" max="12061" width="7.28515625" style="433" bestFit="1" customWidth="1"/>
    <col min="12062" max="12064" width="3.28515625" style="433" bestFit="1" customWidth="1"/>
    <col min="12065" max="12067" width="7.28515625" style="433" bestFit="1" customWidth="1"/>
    <col min="12068" max="12068" width="9.140625" style="433" bestFit="1" customWidth="1"/>
    <col min="12069" max="12069" width="10.140625" style="433" customWidth="1"/>
    <col min="12070" max="12070" width="6.42578125" style="433" customWidth="1"/>
    <col min="12071" max="12071" width="7.28515625" style="433" customWidth="1"/>
    <col min="12072" max="12072" width="9.28515625" style="433" customWidth="1"/>
    <col min="12073" max="12073" width="6" style="433" customWidth="1"/>
    <col min="12074" max="12074" width="12" style="433" customWidth="1"/>
    <col min="12075" max="12075" width="15" style="433" customWidth="1"/>
    <col min="12076" max="12076" width="13.85546875" style="433" customWidth="1"/>
    <col min="12077" max="12288" width="11.42578125" style="433"/>
    <col min="12289" max="12289" width="5" style="433" bestFit="1" customWidth="1"/>
    <col min="12290" max="12290" width="7.7109375" style="433" bestFit="1" customWidth="1"/>
    <col min="12291" max="12291" width="16.140625" style="433" bestFit="1" customWidth="1"/>
    <col min="12292" max="12292" width="22.42578125" style="433" customWidth="1"/>
    <col min="12293" max="12293" width="9" style="433" customWidth="1"/>
    <col min="12294" max="12294" width="10.28515625" style="433" customWidth="1"/>
    <col min="12295" max="12295" width="18.140625" style="433" customWidth="1"/>
    <col min="12296" max="12296" width="15.5703125" style="433" customWidth="1"/>
    <col min="12297" max="12297" width="12.42578125" style="433" customWidth="1"/>
    <col min="12298" max="12298" width="13.140625" style="433" customWidth="1"/>
    <col min="12299" max="12299" width="11.5703125" style="433" customWidth="1"/>
    <col min="12300" max="12300" width="2.140625" style="433" customWidth="1"/>
    <col min="12301" max="12301" width="2.140625" style="433" bestFit="1" customWidth="1"/>
    <col min="12302" max="12302" width="3" style="433" bestFit="1" customWidth="1"/>
    <col min="12303" max="12303" width="7.28515625" style="433" bestFit="1" customWidth="1"/>
    <col min="12304" max="12304" width="6.140625" style="433" bestFit="1" customWidth="1"/>
    <col min="12305" max="12305" width="7.28515625" style="433" bestFit="1" customWidth="1"/>
    <col min="12306" max="12308" width="3.28515625" style="433" bestFit="1" customWidth="1"/>
    <col min="12309" max="12311" width="7.28515625" style="433" bestFit="1" customWidth="1"/>
    <col min="12312" max="12314" width="3.28515625" style="433" bestFit="1" customWidth="1"/>
    <col min="12315" max="12317" width="7.28515625" style="433" bestFit="1" customWidth="1"/>
    <col min="12318" max="12320" width="3.28515625" style="433" bestFit="1" customWidth="1"/>
    <col min="12321" max="12323" width="7.28515625" style="433" bestFit="1" customWidth="1"/>
    <col min="12324" max="12324" width="9.140625" style="433" bestFit="1" customWidth="1"/>
    <col min="12325" max="12325" width="10.140625" style="433" customWidth="1"/>
    <col min="12326" max="12326" width="6.42578125" style="433" customWidth="1"/>
    <col min="12327" max="12327" width="7.28515625" style="433" customWidth="1"/>
    <col min="12328" max="12328" width="9.28515625" style="433" customWidth="1"/>
    <col min="12329" max="12329" width="6" style="433" customWidth="1"/>
    <col min="12330" max="12330" width="12" style="433" customWidth="1"/>
    <col min="12331" max="12331" width="15" style="433" customWidth="1"/>
    <col min="12332" max="12332" width="13.85546875" style="433" customWidth="1"/>
    <col min="12333" max="12544" width="11.42578125" style="433"/>
    <col min="12545" max="12545" width="5" style="433" bestFit="1" customWidth="1"/>
    <col min="12546" max="12546" width="7.7109375" style="433" bestFit="1" customWidth="1"/>
    <col min="12547" max="12547" width="16.140625" style="433" bestFit="1" customWidth="1"/>
    <col min="12548" max="12548" width="22.42578125" style="433" customWidth="1"/>
    <col min="12549" max="12549" width="9" style="433" customWidth="1"/>
    <col min="12550" max="12550" width="10.28515625" style="433" customWidth="1"/>
    <col min="12551" max="12551" width="18.140625" style="433" customWidth="1"/>
    <col min="12552" max="12552" width="15.5703125" style="433" customWidth="1"/>
    <col min="12553" max="12553" width="12.42578125" style="433" customWidth="1"/>
    <col min="12554" max="12554" width="13.140625" style="433" customWidth="1"/>
    <col min="12555" max="12555" width="11.5703125" style="433" customWidth="1"/>
    <col min="12556" max="12556" width="2.140625" style="433" customWidth="1"/>
    <col min="12557" max="12557" width="2.140625" style="433" bestFit="1" customWidth="1"/>
    <col min="12558" max="12558" width="3" style="433" bestFit="1" customWidth="1"/>
    <col min="12559" max="12559" width="7.28515625" style="433" bestFit="1" customWidth="1"/>
    <col min="12560" max="12560" width="6.140625" style="433" bestFit="1" customWidth="1"/>
    <col min="12561" max="12561" width="7.28515625" style="433" bestFit="1" customWidth="1"/>
    <col min="12562" max="12564" width="3.28515625" style="433" bestFit="1" customWidth="1"/>
    <col min="12565" max="12567" width="7.28515625" style="433" bestFit="1" customWidth="1"/>
    <col min="12568" max="12570" width="3.28515625" style="433" bestFit="1" customWidth="1"/>
    <col min="12571" max="12573" width="7.28515625" style="433" bestFit="1" customWidth="1"/>
    <col min="12574" max="12576" width="3.28515625" style="433" bestFit="1" customWidth="1"/>
    <col min="12577" max="12579" width="7.28515625" style="433" bestFit="1" customWidth="1"/>
    <col min="12580" max="12580" width="9.140625" style="433" bestFit="1" customWidth="1"/>
    <col min="12581" max="12581" width="10.140625" style="433" customWidth="1"/>
    <col min="12582" max="12582" width="6.42578125" style="433" customWidth="1"/>
    <col min="12583" max="12583" width="7.28515625" style="433" customWidth="1"/>
    <col min="12584" max="12584" width="9.28515625" style="433" customWidth="1"/>
    <col min="12585" max="12585" width="6" style="433" customWidth="1"/>
    <col min="12586" max="12586" width="12" style="433" customWidth="1"/>
    <col min="12587" max="12587" width="15" style="433" customWidth="1"/>
    <col min="12588" max="12588" width="13.85546875" style="433" customWidth="1"/>
    <col min="12589" max="12800" width="11.42578125" style="433"/>
    <col min="12801" max="12801" width="5" style="433" bestFit="1" customWidth="1"/>
    <col min="12802" max="12802" width="7.7109375" style="433" bestFit="1" customWidth="1"/>
    <col min="12803" max="12803" width="16.140625" style="433" bestFit="1" customWidth="1"/>
    <col min="12804" max="12804" width="22.42578125" style="433" customWidth="1"/>
    <col min="12805" max="12805" width="9" style="433" customWidth="1"/>
    <col min="12806" max="12806" width="10.28515625" style="433" customWidth="1"/>
    <col min="12807" max="12807" width="18.140625" style="433" customWidth="1"/>
    <col min="12808" max="12808" width="15.5703125" style="433" customWidth="1"/>
    <col min="12809" max="12809" width="12.42578125" style="433" customWidth="1"/>
    <col min="12810" max="12810" width="13.140625" style="433" customWidth="1"/>
    <col min="12811" max="12811" width="11.5703125" style="433" customWidth="1"/>
    <col min="12812" max="12812" width="2.140625" style="433" customWidth="1"/>
    <col min="12813" max="12813" width="2.140625" style="433" bestFit="1" customWidth="1"/>
    <col min="12814" max="12814" width="3" style="433" bestFit="1" customWidth="1"/>
    <col min="12815" max="12815" width="7.28515625" style="433" bestFit="1" customWidth="1"/>
    <col min="12816" max="12816" width="6.140625" style="433" bestFit="1" customWidth="1"/>
    <col min="12817" max="12817" width="7.28515625" style="433" bestFit="1" customWidth="1"/>
    <col min="12818" max="12820" width="3.28515625" style="433" bestFit="1" customWidth="1"/>
    <col min="12821" max="12823" width="7.28515625" style="433" bestFit="1" customWidth="1"/>
    <col min="12824" max="12826" width="3.28515625" style="433" bestFit="1" customWidth="1"/>
    <col min="12827" max="12829" width="7.28515625" style="433" bestFit="1" customWidth="1"/>
    <col min="12830" max="12832" width="3.28515625" style="433" bestFit="1" customWidth="1"/>
    <col min="12833" max="12835" width="7.28515625" style="433" bestFit="1" customWidth="1"/>
    <col min="12836" max="12836" width="9.140625" style="433" bestFit="1" customWidth="1"/>
    <col min="12837" max="12837" width="10.140625" style="433" customWidth="1"/>
    <col min="12838" max="12838" width="6.42578125" style="433" customWidth="1"/>
    <col min="12839" max="12839" width="7.28515625" style="433" customWidth="1"/>
    <col min="12840" max="12840" width="9.28515625" style="433" customWidth="1"/>
    <col min="12841" max="12841" width="6" style="433" customWidth="1"/>
    <col min="12842" max="12842" width="12" style="433" customWidth="1"/>
    <col min="12843" max="12843" width="15" style="433" customWidth="1"/>
    <col min="12844" max="12844" width="13.85546875" style="433" customWidth="1"/>
    <col min="12845" max="13056" width="11.42578125" style="433"/>
    <col min="13057" max="13057" width="5" style="433" bestFit="1" customWidth="1"/>
    <col min="13058" max="13058" width="7.7109375" style="433" bestFit="1" customWidth="1"/>
    <col min="13059" max="13059" width="16.140625" style="433" bestFit="1" customWidth="1"/>
    <col min="13060" max="13060" width="22.42578125" style="433" customWidth="1"/>
    <col min="13061" max="13061" width="9" style="433" customWidth="1"/>
    <col min="13062" max="13062" width="10.28515625" style="433" customWidth="1"/>
    <col min="13063" max="13063" width="18.140625" style="433" customWidth="1"/>
    <col min="13064" max="13064" width="15.5703125" style="433" customWidth="1"/>
    <col min="13065" max="13065" width="12.42578125" style="433" customWidth="1"/>
    <col min="13066" max="13066" width="13.140625" style="433" customWidth="1"/>
    <col min="13067" max="13067" width="11.5703125" style="433" customWidth="1"/>
    <col min="13068" max="13068" width="2.140625" style="433" customWidth="1"/>
    <col min="13069" max="13069" width="2.140625" style="433" bestFit="1" customWidth="1"/>
    <col min="13070" max="13070" width="3" style="433" bestFit="1" customWidth="1"/>
    <col min="13071" max="13071" width="7.28515625" style="433" bestFit="1" customWidth="1"/>
    <col min="13072" max="13072" width="6.140625" style="433" bestFit="1" customWidth="1"/>
    <col min="13073" max="13073" width="7.28515625" style="433" bestFit="1" customWidth="1"/>
    <col min="13074" max="13076" width="3.28515625" style="433" bestFit="1" customWidth="1"/>
    <col min="13077" max="13079" width="7.28515625" style="433" bestFit="1" customWidth="1"/>
    <col min="13080" max="13082" width="3.28515625" style="433" bestFit="1" customWidth="1"/>
    <col min="13083" max="13085" width="7.28515625" style="433" bestFit="1" customWidth="1"/>
    <col min="13086" max="13088" width="3.28515625" style="433" bestFit="1" customWidth="1"/>
    <col min="13089" max="13091" width="7.28515625" style="433" bestFit="1" customWidth="1"/>
    <col min="13092" max="13092" width="9.140625" style="433" bestFit="1" customWidth="1"/>
    <col min="13093" max="13093" width="10.140625" style="433" customWidth="1"/>
    <col min="13094" max="13094" width="6.42578125" style="433" customWidth="1"/>
    <col min="13095" max="13095" width="7.28515625" style="433" customWidth="1"/>
    <col min="13096" max="13096" width="9.28515625" style="433" customWidth="1"/>
    <col min="13097" max="13097" width="6" style="433" customWidth="1"/>
    <col min="13098" max="13098" width="12" style="433" customWidth="1"/>
    <col min="13099" max="13099" width="15" style="433" customWidth="1"/>
    <col min="13100" max="13100" width="13.85546875" style="433" customWidth="1"/>
    <col min="13101" max="13312" width="11.42578125" style="433"/>
    <col min="13313" max="13313" width="5" style="433" bestFit="1" customWidth="1"/>
    <col min="13314" max="13314" width="7.7109375" style="433" bestFit="1" customWidth="1"/>
    <col min="13315" max="13315" width="16.140625" style="433" bestFit="1" customWidth="1"/>
    <col min="13316" max="13316" width="22.42578125" style="433" customWidth="1"/>
    <col min="13317" max="13317" width="9" style="433" customWidth="1"/>
    <col min="13318" max="13318" width="10.28515625" style="433" customWidth="1"/>
    <col min="13319" max="13319" width="18.140625" style="433" customWidth="1"/>
    <col min="13320" max="13320" width="15.5703125" style="433" customWidth="1"/>
    <col min="13321" max="13321" width="12.42578125" style="433" customWidth="1"/>
    <col min="13322" max="13322" width="13.140625" style="433" customWidth="1"/>
    <col min="13323" max="13323" width="11.5703125" style="433" customWidth="1"/>
    <col min="13324" max="13324" width="2.140625" style="433" customWidth="1"/>
    <col min="13325" max="13325" width="2.140625" style="433" bestFit="1" customWidth="1"/>
    <col min="13326" max="13326" width="3" style="433" bestFit="1" customWidth="1"/>
    <col min="13327" max="13327" width="7.28515625" style="433" bestFit="1" customWidth="1"/>
    <col min="13328" max="13328" width="6.140625" style="433" bestFit="1" customWidth="1"/>
    <col min="13329" max="13329" width="7.28515625" style="433" bestFit="1" customWidth="1"/>
    <col min="13330" max="13332" width="3.28515625" style="433" bestFit="1" customWidth="1"/>
    <col min="13333" max="13335" width="7.28515625" style="433" bestFit="1" customWidth="1"/>
    <col min="13336" max="13338" width="3.28515625" style="433" bestFit="1" customWidth="1"/>
    <col min="13339" max="13341" width="7.28515625" style="433" bestFit="1" customWidth="1"/>
    <col min="13342" max="13344" width="3.28515625" style="433" bestFit="1" customWidth="1"/>
    <col min="13345" max="13347" width="7.28515625" style="433" bestFit="1" customWidth="1"/>
    <col min="13348" max="13348" width="9.140625" style="433" bestFit="1" customWidth="1"/>
    <col min="13349" max="13349" width="10.140625" style="433" customWidth="1"/>
    <col min="13350" max="13350" width="6.42578125" style="433" customWidth="1"/>
    <col min="13351" max="13351" width="7.28515625" style="433" customWidth="1"/>
    <col min="13352" max="13352" width="9.28515625" style="433" customWidth="1"/>
    <col min="13353" max="13353" width="6" style="433" customWidth="1"/>
    <col min="13354" max="13354" width="12" style="433" customWidth="1"/>
    <col min="13355" max="13355" width="15" style="433" customWidth="1"/>
    <col min="13356" max="13356" width="13.85546875" style="433" customWidth="1"/>
    <col min="13357" max="13568" width="11.42578125" style="433"/>
    <col min="13569" max="13569" width="5" style="433" bestFit="1" customWidth="1"/>
    <col min="13570" max="13570" width="7.7109375" style="433" bestFit="1" customWidth="1"/>
    <col min="13571" max="13571" width="16.140625" style="433" bestFit="1" customWidth="1"/>
    <col min="13572" max="13572" width="22.42578125" style="433" customWidth="1"/>
    <col min="13573" max="13573" width="9" style="433" customWidth="1"/>
    <col min="13574" max="13574" width="10.28515625" style="433" customWidth="1"/>
    <col min="13575" max="13575" width="18.140625" style="433" customWidth="1"/>
    <col min="13576" max="13576" width="15.5703125" style="433" customWidth="1"/>
    <col min="13577" max="13577" width="12.42578125" style="433" customWidth="1"/>
    <col min="13578" max="13578" width="13.140625" style="433" customWidth="1"/>
    <col min="13579" max="13579" width="11.5703125" style="433" customWidth="1"/>
    <col min="13580" max="13580" width="2.140625" style="433" customWidth="1"/>
    <col min="13581" max="13581" width="2.140625" style="433" bestFit="1" customWidth="1"/>
    <col min="13582" max="13582" width="3" style="433" bestFit="1" customWidth="1"/>
    <col min="13583" max="13583" width="7.28515625" style="433" bestFit="1" customWidth="1"/>
    <col min="13584" max="13584" width="6.140625" style="433" bestFit="1" customWidth="1"/>
    <col min="13585" max="13585" width="7.28515625" style="433" bestFit="1" customWidth="1"/>
    <col min="13586" max="13588" width="3.28515625" style="433" bestFit="1" customWidth="1"/>
    <col min="13589" max="13591" width="7.28515625" style="433" bestFit="1" customWidth="1"/>
    <col min="13592" max="13594" width="3.28515625" style="433" bestFit="1" customWidth="1"/>
    <col min="13595" max="13597" width="7.28515625" style="433" bestFit="1" customWidth="1"/>
    <col min="13598" max="13600" width="3.28515625" style="433" bestFit="1" customWidth="1"/>
    <col min="13601" max="13603" width="7.28515625" style="433" bestFit="1" customWidth="1"/>
    <col min="13604" max="13604" width="9.140625" style="433" bestFit="1" customWidth="1"/>
    <col min="13605" max="13605" width="10.140625" style="433" customWidth="1"/>
    <col min="13606" max="13606" width="6.42578125" style="433" customWidth="1"/>
    <col min="13607" max="13607" width="7.28515625" style="433" customWidth="1"/>
    <col min="13608" max="13608" width="9.28515625" style="433" customWidth="1"/>
    <col min="13609" max="13609" width="6" style="433" customWidth="1"/>
    <col min="13610" max="13610" width="12" style="433" customWidth="1"/>
    <col min="13611" max="13611" width="15" style="433" customWidth="1"/>
    <col min="13612" max="13612" width="13.85546875" style="433" customWidth="1"/>
    <col min="13613" max="13824" width="11.42578125" style="433"/>
    <col min="13825" max="13825" width="5" style="433" bestFit="1" customWidth="1"/>
    <col min="13826" max="13826" width="7.7109375" style="433" bestFit="1" customWidth="1"/>
    <col min="13827" max="13827" width="16.140625" style="433" bestFit="1" customWidth="1"/>
    <col min="13828" max="13828" width="22.42578125" style="433" customWidth="1"/>
    <col min="13829" max="13829" width="9" style="433" customWidth="1"/>
    <col min="13830" max="13830" width="10.28515625" style="433" customWidth="1"/>
    <col min="13831" max="13831" width="18.140625" style="433" customWidth="1"/>
    <col min="13832" max="13832" width="15.5703125" style="433" customWidth="1"/>
    <col min="13833" max="13833" width="12.42578125" style="433" customWidth="1"/>
    <col min="13834" max="13834" width="13.140625" style="433" customWidth="1"/>
    <col min="13835" max="13835" width="11.5703125" style="433" customWidth="1"/>
    <col min="13836" max="13836" width="2.140625" style="433" customWidth="1"/>
    <col min="13837" max="13837" width="2.140625" style="433" bestFit="1" customWidth="1"/>
    <col min="13838" max="13838" width="3" style="433" bestFit="1" customWidth="1"/>
    <col min="13839" max="13839" width="7.28515625" style="433" bestFit="1" customWidth="1"/>
    <col min="13840" max="13840" width="6.140625" style="433" bestFit="1" customWidth="1"/>
    <col min="13841" max="13841" width="7.28515625" style="433" bestFit="1" customWidth="1"/>
    <col min="13842" max="13844" width="3.28515625" style="433" bestFit="1" customWidth="1"/>
    <col min="13845" max="13847" width="7.28515625" style="433" bestFit="1" customWidth="1"/>
    <col min="13848" max="13850" width="3.28515625" style="433" bestFit="1" customWidth="1"/>
    <col min="13851" max="13853" width="7.28515625" style="433" bestFit="1" customWidth="1"/>
    <col min="13854" max="13856" width="3.28515625" style="433" bestFit="1" customWidth="1"/>
    <col min="13857" max="13859" width="7.28515625" style="433" bestFit="1" customWidth="1"/>
    <col min="13860" max="13860" width="9.140625" style="433" bestFit="1" customWidth="1"/>
    <col min="13861" max="13861" width="10.140625" style="433" customWidth="1"/>
    <col min="13862" max="13862" width="6.42578125" style="433" customWidth="1"/>
    <col min="13863" max="13863" width="7.28515625" style="433" customWidth="1"/>
    <col min="13864" max="13864" width="9.28515625" style="433" customWidth="1"/>
    <col min="13865" max="13865" width="6" style="433" customWidth="1"/>
    <col min="13866" max="13866" width="12" style="433" customWidth="1"/>
    <col min="13867" max="13867" width="15" style="433" customWidth="1"/>
    <col min="13868" max="13868" width="13.85546875" style="433" customWidth="1"/>
    <col min="13869" max="14080" width="11.42578125" style="433"/>
    <col min="14081" max="14081" width="5" style="433" bestFit="1" customWidth="1"/>
    <col min="14082" max="14082" width="7.7109375" style="433" bestFit="1" customWidth="1"/>
    <col min="14083" max="14083" width="16.140625" style="433" bestFit="1" customWidth="1"/>
    <col min="14084" max="14084" width="22.42578125" style="433" customWidth="1"/>
    <col min="14085" max="14085" width="9" style="433" customWidth="1"/>
    <col min="14086" max="14086" width="10.28515625" style="433" customWidth="1"/>
    <col min="14087" max="14087" width="18.140625" style="433" customWidth="1"/>
    <col min="14088" max="14088" width="15.5703125" style="433" customWidth="1"/>
    <col min="14089" max="14089" width="12.42578125" style="433" customWidth="1"/>
    <col min="14090" max="14090" width="13.140625" style="433" customWidth="1"/>
    <col min="14091" max="14091" width="11.5703125" style="433" customWidth="1"/>
    <col min="14092" max="14092" width="2.140625" style="433" customWidth="1"/>
    <col min="14093" max="14093" width="2.140625" style="433" bestFit="1" customWidth="1"/>
    <col min="14094" max="14094" width="3" style="433" bestFit="1" customWidth="1"/>
    <col min="14095" max="14095" width="7.28515625" style="433" bestFit="1" customWidth="1"/>
    <col min="14096" max="14096" width="6.140625" style="433" bestFit="1" customWidth="1"/>
    <col min="14097" max="14097" width="7.28515625" style="433" bestFit="1" customWidth="1"/>
    <col min="14098" max="14100" width="3.28515625" style="433" bestFit="1" customWidth="1"/>
    <col min="14101" max="14103" width="7.28515625" style="433" bestFit="1" customWidth="1"/>
    <col min="14104" max="14106" width="3.28515625" style="433" bestFit="1" customWidth="1"/>
    <col min="14107" max="14109" width="7.28515625" style="433" bestFit="1" customWidth="1"/>
    <col min="14110" max="14112" width="3.28515625" style="433" bestFit="1" customWidth="1"/>
    <col min="14113" max="14115" width="7.28515625" style="433" bestFit="1" customWidth="1"/>
    <col min="14116" max="14116" width="9.140625" style="433" bestFit="1" customWidth="1"/>
    <col min="14117" max="14117" width="10.140625" style="433" customWidth="1"/>
    <col min="14118" max="14118" width="6.42578125" style="433" customWidth="1"/>
    <col min="14119" max="14119" width="7.28515625" style="433" customWidth="1"/>
    <col min="14120" max="14120" width="9.28515625" style="433" customWidth="1"/>
    <col min="14121" max="14121" width="6" style="433" customWidth="1"/>
    <col min="14122" max="14122" width="12" style="433" customWidth="1"/>
    <col min="14123" max="14123" width="15" style="433" customWidth="1"/>
    <col min="14124" max="14124" width="13.85546875" style="433" customWidth="1"/>
    <col min="14125" max="14336" width="11.42578125" style="433"/>
    <col min="14337" max="14337" width="5" style="433" bestFit="1" customWidth="1"/>
    <col min="14338" max="14338" width="7.7109375" style="433" bestFit="1" customWidth="1"/>
    <col min="14339" max="14339" width="16.140625" style="433" bestFit="1" customWidth="1"/>
    <col min="14340" max="14340" width="22.42578125" style="433" customWidth="1"/>
    <col min="14341" max="14341" width="9" style="433" customWidth="1"/>
    <col min="14342" max="14342" width="10.28515625" style="433" customWidth="1"/>
    <col min="14343" max="14343" width="18.140625" style="433" customWidth="1"/>
    <col min="14344" max="14344" width="15.5703125" style="433" customWidth="1"/>
    <col min="14345" max="14345" width="12.42578125" style="433" customWidth="1"/>
    <col min="14346" max="14346" width="13.140625" style="433" customWidth="1"/>
    <col min="14347" max="14347" width="11.5703125" style="433" customWidth="1"/>
    <col min="14348" max="14348" width="2.140625" style="433" customWidth="1"/>
    <col min="14349" max="14349" width="2.140625" style="433" bestFit="1" customWidth="1"/>
    <col min="14350" max="14350" width="3" style="433" bestFit="1" customWidth="1"/>
    <col min="14351" max="14351" width="7.28515625" style="433" bestFit="1" customWidth="1"/>
    <col min="14352" max="14352" width="6.140625" style="433" bestFit="1" customWidth="1"/>
    <col min="14353" max="14353" width="7.28515625" style="433" bestFit="1" customWidth="1"/>
    <col min="14354" max="14356" width="3.28515625" style="433" bestFit="1" customWidth="1"/>
    <col min="14357" max="14359" width="7.28515625" style="433" bestFit="1" customWidth="1"/>
    <col min="14360" max="14362" width="3.28515625" style="433" bestFit="1" customWidth="1"/>
    <col min="14363" max="14365" width="7.28515625" style="433" bestFit="1" customWidth="1"/>
    <col min="14366" max="14368" width="3.28515625" style="433" bestFit="1" customWidth="1"/>
    <col min="14369" max="14371" width="7.28515625" style="433" bestFit="1" customWidth="1"/>
    <col min="14372" max="14372" width="9.140625" style="433" bestFit="1" customWidth="1"/>
    <col min="14373" max="14373" width="10.140625" style="433" customWidth="1"/>
    <col min="14374" max="14374" width="6.42578125" style="433" customWidth="1"/>
    <col min="14375" max="14375" width="7.28515625" style="433" customWidth="1"/>
    <col min="14376" max="14376" width="9.28515625" style="433" customWidth="1"/>
    <col min="14377" max="14377" width="6" style="433" customWidth="1"/>
    <col min="14378" max="14378" width="12" style="433" customWidth="1"/>
    <col min="14379" max="14379" width="15" style="433" customWidth="1"/>
    <col min="14380" max="14380" width="13.85546875" style="433" customWidth="1"/>
    <col min="14381" max="14592" width="11.42578125" style="433"/>
    <col min="14593" max="14593" width="5" style="433" bestFit="1" customWidth="1"/>
    <col min="14594" max="14594" width="7.7109375" style="433" bestFit="1" customWidth="1"/>
    <col min="14595" max="14595" width="16.140625" style="433" bestFit="1" customWidth="1"/>
    <col min="14596" max="14596" width="22.42578125" style="433" customWidth="1"/>
    <col min="14597" max="14597" width="9" style="433" customWidth="1"/>
    <col min="14598" max="14598" width="10.28515625" style="433" customWidth="1"/>
    <col min="14599" max="14599" width="18.140625" style="433" customWidth="1"/>
    <col min="14600" max="14600" width="15.5703125" style="433" customWidth="1"/>
    <col min="14601" max="14601" width="12.42578125" style="433" customWidth="1"/>
    <col min="14602" max="14602" width="13.140625" style="433" customWidth="1"/>
    <col min="14603" max="14603" width="11.5703125" style="433" customWidth="1"/>
    <col min="14604" max="14604" width="2.140625" style="433" customWidth="1"/>
    <col min="14605" max="14605" width="2.140625" style="433" bestFit="1" customWidth="1"/>
    <col min="14606" max="14606" width="3" style="433" bestFit="1" customWidth="1"/>
    <col min="14607" max="14607" width="7.28515625" style="433" bestFit="1" customWidth="1"/>
    <col min="14608" max="14608" width="6.140625" style="433" bestFit="1" customWidth="1"/>
    <col min="14609" max="14609" width="7.28515625" style="433" bestFit="1" customWidth="1"/>
    <col min="14610" max="14612" width="3.28515625" style="433" bestFit="1" customWidth="1"/>
    <col min="14613" max="14615" width="7.28515625" style="433" bestFit="1" customWidth="1"/>
    <col min="14616" max="14618" width="3.28515625" style="433" bestFit="1" customWidth="1"/>
    <col min="14619" max="14621" width="7.28515625" style="433" bestFit="1" customWidth="1"/>
    <col min="14622" max="14624" width="3.28515625" style="433" bestFit="1" customWidth="1"/>
    <col min="14625" max="14627" width="7.28515625" style="433" bestFit="1" customWidth="1"/>
    <col min="14628" max="14628" width="9.140625" style="433" bestFit="1" customWidth="1"/>
    <col min="14629" max="14629" width="10.140625" style="433" customWidth="1"/>
    <col min="14630" max="14630" width="6.42578125" style="433" customWidth="1"/>
    <col min="14631" max="14631" width="7.28515625" style="433" customWidth="1"/>
    <col min="14632" max="14632" width="9.28515625" style="433" customWidth="1"/>
    <col min="14633" max="14633" width="6" style="433" customWidth="1"/>
    <col min="14634" max="14634" width="12" style="433" customWidth="1"/>
    <col min="14635" max="14635" width="15" style="433" customWidth="1"/>
    <col min="14636" max="14636" width="13.85546875" style="433" customWidth="1"/>
    <col min="14637" max="14848" width="11.42578125" style="433"/>
    <col min="14849" max="14849" width="5" style="433" bestFit="1" customWidth="1"/>
    <col min="14850" max="14850" width="7.7109375" style="433" bestFit="1" customWidth="1"/>
    <col min="14851" max="14851" width="16.140625" style="433" bestFit="1" customWidth="1"/>
    <col min="14852" max="14852" width="22.42578125" style="433" customWidth="1"/>
    <col min="14853" max="14853" width="9" style="433" customWidth="1"/>
    <col min="14854" max="14854" width="10.28515625" style="433" customWidth="1"/>
    <col min="14855" max="14855" width="18.140625" style="433" customWidth="1"/>
    <col min="14856" max="14856" width="15.5703125" style="433" customWidth="1"/>
    <col min="14857" max="14857" width="12.42578125" style="433" customWidth="1"/>
    <col min="14858" max="14858" width="13.140625" style="433" customWidth="1"/>
    <col min="14859" max="14859" width="11.5703125" style="433" customWidth="1"/>
    <col min="14860" max="14860" width="2.140625" style="433" customWidth="1"/>
    <col min="14861" max="14861" width="2.140625" style="433" bestFit="1" customWidth="1"/>
    <col min="14862" max="14862" width="3" style="433" bestFit="1" customWidth="1"/>
    <col min="14863" max="14863" width="7.28515625" style="433" bestFit="1" customWidth="1"/>
    <col min="14864" max="14864" width="6.140625" style="433" bestFit="1" customWidth="1"/>
    <col min="14865" max="14865" width="7.28515625" style="433" bestFit="1" customWidth="1"/>
    <col min="14866" max="14868" width="3.28515625" style="433" bestFit="1" customWidth="1"/>
    <col min="14869" max="14871" width="7.28515625" style="433" bestFit="1" customWidth="1"/>
    <col min="14872" max="14874" width="3.28515625" style="433" bestFit="1" customWidth="1"/>
    <col min="14875" max="14877" width="7.28515625" style="433" bestFit="1" customWidth="1"/>
    <col min="14878" max="14880" width="3.28515625" style="433" bestFit="1" customWidth="1"/>
    <col min="14881" max="14883" width="7.28515625" style="433" bestFit="1" customWidth="1"/>
    <col min="14884" max="14884" width="9.140625" style="433" bestFit="1" customWidth="1"/>
    <col min="14885" max="14885" width="10.140625" style="433" customWidth="1"/>
    <col min="14886" max="14886" width="6.42578125" style="433" customWidth="1"/>
    <col min="14887" max="14887" width="7.28515625" style="433" customWidth="1"/>
    <col min="14888" max="14888" width="9.28515625" style="433" customWidth="1"/>
    <col min="14889" max="14889" width="6" style="433" customWidth="1"/>
    <col min="14890" max="14890" width="12" style="433" customWidth="1"/>
    <col min="14891" max="14891" width="15" style="433" customWidth="1"/>
    <col min="14892" max="14892" width="13.85546875" style="433" customWidth="1"/>
    <col min="14893" max="15104" width="11.42578125" style="433"/>
    <col min="15105" max="15105" width="5" style="433" bestFit="1" customWidth="1"/>
    <col min="15106" max="15106" width="7.7109375" style="433" bestFit="1" customWidth="1"/>
    <col min="15107" max="15107" width="16.140625" style="433" bestFit="1" customWidth="1"/>
    <col min="15108" max="15108" width="22.42578125" style="433" customWidth="1"/>
    <col min="15109" max="15109" width="9" style="433" customWidth="1"/>
    <col min="15110" max="15110" width="10.28515625" style="433" customWidth="1"/>
    <col min="15111" max="15111" width="18.140625" style="433" customWidth="1"/>
    <col min="15112" max="15112" width="15.5703125" style="433" customWidth="1"/>
    <col min="15113" max="15113" width="12.42578125" style="433" customWidth="1"/>
    <col min="15114" max="15114" width="13.140625" style="433" customWidth="1"/>
    <col min="15115" max="15115" width="11.5703125" style="433" customWidth="1"/>
    <col min="15116" max="15116" width="2.140625" style="433" customWidth="1"/>
    <col min="15117" max="15117" width="2.140625" style="433" bestFit="1" customWidth="1"/>
    <col min="15118" max="15118" width="3" style="433" bestFit="1" customWidth="1"/>
    <col min="15119" max="15119" width="7.28515625" style="433" bestFit="1" customWidth="1"/>
    <col min="15120" max="15120" width="6.140625" style="433" bestFit="1" customWidth="1"/>
    <col min="15121" max="15121" width="7.28515625" style="433" bestFit="1" customWidth="1"/>
    <col min="15122" max="15124" width="3.28515625" style="433" bestFit="1" customWidth="1"/>
    <col min="15125" max="15127" width="7.28515625" style="433" bestFit="1" customWidth="1"/>
    <col min="15128" max="15130" width="3.28515625" style="433" bestFit="1" customWidth="1"/>
    <col min="15131" max="15133" width="7.28515625" style="433" bestFit="1" customWidth="1"/>
    <col min="15134" max="15136" width="3.28515625" style="433" bestFit="1" customWidth="1"/>
    <col min="15137" max="15139" width="7.28515625" style="433" bestFit="1" customWidth="1"/>
    <col min="15140" max="15140" width="9.140625" style="433" bestFit="1" customWidth="1"/>
    <col min="15141" max="15141" width="10.140625" style="433" customWidth="1"/>
    <col min="15142" max="15142" width="6.42578125" style="433" customWidth="1"/>
    <col min="15143" max="15143" width="7.28515625" style="433" customWidth="1"/>
    <col min="15144" max="15144" width="9.28515625" style="433" customWidth="1"/>
    <col min="15145" max="15145" width="6" style="433" customWidth="1"/>
    <col min="15146" max="15146" width="12" style="433" customWidth="1"/>
    <col min="15147" max="15147" width="15" style="433" customWidth="1"/>
    <col min="15148" max="15148" width="13.85546875" style="433" customWidth="1"/>
    <col min="15149" max="15360" width="11.42578125" style="433"/>
    <col min="15361" max="15361" width="5" style="433" bestFit="1" customWidth="1"/>
    <col min="15362" max="15362" width="7.7109375" style="433" bestFit="1" customWidth="1"/>
    <col min="15363" max="15363" width="16.140625" style="433" bestFit="1" customWidth="1"/>
    <col min="15364" max="15364" width="22.42578125" style="433" customWidth="1"/>
    <col min="15365" max="15365" width="9" style="433" customWidth="1"/>
    <col min="15366" max="15366" width="10.28515625" style="433" customWidth="1"/>
    <col min="15367" max="15367" width="18.140625" style="433" customWidth="1"/>
    <col min="15368" max="15368" width="15.5703125" style="433" customWidth="1"/>
    <col min="15369" max="15369" width="12.42578125" style="433" customWidth="1"/>
    <col min="15370" max="15370" width="13.140625" style="433" customWidth="1"/>
    <col min="15371" max="15371" width="11.5703125" style="433" customWidth="1"/>
    <col min="15372" max="15372" width="2.140625" style="433" customWidth="1"/>
    <col min="15373" max="15373" width="2.140625" style="433" bestFit="1" customWidth="1"/>
    <col min="15374" max="15374" width="3" style="433" bestFit="1" customWidth="1"/>
    <col min="15375" max="15375" width="7.28515625" style="433" bestFit="1" customWidth="1"/>
    <col min="15376" max="15376" width="6.140625" style="433" bestFit="1" customWidth="1"/>
    <col min="15377" max="15377" width="7.28515625" style="433" bestFit="1" customWidth="1"/>
    <col min="15378" max="15380" width="3.28515625" style="433" bestFit="1" customWidth="1"/>
    <col min="15381" max="15383" width="7.28515625" style="433" bestFit="1" customWidth="1"/>
    <col min="15384" max="15386" width="3.28515625" style="433" bestFit="1" customWidth="1"/>
    <col min="15387" max="15389" width="7.28515625" style="433" bestFit="1" customWidth="1"/>
    <col min="15390" max="15392" width="3.28515625" style="433" bestFit="1" customWidth="1"/>
    <col min="15393" max="15395" width="7.28515625" style="433" bestFit="1" customWidth="1"/>
    <col min="15396" max="15396" width="9.140625" style="433" bestFit="1" customWidth="1"/>
    <col min="15397" max="15397" width="10.140625" style="433" customWidth="1"/>
    <col min="15398" max="15398" width="6.42578125" style="433" customWidth="1"/>
    <col min="15399" max="15399" width="7.28515625" style="433" customWidth="1"/>
    <col min="15400" max="15400" width="9.28515625" style="433" customWidth="1"/>
    <col min="15401" max="15401" width="6" style="433" customWidth="1"/>
    <col min="15402" max="15402" width="12" style="433" customWidth="1"/>
    <col min="15403" max="15403" width="15" style="433" customWidth="1"/>
    <col min="15404" max="15404" width="13.85546875" style="433" customWidth="1"/>
    <col min="15405" max="15616" width="11.42578125" style="433"/>
    <col min="15617" max="15617" width="5" style="433" bestFit="1" customWidth="1"/>
    <col min="15618" max="15618" width="7.7109375" style="433" bestFit="1" customWidth="1"/>
    <col min="15619" max="15619" width="16.140625" style="433" bestFit="1" customWidth="1"/>
    <col min="15620" max="15620" width="22.42578125" style="433" customWidth="1"/>
    <col min="15621" max="15621" width="9" style="433" customWidth="1"/>
    <col min="15622" max="15622" width="10.28515625" style="433" customWidth="1"/>
    <col min="15623" max="15623" width="18.140625" style="433" customWidth="1"/>
    <col min="15624" max="15624" width="15.5703125" style="433" customWidth="1"/>
    <col min="15625" max="15625" width="12.42578125" style="433" customWidth="1"/>
    <col min="15626" max="15626" width="13.140625" style="433" customWidth="1"/>
    <col min="15627" max="15627" width="11.5703125" style="433" customWidth="1"/>
    <col min="15628" max="15628" width="2.140625" style="433" customWidth="1"/>
    <col min="15629" max="15629" width="2.140625" style="433" bestFit="1" customWidth="1"/>
    <col min="15630" max="15630" width="3" style="433" bestFit="1" customWidth="1"/>
    <col min="15631" max="15631" width="7.28515625" style="433" bestFit="1" customWidth="1"/>
    <col min="15632" max="15632" width="6.140625" style="433" bestFit="1" customWidth="1"/>
    <col min="15633" max="15633" width="7.28515625" style="433" bestFit="1" customWidth="1"/>
    <col min="15634" max="15636" width="3.28515625" style="433" bestFit="1" customWidth="1"/>
    <col min="15637" max="15639" width="7.28515625" style="433" bestFit="1" customWidth="1"/>
    <col min="15640" max="15642" width="3.28515625" style="433" bestFit="1" customWidth="1"/>
    <col min="15643" max="15645" width="7.28515625" style="433" bestFit="1" customWidth="1"/>
    <col min="15646" max="15648" width="3.28515625" style="433" bestFit="1" customWidth="1"/>
    <col min="15649" max="15651" width="7.28515625" style="433" bestFit="1" customWidth="1"/>
    <col min="15652" max="15652" width="9.140625" style="433" bestFit="1" customWidth="1"/>
    <col min="15653" max="15653" width="10.140625" style="433" customWidth="1"/>
    <col min="15654" max="15654" width="6.42578125" style="433" customWidth="1"/>
    <col min="15655" max="15655" width="7.28515625" style="433" customWidth="1"/>
    <col min="15656" max="15656" width="9.28515625" style="433" customWidth="1"/>
    <col min="15657" max="15657" width="6" style="433" customWidth="1"/>
    <col min="15658" max="15658" width="12" style="433" customWidth="1"/>
    <col min="15659" max="15659" width="15" style="433" customWidth="1"/>
    <col min="15660" max="15660" width="13.85546875" style="433" customWidth="1"/>
    <col min="15661" max="15872" width="11.42578125" style="433"/>
    <col min="15873" max="15873" width="5" style="433" bestFit="1" customWidth="1"/>
    <col min="15874" max="15874" width="7.7109375" style="433" bestFit="1" customWidth="1"/>
    <col min="15875" max="15875" width="16.140625" style="433" bestFit="1" customWidth="1"/>
    <col min="15876" max="15876" width="22.42578125" style="433" customWidth="1"/>
    <col min="15877" max="15877" width="9" style="433" customWidth="1"/>
    <col min="15878" max="15878" width="10.28515625" style="433" customWidth="1"/>
    <col min="15879" max="15879" width="18.140625" style="433" customWidth="1"/>
    <col min="15880" max="15880" width="15.5703125" style="433" customWidth="1"/>
    <col min="15881" max="15881" width="12.42578125" style="433" customWidth="1"/>
    <col min="15882" max="15882" width="13.140625" style="433" customWidth="1"/>
    <col min="15883" max="15883" width="11.5703125" style="433" customWidth="1"/>
    <col min="15884" max="15884" width="2.140625" style="433" customWidth="1"/>
    <col min="15885" max="15885" width="2.140625" style="433" bestFit="1" customWidth="1"/>
    <col min="15886" max="15886" width="3" style="433" bestFit="1" customWidth="1"/>
    <col min="15887" max="15887" width="7.28515625" style="433" bestFit="1" customWidth="1"/>
    <col min="15888" max="15888" width="6.140625" style="433" bestFit="1" customWidth="1"/>
    <col min="15889" max="15889" width="7.28515625" style="433" bestFit="1" customWidth="1"/>
    <col min="15890" max="15892" width="3.28515625" style="433" bestFit="1" customWidth="1"/>
    <col min="15893" max="15895" width="7.28515625" style="433" bestFit="1" customWidth="1"/>
    <col min="15896" max="15898" width="3.28515625" style="433" bestFit="1" customWidth="1"/>
    <col min="15899" max="15901" width="7.28515625" style="433" bestFit="1" customWidth="1"/>
    <col min="15902" max="15904" width="3.28515625" style="433" bestFit="1" customWidth="1"/>
    <col min="15905" max="15907" width="7.28515625" style="433" bestFit="1" customWidth="1"/>
    <col min="15908" max="15908" width="9.140625" style="433" bestFit="1" customWidth="1"/>
    <col min="15909" max="15909" width="10.140625" style="433" customWidth="1"/>
    <col min="15910" max="15910" width="6.42578125" style="433" customWidth="1"/>
    <col min="15911" max="15911" width="7.28515625" style="433" customWidth="1"/>
    <col min="15912" max="15912" width="9.28515625" style="433" customWidth="1"/>
    <col min="15913" max="15913" width="6" style="433" customWidth="1"/>
    <col min="15914" max="15914" width="12" style="433" customWidth="1"/>
    <col min="15915" max="15915" width="15" style="433" customWidth="1"/>
    <col min="15916" max="15916" width="13.85546875" style="433" customWidth="1"/>
    <col min="15917" max="16128" width="11.42578125" style="433"/>
    <col min="16129" max="16129" width="5" style="433" bestFit="1" customWidth="1"/>
    <col min="16130" max="16130" width="7.7109375" style="433" bestFit="1" customWidth="1"/>
    <col min="16131" max="16131" width="16.140625" style="433" bestFit="1" customWidth="1"/>
    <col min="16132" max="16132" width="22.42578125" style="433" customWidth="1"/>
    <col min="16133" max="16133" width="9" style="433" customWidth="1"/>
    <col min="16134" max="16134" width="10.28515625" style="433" customWidth="1"/>
    <col min="16135" max="16135" width="18.140625" style="433" customWidth="1"/>
    <col min="16136" max="16136" width="15.5703125" style="433" customWidth="1"/>
    <col min="16137" max="16137" width="12.42578125" style="433" customWidth="1"/>
    <col min="16138" max="16138" width="13.140625" style="433" customWidth="1"/>
    <col min="16139" max="16139" width="11.5703125" style="433" customWidth="1"/>
    <col min="16140" max="16140" width="2.140625" style="433" customWidth="1"/>
    <col min="16141" max="16141" width="2.140625" style="433" bestFit="1" customWidth="1"/>
    <col min="16142" max="16142" width="3" style="433" bestFit="1" customWidth="1"/>
    <col min="16143" max="16143" width="7.28515625" style="433" bestFit="1" customWidth="1"/>
    <col min="16144" max="16144" width="6.140625" style="433" bestFit="1" customWidth="1"/>
    <col min="16145" max="16145" width="7.28515625" style="433" bestFit="1" customWidth="1"/>
    <col min="16146" max="16148" width="3.28515625" style="433" bestFit="1" customWidth="1"/>
    <col min="16149" max="16151" width="7.28515625" style="433" bestFit="1" customWidth="1"/>
    <col min="16152" max="16154" width="3.28515625" style="433" bestFit="1" customWidth="1"/>
    <col min="16155" max="16157" width="7.28515625" style="433" bestFit="1" customWidth="1"/>
    <col min="16158" max="16160" width="3.28515625" style="433" bestFit="1" customWidth="1"/>
    <col min="16161" max="16163" width="7.28515625" style="433" bestFit="1" customWidth="1"/>
    <col min="16164" max="16164" width="9.140625" style="433" bestFit="1" customWidth="1"/>
    <col min="16165" max="16165" width="10.140625" style="433" customWidth="1"/>
    <col min="16166" max="16166" width="6.42578125" style="433" customWidth="1"/>
    <col min="16167" max="16167" width="7.28515625" style="433" customWidth="1"/>
    <col min="16168" max="16168" width="9.28515625" style="433" customWidth="1"/>
    <col min="16169" max="16169" width="6" style="433" customWidth="1"/>
    <col min="16170" max="16170" width="12" style="433" customWidth="1"/>
    <col min="16171" max="16171" width="15" style="433" customWidth="1"/>
    <col min="16172" max="16172" width="13.85546875" style="433" customWidth="1"/>
    <col min="16173" max="16384" width="11.42578125" style="433"/>
  </cols>
  <sheetData>
    <row r="1" spans="1:72">
      <c r="A1" s="871" t="s">
        <v>0</v>
      </c>
      <c r="B1" s="871"/>
      <c r="C1" s="871"/>
      <c r="D1" s="871"/>
      <c r="E1" s="871"/>
      <c r="F1" s="871"/>
      <c r="G1" s="871"/>
      <c r="H1" s="871"/>
      <c r="I1" s="871"/>
      <c r="J1" s="871"/>
      <c r="K1" s="871"/>
      <c r="L1" s="871"/>
      <c r="M1" s="871"/>
      <c r="N1" s="871"/>
      <c r="O1" s="871"/>
      <c r="P1" s="871"/>
      <c r="Q1" s="871"/>
      <c r="R1" s="871"/>
      <c r="S1" s="871"/>
      <c r="T1" s="871"/>
      <c r="U1" s="871"/>
      <c r="V1" s="871"/>
      <c r="W1" s="871"/>
      <c r="X1" s="871"/>
      <c r="Y1" s="871"/>
      <c r="Z1" s="871"/>
      <c r="AA1" s="871"/>
      <c r="AB1" s="871"/>
      <c r="AC1" s="871"/>
      <c r="AD1" s="871"/>
      <c r="AE1" s="871"/>
      <c r="AF1" s="871"/>
      <c r="AG1" s="871"/>
      <c r="AH1" s="871"/>
      <c r="AI1" s="871"/>
      <c r="AJ1" s="871"/>
      <c r="AK1" s="871"/>
      <c r="AL1" s="871"/>
      <c r="AM1" s="871"/>
      <c r="AN1" s="871"/>
      <c r="AO1" s="871"/>
      <c r="AP1" s="871"/>
      <c r="AQ1" s="871"/>
      <c r="AR1" s="871"/>
    </row>
    <row r="2" spans="1:72">
      <c r="A2" s="871" t="s">
        <v>1</v>
      </c>
      <c r="B2" s="871"/>
      <c r="C2" s="871"/>
      <c r="D2" s="871"/>
      <c r="E2" s="871"/>
      <c r="F2" s="871"/>
      <c r="G2" s="871"/>
      <c r="H2" s="871"/>
      <c r="I2" s="871"/>
      <c r="J2" s="871"/>
      <c r="K2" s="871"/>
      <c r="L2" s="871"/>
      <c r="M2" s="871"/>
      <c r="N2" s="871"/>
      <c r="O2" s="871"/>
      <c r="P2" s="871"/>
      <c r="Q2" s="871"/>
      <c r="R2" s="871"/>
      <c r="S2" s="871"/>
      <c r="T2" s="871"/>
      <c r="U2" s="871"/>
      <c r="V2" s="871"/>
      <c r="W2" s="871"/>
      <c r="X2" s="871"/>
      <c r="Y2" s="871"/>
      <c r="Z2" s="871"/>
      <c r="AA2" s="871"/>
      <c r="AB2" s="871"/>
      <c r="AC2" s="871"/>
      <c r="AD2" s="871"/>
      <c r="AE2" s="871"/>
      <c r="AF2" s="871"/>
      <c r="AG2" s="871"/>
      <c r="AH2" s="871"/>
      <c r="AI2" s="871"/>
      <c r="AJ2" s="871"/>
      <c r="AK2" s="871"/>
      <c r="AL2" s="871"/>
      <c r="AM2" s="871"/>
      <c r="AN2" s="871"/>
      <c r="AO2" s="871"/>
      <c r="AP2" s="871"/>
      <c r="AQ2" s="871"/>
      <c r="AR2" s="871"/>
    </row>
    <row r="3" spans="1:72">
      <c r="A3" s="434"/>
      <c r="B3" s="434"/>
      <c r="C3" s="434"/>
      <c r="D3" s="435" t="s">
        <v>1564</v>
      </c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  <c r="P3" s="435"/>
      <c r="Q3" s="435"/>
      <c r="R3" s="435"/>
      <c r="S3" s="435"/>
      <c r="T3" s="435"/>
      <c r="U3" s="435"/>
      <c r="V3" s="435"/>
      <c r="W3" s="435"/>
      <c r="X3" s="435"/>
      <c r="Y3" s="435"/>
      <c r="Z3" s="435"/>
      <c r="AA3" s="435"/>
      <c r="AB3" s="435"/>
      <c r="AC3" s="435"/>
      <c r="AD3" s="435"/>
      <c r="AE3" s="435"/>
      <c r="AF3" s="435"/>
      <c r="AG3" s="435"/>
      <c r="AH3" s="435"/>
      <c r="AI3" s="435"/>
      <c r="AJ3" s="435"/>
      <c r="AK3" s="435"/>
      <c r="AL3" s="435"/>
      <c r="AM3" s="435"/>
      <c r="AN3" s="435"/>
      <c r="AO3" s="435"/>
      <c r="AP3" s="435"/>
      <c r="AQ3" s="435"/>
      <c r="AR3" s="435"/>
    </row>
    <row r="4" spans="1:72">
      <c r="A4" s="434"/>
      <c r="B4" s="434"/>
      <c r="C4" s="434"/>
      <c r="D4" s="435" t="s">
        <v>2198</v>
      </c>
      <c r="E4" s="435"/>
      <c r="F4" s="435"/>
      <c r="G4" s="435"/>
      <c r="H4" s="435"/>
      <c r="I4" s="435"/>
      <c r="J4" s="435"/>
      <c r="K4" s="435"/>
      <c r="L4" s="435"/>
      <c r="M4" s="435"/>
      <c r="N4" s="435"/>
      <c r="O4" s="435"/>
      <c r="P4" s="435"/>
      <c r="Q4" s="435"/>
      <c r="R4" s="435"/>
      <c r="S4" s="435"/>
      <c r="T4" s="435"/>
      <c r="U4" s="435"/>
      <c r="V4" s="435"/>
      <c r="W4" s="435"/>
      <c r="X4" s="435"/>
      <c r="Y4" s="435"/>
      <c r="Z4" s="435"/>
      <c r="AA4" s="435"/>
      <c r="AB4" s="435"/>
      <c r="AC4" s="435"/>
      <c r="AD4" s="435"/>
      <c r="AE4" s="435"/>
      <c r="AF4" s="435"/>
      <c r="AG4" s="435"/>
      <c r="AH4" s="435"/>
      <c r="AI4" s="435"/>
      <c r="AJ4" s="435"/>
      <c r="AK4" s="435"/>
      <c r="AL4" s="435"/>
      <c r="AM4" s="435"/>
      <c r="AN4" s="435"/>
      <c r="AO4" s="435"/>
      <c r="AP4" s="435"/>
      <c r="AQ4" s="435"/>
      <c r="AR4" s="435"/>
    </row>
    <row r="5" spans="1:72">
      <c r="A5" s="434"/>
      <c r="B5" s="434"/>
      <c r="C5" s="434"/>
      <c r="D5" s="435" t="s">
        <v>2199</v>
      </c>
      <c r="E5" s="435"/>
      <c r="F5" s="435"/>
      <c r="G5" s="434"/>
      <c r="H5" s="434"/>
      <c r="I5" s="434"/>
      <c r="J5" s="434"/>
      <c r="K5" s="436"/>
      <c r="L5" s="436"/>
      <c r="M5" s="436"/>
      <c r="N5" s="436"/>
      <c r="O5" s="436"/>
      <c r="P5" s="436"/>
      <c r="Q5" s="436"/>
      <c r="R5" s="436"/>
      <c r="S5" s="436"/>
      <c r="T5" s="436"/>
      <c r="U5" s="436"/>
      <c r="V5" s="436"/>
      <c r="W5" s="436"/>
      <c r="X5" s="436"/>
      <c r="Y5" s="436"/>
      <c r="Z5" s="436"/>
      <c r="AA5" s="436"/>
      <c r="AB5" s="436"/>
      <c r="AC5" s="436"/>
      <c r="AD5" s="436"/>
      <c r="AE5" s="436"/>
      <c r="AF5" s="436"/>
      <c r="AG5" s="436"/>
      <c r="AH5" s="436"/>
      <c r="AI5" s="436"/>
      <c r="AJ5" s="436"/>
      <c r="AK5" s="436"/>
      <c r="AL5" s="436"/>
      <c r="AM5" s="436"/>
      <c r="AN5" s="436"/>
      <c r="AO5" s="436"/>
      <c r="AP5" s="436"/>
      <c r="AQ5" s="436"/>
      <c r="AR5" s="436"/>
      <c r="AT5" s="437"/>
      <c r="AU5" s="437"/>
      <c r="AV5" s="437"/>
      <c r="AW5" s="437"/>
      <c r="AX5" s="437"/>
      <c r="AY5" s="437"/>
      <c r="AZ5" s="437"/>
      <c r="BA5" s="437"/>
      <c r="BB5" s="437"/>
      <c r="BC5" s="437"/>
      <c r="BD5" s="437"/>
      <c r="BE5" s="437"/>
      <c r="BF5" s="437"/>
      <c r="BG5" s="437"/>
      <c r="BH5" s="437"/>
      <c r="BI5" s="437"/>
      <c r="BJ5" s="437"/>
      <c r="BK5" s="437"/>
      <c r="BL5" s="437"/>
      <c r="BM5" s="437"/>
      <c r="BN5" s="437"/>
      <c r="BO5" s="437"/>
      <c r="BP5" s="437"/>
      <c r="BQ5" s="437"/>
      <c r="BR5" s="437"/>
      <c r="BS5" s="437"/>
      <c r="BT5" s="437"/>
    </row>
    <row r="6" spans="1:72" s="243" customFormat="1" ht="15.75" customHeight="1">
      <c r="A6" s="872" t="s">
        <v>5</v>
      </c>
      <c r="B6" s="872"/>
      <c r="C6" s="872"/>
      <c r="D6" s="873" t="s">
        <v>6</v>
      </c>
      <c r="E6" s="874" t="s">
        <v>7</v>
      </c>
      <c r="F6" s="872" t="s">
        <v>8</v>
      </c>
      <c r="G6" s="872" t="s">
        <v>9</v>
      </c>
      <c r="H6" s="872" t="s">
        <v>10</v>
      </c>
      <c r="I6" s="872" t="s">
        <v>11</v>
      </c>
      <c r="J6" s="872" t="s">
        <v>12</v>
      </c>
      <c r="K6" s="872" t="s">
        <v>13</v>
      </c>
      <c r="L6" s="876" t="s">
        <v>14</v>
      </c>
      <c r="M6" s="877"/>
      <c r="N6" s="877"/>
      <c r="O6" s="877"/>
      <c r="P6" s="877"/>
      <c r="Q6" s="877"/>
      <c r="R6" s="877"/>
      <c r="S6" s="877"/>
      <c r="T6" s="877"/>
      <c r="U6" s="877"/>
      <c r="V6" s="877"/>
      <c r="W6" s="877"/>
      <c r="X6" s="877"/>
      <c r="Y6" s="877"/>
      <c r="Z6" s="877"/>
      <c r="AA6" s="877"/>
      <c r="AB6" s="877"/>
      <c r="AC6" s="877"/>
      <c r="AD6" s="877"/>
      <c r="AE6" s="877"/>
      <c r="AF6" s="877"/>
      <c r="AG6" s="877"/>
      <c r="AH6" s="877"/>
      <c r="AI6" s="877"/>
      <c r="AJ6" s="878"/>
      <c r="AK6" s="872" t="s">
        <v>15</v>
      </c>
      <c r="AL6" s="872"/>
      <c r="AM6" s="872"/>
      <c r="AN6" s="872"/>
      <c r="AO6" s="872"/>
      <c r="AP6" s="872" t="s">
        <v>16</v>
      </c>
      <c r="AQ6" s="872" t="s">
        <v>17</v>
      </c>
      <c r="AR6" s="872" t="s">
        <v>18</v>
      </c>
    </row>
    <row r="7" spans="1:72" s="243" customFormat="1">
      <c r="A7" s="872" t="s">
        <v>20</v>
      </c>
      <c r="B7" s="901" t="s">
        <v>21</v>
      </c>
      <c r="C7" s="872" t="s">
        <v>22</v>
      </c>
      <c r="D7" s="873"/>
      <c r="E7" s="874"/>
      <c r="F7" s="872"/>
      <c r="G7" s="872"/>
      <c r="H7" s="872"/>
      <c r="I7" s="872"/>
      <c r="J7" s="872"/>
      <c r="K7" s="872"/>
      <c r="L7" s="875" t="s">
        <v>23</v>
      </c>
      <c r="M7" s="875"/>
      <c r="N7" s="875"/>
      <c r="O7" s="875"/>
      <c r="P7" s="875"/>
      <c r="Q7" s="875"/>
      <c r="R7" s="875" t="s">
        <v>24</v>
      </c>
      <c r="S7" s="875"/>
      <c r="T7" s="875"/>
      <c r="U7" s="875"/>
      <c r="V7" s="875"/>
      <c r="W7" s="875"/>
      <c r="X7" s="875" t="s">
        <v>25</v>
      </c>
      <c r="Y7" s="875"/>
      <c r="Z7" s="875"/>
      <c r="AA7" s="875"/>
      <c r="AB7" s="875"/>
      <c r="AC7" s="875"/>
      <c r="AD7" s="875" t="s">
        <v>26</v>
      </c>
      <c r="AE7" s="875"/>
      <c r="AF7" s="875"/>
      <c r="AG7" s="875"/>
      <c r="AH7" s="875"/>
      <c r="AI7" s="875"/>
      <c r="AJ7" s="874" t="s">
        <v>162</v>
      </c>
      <c r="AK7" s="872" t="s">
        <v>28</v>
      </c>
      <c r="AL7" s="872" t="s">
        <v>29</v>
      </c>
      <c r="AM7" s="872" t="s">
        <v>30</v>
      </c>
      <c r="AN7" s="872" t="s">
        <v>163</v>
      </c>
      <c r="AO7" s="872" t="s">
        <v>32</v>
      </c>
      <c r="AP7" s="872"/>
      <c r="AQ7" s="872"/>
      <c r="AR7" s="872"/>
    </row>
    <row r="8" spans="1:72" s="243" customFormat="1">
      <c r="A8" s="872"/>
      <c r="B8" s="901"/>
      <c r="C8" s="872"/>
      <c r="D8" s="873"/>
      <c r="E8" s="874"/>
      <c r="F8" s="872"/>
      <c r="G8" s="872"/>
      <c r="H8" s="872"/>
      <c r="I8" s="872"/>
      <c r="J8" s="872"/>
      <c r="K8" s="872"/>
      <c r="L8" s="875" t="s">
        <v>33</v>
      </c>
      <c r="M8" s="875"/>
      <c r="N8" s="875"/>
      <c r="O8" s="875" t="s">
        <v>34</v>
      </c>
      <c r="P8" s="875"/>
      <c r="Q8" s="875"/>
      <c r="R8" s="875" t="s">
        <v>33</v>
      </c>
      <c r="S8" s="875"/>
      <c r="T8" s="875"/>
      <c r="U8" s="875" t="s">
        <v>34</v>
      </c>
      <c r="V8" s="875"/>
      <c r="W8" s="875"/>
      <c r="X8" s="875" t="s">
        <v>33</v>
      </c>
      <c r="Y8" s="875"/>
      <c r="Z8" s="875"/>
      <c r="AA8" s="875" t="s">
        <v>34</v>
      </c>
      <c r="AB8" s="875"/>
      <c r="AC8" s="875"/>
      <c r="AD8" s="875" t="s">
        <v>33</v>
      </c>
      <c r="AE8" s="875"/>
      <c r="AF8" s="875"/>
      <c r="AG8" s="875" t="s">
        <v>34</v>
      </c>
      <c r="AH8" s="875"/>
      <c r="AI8" s="875"/>
      <c r="AJ8" s="874"/>
      <c r="AK8" s="872"/>
      <c r="AL8" s="872"/>
      <c r="AM8" s="872"/>
      <c r="AN8" s="872"/>
      <c r="AO8" s="872"/>
      <c r="AP8" s="872"/>
      <c r="AQ8" s="872"/>
      <c r="AR8" s="872"/>
    </row>
    <row r="9" spans="1:72" s="243" customFormat="1">
      <c r="A9" s="872"/>
      <c r="B9" s="901"/>
      <c r="C9" s="872"/>
      <c r="D9" s="873"/>
      <c r="E9" s="874"/>
      <c r="F9" s="872"/>
      <c r="G9" s="872"/>
      <c r="H9" s="872"/>
      <c r="I9" s="872"/>
      <c r="J9" s="872"/>
      <c r="K9" s="872"/>
      <c r="L9" s="244" t="s">
        <v>35</v>
      </c>
      <c r="M9" s="244" t="s">
        <v>36</v>
      </c>
      <c r="N9" s="244" t="s">
        <v>37</v>
      </c>
      <c r="O9" s="244" t="s">
        <v>35</v>
      </c>
      <c r="P9" s="244" t="s">
        <v>36</v>
      </c>
      <c r="Q9" s="244" t="s">
        <v>37</v>
      </c>
      <c r="R9" s="244" t="s">
        <v>38</v>
      </c>
      <c r="S9" s="244" t="s">
        <v>37</v>
      </c>
      <c r="T9" s="244" t="s">
        <v>39</v>
      </c>
      <c r="U9" s="244" t="s">
        <v>38</v>
      </c>
      <c r="V9" s="244" t="s">
        <v>37</v>
      </c>
      <c r="W9" s="244" t="s">
        <v>39</v>
      </c>
      <c r="X9" s="244" t="s">
        <v>39</v>
      </c>
      <c r="Y9" s="244" t="s">
        <v>38</v>
      </c>
      <c r="Z9" s="244" t="s">
        <v>40</v>
      </c>
      <c r="AA9" s="244" t="s">
        <v>39</v>
      </c>
      <c r="AB9" s="244" t="s">
        <v>38</v>
      </c>
      <c r="AC9" s="244" t="s">
        <v>40</v>
      </c>
      <c r="AD9" s="244" t="s">
        <v>41</v>
      </c>
      <c r="AE9" s="244" t="s">
        <v>42</v>
      </c>
      <c r="AF9" s="244" t="s">
        <v>43</v>
      </c>
      <c r="AG9" s="244" t="s">
        <v>41</v>
      </c>
      <c r="AH9" s="244" t="s">
        <v>42</v>
      </c>
      <c r="AI9" s="244" t="s">
        <v>43</v>
      </c>
      <c r="AJ9" s="874"/>
      <c r="AK9" s="872"/>
      <c r="AL9" s="872"/>
      <c r="AM9" s="872"/>
      <c r="AN9" s="872"/>
      <c r="AO9" s="872"/>
      <c r="AP9" s="872"/>
      <c r="AQ9" s="872"/>
      <c r="AR9" s="872"/>
    </row>
    <row r="10" spans="1:72" ht="94.5">
      <c r="A10" s="439" t="s">
        <v>285</v>
      </c>
      <c r="B10" s="439" t="s">
        <v>1515</v>
      </c>
      <c r="C10" s="661" t="s">
        <v>2200</v>
      </c>
      <c r="D10" s="649" t="s">
        <v>2201</v>
      </c>
      <c r="E10" s="662"/>
      <c r="F10" s="661"/>
      <c r="G10" s="663"/>
      <c r="H10" s="663"/>
      <c r="I10" s="662">
        <f>+I11+I12+I13</f>
        <v>100</v>
      </c>
      <c r="J10" s="662">
        <v>100</v>
      </c>
      <c r="K10" s="662"/>
      <c r="L10" s="664"/>
      <c r="M10" s="664"/>
      <c r="N10" s="664"/>
      <c r="O10" s="664">
        <f t="shared" ref="O10:AI10" si="0">+O11+O12+O13</f>
        <v>18066</v>
      </c>
      <c r="P10" s="664">
        <f t="shared" si="0"/>
        <v>9599</v>
      </c>
      <c r="Q10" s="664">
        <f t="shared" si="0"/>
        <v>13866</v>
      </c>
      <c r="R10" s="664"/>
      <c r="S10" s="664"/>
      <c r="T10" s="664"/>
      <c r="U10" s="664">
        <f t="shared" si="0"/>
        <v>19199</v>
      </c>
      <c r="V10" s="664">
        <f t="shared" si="0"/>
        <v>19199</v>
      </c>
      <c r="W10" s="664">
        <f t="shared" si="0"/>
        <v>21332</v>
      </c>
      <c r="X10" s="664"/>
      <c r="Y10" s="664"/>
      <c r="Z10" s="664"/>
      <c r="AA10" s="664">
        <f t="shared" si="0"/>
        <v>21332</v>
      </c>
      <c r="AB10" s="664">
        <f t="shared" si="0"/>
        <v>21332</v>
      </c>
      <c r="AC10" s="664">
        <f t="shared" si="0"/>
        <v>21332</v>
      </c>
      <c r="AD10" s="664"/>
      <c r="AE10" s="664"/>
      <c r="AF10" s="664"/>
      <c r="AG10" s="664">
        <f t="shared" si="0"/>
        <v>21332</v>
      </c>
      <c r="AH10" s="664">
        <f t="shared" si="0"/>
        <v>21332</v>
      </c>
      <c r="AI10" s="664">
        <f t="shared" si="0"/>
        <v>21333</v>
      </c>
      <c r="AJ10" s="664">
        <f>+O10+P10+Q10+U10+V10+W10+AA10+AB10+AC10+AG10+AH10+AI10</f>
        <v>229254</v>
      </c>
      <c r="AK10" s="664">
        <v>229254</v>
      </c>
      <c r="AL10" s="664"/>
      <c r="AM10" s="664"/>
      <c r="AN10" s="664"/>
      <c r="AO10" s="664"/>
      <c r="AP10" s="665"/>
      <c r="AQ10" s="665"/>
      <c r="AR10" s="665"/>
    </row>
    <row r="11" spans="1:72" ht="84" customHeight="1">
      <c r="A11" s="480" t="s">
        <v>285</v>
      </c>
      <c r="B11" s="480" t="s">
        <v>1515</v>
      </c>
      <c r="C11" s="666" t="s">
        <v>2202</v>
      </c>
      <c r="D11" s="667" t="s">
        <v>2203</v>
      </c>
      <c r="E11" s="481">
        <f>+L11+M11+N11+R11+S11+T11+X11+Y11+Z11+AD11+AE11+AF11</f>
        <v>1</v>
      </c>
      <c r="F11" s="668" t="s">
        <v>213</v>
      </c>
      <c r="G11" s="669" t="s">
        <v>2204</v>
      </c>
      <c r="H11" s="669" t="s">
        <v>2205</v>
      </c>
      <c r="I11" s="481">
        <v>7</v>
      </c>
      <c r="J11" s="481"/>
      <c r="K11" s="481">
        <v>7</v>
      </c>
      <c r="L11" s="482">
        <v>1</v>
      </c>
      <c r="M11" s="482"/>
      <c r="N11" s="482"/>
      <c r="O11" s="482">
        <v>15933</v>
      </c>
      <c r="P11" s="482"/>
      <c r="Q11" s="482"/>
      <c r="R11" s="482"/>
      <c r="S11" s="482"/>
      <c r="T11" s="482"/>
      <c r="U11" s="482"/>
      <c r="V11" s="482"/>
      <c r="W11" s="482"/>
      <c r="X11" s="482"/>
      <c r="Y11" s="482"/>
      <c r="Z11" s="482"/>
      <c r="AA11" s="482"/>
      <c r="AB11" s="482"/>
      <c r="AC11" s="482"/>
      <c r="AD11" s="482"/>
      <c r="AE11" s="482"/>
      <c r="AF11" s="482"/>
      <c r="AG11" s="482"/>
      <c r="AH11" s="482"/>
      <c r="AI11" s="482"/>
      <c r="AJ11" s="482">
        <f>+O11+P11+Q11+U11+V11+W11+AA11+AB11+AC11+AG11+AH11+AI11</f>
        <v>15933</v>
      </c>
      <c r="AK11" s="482">
        <v>15933</v>
      </c>
      <c r="AL11" s="482"/>
      <c r="AM11" s="482"/>
      <c r="AN11" s="482"/>
      <c r="AO11" s="482"/>
      <c r="AP11" s="667" t="s">
        <v>223</v>
      </c>
      <c r="AQ11" s="667" t="s">
        <v>2206</v>
      </c>
      <c r="AR11" s="667"/>
    </row>
    <row r="12" spans="1:72" ht="94.5">
      <c r="A12" s="480" t="s">
        <v>285</v>
      </c>
      <c r="B12" s="480" t="s">
        <v>1515</v>
      </c>
      <c r="C12" s="666" t="s">
        <v>2207</v>
      </c>
      <c r="D12" s="670" t="s">
        <v>2208</v>
      </c>
      <c r="E12" s="481">
        <f>+L12+M12+N12+R12+S12+T12+X12+Y12+Z12+AD12+AE12+AF12</f>
        <v>100</v>
      </c>
      <c r="F12" s="480" t="s">
        <v>2209</v>
      </c>
      <c r="G12" s="669" t="s">
        <v>2210</v>
      </c>
      <c r="H12" s="669" t="s">
        <v>2211</v>
      </c>
      <c r="I12" s="481">
        <v>46</v>
      </c>
      <c r="J12" s="481"/>
      <c r="K12" s="481">
        <v>46</v>
      </c>
      <c r="L12" s="482">
        <v>2</v>
      </c>
      <c r="M12" s="482">
        <v>4</v>
      </c>
      <c r="N12" s="482">
        <v>8</v>
      </c>
      <c r="O12" s="482">
        <v>2133</v>
      </c>
      <c r="P12" s="482">
        <v>4266</v>
      </c>
      <c r="Q12" s="482">
        <v>8533</v>
      </c>
      <c r="R12" s="482">
        <v>8</v>
      </c>
      <c r="S12" s="482">
        <v>8</v>
      </c>
      <c r="T12" s="482">
        <v>10</v>
      </c>
      <c r="U12" s="482">
        <v>8533</v>
      </c>
      <c r="V12" s="482">
        <v>8533</v>
      </c>
      <c r="W12" s="482">
        <v>10666</v>
      </c>
      <c r="X12" s="482">
        <v>10</v>
      </c>
      <c r="Y12" s="482">
        <v>10</v>
      </c>
      <c r="Z12" s="482">
        <v>10</v>
      </c>
      <c r="AA12" s="482">
        <v>10666</v>
      </c>
      <c r="AB12" s="482">
        <v>10666</v>
      </c>
      <c r="AC12" s="482">
        <v>10666</v>
      </c>
      <c r="AD12" s="482">
        <v>10</v>
      </c>
      <c r="AE12" s="482">
        <v>10</v>
      </c>
      <c r="AF12" s="482">
        <v>10</v>
      </c>
      <c r="AG12" s="482">
        <v>10666</v>
      </c>
      <c r="AH12" s="482">
        <v>10666</v>
      </c>
      <c r="AI12" s="482">
        <v>10666</v>
      </c>
      <c r="AJ12" s="482">
        <f>+O12+P12+Q12+U12+V12+W12+AA12+AB12+AC12+AG12+AH12+AI12</f>
        <v>106660</v>
      </c>
      <c r="AK12" s="482">
        <v>106660</v>
      </c>
      <c r="AL12" s="482"/>
      <c r="AM12" s="482"/>
      <c r="AN12" s="482"/>
      <c r="AO12" s="482"/>
      <c r="AP12" s="667" t="s">
        <v>223</v>
      </c>
      <c r="AQ12" s="667" t="s">
        <v>2206</v>
      </c>
      <c r="AR12" s="667"/>
    </row>
    <row r="13" spans="1:72" ht="126">
      <c r="A13" s="480" t="s">
        <v>285</v>
      </c>
      <c r="B13" s="480" t="s">
        <v>1515</v>
      </c>
      <c r="C13" s="666" t="s">
        <v>2212</v>
      </c>
      <c r="D13" s="670" t="s">
        <v>2213</v>
      </c>
      <c r="E13" s="481">
        <f>+L13+M13+N13+R13+S13+T13+X13+Y13+Z13+AD13+AE13+AF13</f>
        <v>100</v>
      </c>
      <c r="F13" s="480" t="s">
        <v>2214</v>
      </c>
      <c r="G13" s="667" t="s">
        <v>2215</v>
      </c>
      <c r="H13" s="669" t="s">
        <v>2216</v>
      </c>
      <c r="I13" s="481">
        <v>47</v>
      </c>
      <c r="J13" s="481"/>
      <c r="K13" s="481">
        <v>47</v>
      </c>
      <c r="L13" s="482"/>
      <c r="M13" s="482">
        <v>5</v>
      </c>
      <c r="N13" s="482">
        <v>5</v>
      </c>
      <c r="O13" s="482"/>
      <c r="P13" s="482">
        <v>5333</v>
      </c>
      <c r="Q13" s="482">
        <v>5333</v>
      </c>
      <c r="R13" s="482">
        <v>10</v>
      </c>
      <c r="S13" s="482">
        <v>10</v>
      </c>
      <c r="T13" s="482">
        <v>10</v>
      </c>
      <c r="U13" s="482">
        <v>10666</v>
      </c>
      <c r="V13" s="482">
        <v>10666</v>
      </c>
      <c r="W13" s="482">
        <v>10666</v>
      </c>
      <c r="X13" s="482">
        <v>10</v>
      </c>
      <c r="Y13" s="482">
        <v>10</v>
      </c>
      <c r="Z13" s="482">
        <v>10</v>
      </c>
      <c r="AA13" s="482">
        <v>10666</v>
      </c>
      <c r="AB13" s="482">
        <v>10666</v>
      </c>
      <c r="AC13" s="482">
        <v>10666</v>
      </c>
      <c r="AD13" s="482">
        <v>10</v>
      </c>
      <c r="AE13" s="482">
        <v>10</v>
      </c>
      <c r="AF13" s="482">
        <v>10</v>
      </c>
      <c r="AG13" s="482">
        <v>10666</v>
      </c>
      <c r="AH13" s="482">
        <v>10666</v>
      </c>
      <c r="AI13" s="482">
        <v>10667</v>
      </c>
      <c r="AJ13" s="482">
        <f>+O13+P13+Q13+U13+V13+W13+AA13+AB13+AC13+AG13+AH13+AI13</f>
        <v>106661</v>
      </c>
      <c r="AK13" s="482">
        <v>106661</v>
      </c>
      <c r="AL13" s="482"/>
      <c r="AM13" s="482"/>
      <c r="AN13" s="482"/>
      <c r="AO13" s="482"/>
      <c r="AP13" s="667" t="s">
        <v>223</v>
      </c>
      <c r="AQ13" s="667" t="s">
        <v>2217</v>
      </c>
      <c r="AR13" s="667"/>
    </row>
    <row r="14" spans="1:72">
      <c r="A14" s="671"/>
      <c r="B14" s="672"/>
      <c r="C14" s="672"/>
      <c r="D14" s="671"/>
      <c r="E14" s="671"/>
      <c r="F14" s="671"/>
      <c r="G14" s="671"/>
      <c r="H14" s="671"/>
      <c r="I14" s="671"/>
      <c r="J14" s="671"/>
      <c r="K14" s="671"/>
      <c r="L14" s="671"/>
      <c r="M14" s="671"/>
      <c r="N14" s="671"/>
      <c r="O14" s="673">
        <f>SUM(O11:O13)</f>
        <v>18066</v>
      </c>
      <c r="P14" s="673">
        <f>SUM(P12:P13)</f>
        <v>9599</v>
      </c>
      <c r="Q14" s="673">
        <f>SUM(Q12:Q13)</f>
        <v>13866</v>
      </c>
      <c r="R14" s="673"/>
      <c r="S14" s="674"/>
      <c r="T14" s="674"/>
      <c r="U14" s="673">
        <f>SUM(U12:U13)</f>
        <v>19199</v>
      </c>
      <c r="V14" s="673">
        <f>SUM(V12:V13)</f>
        <v>19199</v>
      </c>
      <c r="W14" s="673">
        <f>SUM(W12:W13)</f>
        <v>21332</v>
      </c>
      <c r="X14" s="671"/>
      <c r="Y14" s="671"/>
      <c r="Z14" s="671"/>
      <c r="AA14" s="673">
        <f>SUM(AA12:AA13)</f>
        <v>21332</v>
      </c>
      <c r="AB14" s="673">
        <f>SUM(AB12:AB13)</f>
        <v>21332</v>
      </c>
      <c r="AC14" s="673">
        <f>SUM(AC12:AC13)</f>
        <v>21332</v>
      </c>
      <c r="AD14" s="671"/>
      <c r="AE14" s="671"/>
      <c r="AF14" s="671"/>
      <c r="AG14" s="673">
        <f>SUM(AG12:AG13)</f>
        <v>21332</v>
      </c>
      <c r="AH14" s="673">
        <f>SUM(AH12:AH13)</f>
        <v>21332</v>
      </c>
      <c r="AI14" s="673">
        <f>SUM(AI12:AI13)</f>
        <v>21333</v>
      </c>
      <c r="AJ14" s="673">
        <f>SUM(AJ11:AJ13)</f>
        <v>229254</v>
      </c>
      <c r="AK14" s="673">
        <f>SUM(AK11:AK13)</f>
        <v>229254</v>
      </c>
      <c r="AL14" s="671"/>
      <c r="AM14" s="671"/>
      <c r="AN14" s="671"/>
      <c r="AO14" s="671"/>
      <c r="AP14" s="671"/>
      <c r="AQ14" s="671"/>
      <c r="AR14" s="671"/>
    </row>
  </sheetData>
  <mergeCells count="37">
    <mergeCell ref="A1:AR1"/>
    <mergeCell ref="A2:AR2"/>
    <mergeCell ref="A6:C6"/>
    <mergeCell ref="D6:D9"/>
    <mergeCell ref="E6:E9"/>
    <mergeCell ref="F6:F9"/>
    <mergeCell ref="G6:G9"/>
    <mergeCell ref="H6:H9"/>
    <mergeCell ref="I6:I9"/>
    <mergeCell ref="J6:J9"/>
    <mergeCell ref="AK6:AO6"/>
    <mergeCell ref="AP6:AP9"/>
    <mergeCell ref="AQ6:AQ9"/>
    <mergeCell ref="AR6:AR9"/>
    <mergeCell ref="AD7:AI7"/>
    <mergeCell ref="AJ7:AJ9"/>
    <mergeCell ref="A7:A9"/>
    <mergeCell ref="B7:B9"/>
    <mergeCell ref="C7:C9"/>
    <mergeCell ref="L7:Q7"/>
    <mergeCell ref="R7:W7"/>
    <mergeCell ref="K6:K9"/>
    <mergeCell ref="L6:AJ6"/>
    <mergeCell ref="AG8:AI8"/>
    <mergeCell ref="AM7:AM9"/>
    <mergeCell ref="AN7:AN9"/>
    <mergeCell ref="AO7:AO9"/>
    <mergeCell ref="L8:N8"/>
    <mergeCell ref="O8:Q8"/>
    <mergeCell ref="R8:T8"/>
    <mergeCell ref="U8:W8"/>
    <mergeCell ref="X8:Z8"/>
    <mergeCell ref="AA8:AC8"/>
    <mergeCell ref="AD8:AF8"/>
    <mergeCell ref="X7:AC7"/>
    <mergeCell ref="AK7:AK9"/>
    <mergeCell ref="AL7:AL9"/>
  </mergeCells>
  <printOptions horizontalCentered="1"/>
  <pageMargins left="0.98425196850393704" right="0.78740157480314965" top="0.98425196850393704" bottom="0.78740157480314965" header="0" footer="0"/>
  <pageSetup paperSize="5" scale="44" orientation="landscape" r:id="rId1"/>
  <headerFooter alignWithMargins="0">
    <oddFooter>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AW28"/>
  <sheetViews>
    <sheetView showGridLines="0" view="pageBreakPreview" zoomScale="89" zoomScaleNormal="150" zoomScaleSheetLayoutView="89" zoomScalePageLayoutView="90" workbookViewId="0">
      <selection activeCell="E27" sqref="E27"/>
    </sheetView>
  </sheetViews>
  <sheetFormatPr baseColWidth="10" defaultRowHeight="15.75"/>
  <cols>
    <col min="1" max="1" width="5.140625" style="433" bestFit="1" customWidth="1"/>
    <col min="2" max="2" width="11" style="433" customWidth="1"/>
    <col min="3" max="3" width="16.5703125" style="433" bestFit="1" customWidth="1"/>
    <col min="4" max="4" width="24.5703125" style="433" customWidth="1"/>
    <col min="5" max="5" width="7.5703125" style="433" bestFit="1" customWidth="1"/>
    <col min="6" max="6" width="12.28515625" style="433" customWidth="1"/>
    <col min="7" max="7" width="25.28515625" style="433" customWidth="1"/>
    <col min="8" max="8" width="21.85546875" style="433" customWidth="1"/>
    <col min="9" max="9" width="11.140625" style="433" customWidth="1"/>
    <col min="10" max="10" width="12" style="433" customWidth="1"/>
    <col min="11" max="11" width="12.42578125" style="433" customWidth="1"/>
    <col min="12" max="14" width="6.42578125" style="470" bestFit="1" customWidth="1"/>
    <col min="15" max="15" width="7.5703125" style="470" bestFit="1" customWidth="1"/>
    <col min="16" max="16" width="8.85546875" style="470" bestFit="1" customWidth="1"/>
    <col min="17" max="17" width="7.5703125" style="470" bestFit="1" customWidth="1"/>
    <col min="18" max="20" width="6.42578125" style="470" bestFit="1" customWidth="1"/>
    <col min="21" max="23" width="7.5703125" style="470" bestFit="1" customWidth="1"/>
    <col min="24" max="26" width="6.42578125" style="433" bestFit="1" customWidth="1"/>
    <col min="27" max="29" width="7.5703125" style="433" bestFit="1" customWidth="1"/>
    <col min="30" max="32" width="6.42578125" style="433" bestFit="1" customWidth="1"/>
    <col min="33" max="35" width="7.5703125" style="433" bestFit="1" customWidth="1"/>
    <col min="36" max="36" width="9.42578125" style="433" customWidth="1"/>
    <col min="37" max="37" width="8.85546875" style="470" customWidth="1"/>
    <col min="38" max="38" width="6.5703125" style="433" customWidth="1"/>
    <col min="39" max="39" width="8.140625" style="433" customWidth="1"/>
    <col min="40" max="40" width="8.28515625" style="433" customWidth="1"/>
    <col min="41" max="41" width="5.140625" style="433" customWidth="1"/>
    <col min="42" max="42" width="12.7109375" style="433" customWidth="1"/>
    <col min="43" max="43" width="14.140625" style="433" customWidth="1"/>
    <col min="44" max="44" width="13.140625" style="433" customWidth="1"/>
    <col min="45" max="45" width="11.85546875" style="433" bestFit="1" customWidth="1"/>
    <col min="46" max="46" width="2.42578125" style="433" bestFit="1" customWidth="1"/>
    <col min="47" max="47" width="7.5703125" style="433" bestFit="1" customWidth="1"/>
    <col min="48" max="48" width="9.140625" style="433" bestFit="1" customWidth="1"/>
    <col min="49" max="256" width="11.42578125" style="433"/>
    <col min="257" max="257" width="5.140625" style="433" bestFit="1" customWidth="1"/>
    <col min="258" max="258" width="8.140625" style="433" bestFit="1" customWidth="1"/>
    <col min="259" max="259" width="16.5703125" style="433" bestFit="1" customWidth="1"/>
    <col min="260" max="260" width="24.5703125" style="433" customWidth="1"/>
    <col min="261" max="261" width="7.5703125" style="433" bestFit="1" customWidth="1"/>
    <col min="262" max="262" width="12.28515625" style="433" customWidth="1"/>
    <col min="263" max="263" width="25.28515625" style="433" customWidth="1"/>
    <col min="264" max="264" width="21.85546875" style="433" customWidth="1"/>
    <col min="265" max="265" width="11.140625" style="433" customWidth="1"/>
    <col min="266" max="266" width="12" style="433" customWidth="1"/>
    <col min="267" max="267" width="11.28515625" style="433" customWidth="1"/>
    <col min="268" max="270" width="6.42578125" style="433" bestFit="1" customWidth="1"/>
    <col min="271" max="271" width="7.5703125" style="433" bestFit="1" customWidth="1"/>
    <col min="272" max="272" width="8.85546875" style="433" bestFit="1" customWidth="1"/>
    <col min="273" max="273" width="7.5703125" style="433" bestFit="1" customWidth="1"/>
    <col min="274" max="276" width="6.42578125" style="433" bestFit="1" customWidth="1"/>
    <col min="277" max="279" width="7.5703125" style="433" bestFit="1" customWidth="1"/>
    <col min="280" max="282" width="6.42578125" style="433" bestFit="1" customWidth="1"/>
    <col min="283" max="285" width="7.5703125" style="433" bestFit="1" customWidth="1"/>
    <col min="286" max="288" width="6.42578125" style="433" bestFit="1" customWidth="1"/>
    <col min="289" max="291" width="7.5703125" style="433" bestFit="1" customWidth="1"/>
    <col min="292" max="292" width="9.42578125" style="433" customWidth="1"/>
    <col min="293" max="293" width="8.85546875" style="433" customWidth="1"/>
    <col min="294" max="294" width="6.5703125" style="433" customWidth="1"/>
    <col min="295" max="295" width="8.140625" style="433" customWidth="1"/>
    <col min="296" max="296" width="8.28515625" style="433" customWidth="1"/>
    <col min="297" max="297" width="5.140625" style="433" customWidth="1"/>
    <col min="298" max="298" width="12.7109375" style="433" customWidth="1"/>
    <col min="299" max="299" width="14.140625" style="433" customWidth="1"/>
    <col min="300" max="300" width="13.140625" style="433" customWidth="1"/>
    <col min="301" max="301" width="11.85546875" style="433" bestFit="1" customWidth="1"/>
    <col min="302" max="302" width="2.42578125" style="433" bestFit="1" customWidth="1"/>
    <col min="303" max="303" width="7.5703125" style="433" bestFit="1" customWidth="1"/>
    <col min="304" max="304" width="9.140625" style="433" bestFit="1" customWidth="1"/>
    <col min="305" max="512" width="11.42578125" style="433"/>
    <col min="513" max="513" width="5.140625" style="433" bestFit="1" customWidth="1"/>
    <col min="514" max="514" width="8.140625" style="433" bestFit="1" customWidth="1"/>
    <col min="515" max="515" width="16.5703125" style="433" bestFit="1" customWidth="1"/>
    <col min="516" max="516" width="24.5703125" style="433" customWidth="1"/>
    <col min="517" max="517" width="7.5703125" style="433" bestFit="1" customWidth="1"/>
    <col min="518" max="518" width="12.28515625" style="433" customWidth="1"/>
    <col min="519" max="519" width="25.28515625" style="433" customWidth="1"/>
    <col min="520" max="520" width="21.85546875" style="433" customWidth="1"/>
    <col min="521" max="521" width="11.140625" style="433" customWidth="1"/>
    <col min="522" max="522" width="12" style="433" customWidth="1"/>
    <col min="523" max="523" width="11.28515625" style="433" customWidth="1"/>
    <col min="524" max="526" width="6.42578125" style="433" bestFit="1" customWidth="1"/>
    <col min="527" max="527" width="7.5703125" style="433" bestFit="1" customWidth="1"/>
    <col min="528" max="528" width="8.85546875" style="433" bestFit="1" customWidth="1"/>
    <col min="529" max="529" width="7.5703125" style="433" bestFit="1" customWidth="1"/>
    <col min="530" max="532" width="6.42578125" style="433" bestFit="1" customWidth="1"/>
    <col min="533" max="535" width="7.5703125" style="433" bestFit="1" customWidth="1"/>
    <col min="536" max="538" width="6.42578125" style="433" bestFit="1" customWidth="1"/>
    <col min="539" max="541" width="7.5703125" style="433" bestFit="1" customWidth="1"/>
    <col min="542" max="544" width="6.42578125" style="433" bestFit="1" customWidth="1"/>
    <col min="545" max="547" width="7.5703125" style="433" bestFit="1" customWidth="1"/>
    <col min="548" max="548" width="9.42578125" style="433" customWidth="1"/>
    <col min="549" max="549" width="8.85546875" style="433" customWidth="1"/>
    <col min="550" max="550" width="6.5703125" style="433" customWidth="1"/>
    <col min="551" max="551" width="8.140625" style="433" customWidth="1"/>
    <col min="552" max="552" width="8.28515625" style="433" customWidth="1"/>
    <col min="553" max="553" width="5.140625" style="433" customWidth="1"/>
    <col min="554" max="554" width="12.7109375" style="433" customWidth="1"/>
    <col min="555" max="555" width="14.140625" style="433" customWidth="1"/>
    <col min="556" max="556" width="13.140625" style="433" customWidth="1"/>
    <col min="557" max="557" width="11.85546875" style="433" bestFit="1" customWidth="1"/>
    <col min="558" max="558" width="2.42578125" style="433" bestFit="1" customWidth="1"/>
    <col min="559" max="559" width="7.5703125" style="433" bestFit="1" customWidth="1"/>
    <col min="560" max="560" width="9.140625" style="433" bestFit="1" customWidth="1"/>
    <col min="561" max="768" width="11.42578125" style="433"/>
    <col min="769" max="769" width="5.140625" style="433" bestFit="1" customWidth="1"/>
    <col min="770" max="770" width="8.140625" style="433" bestFit="1" customWidth="1"/>
    <col min="771" max="771" width="16.5703125" style="433" bestFit="1" customWidth="1"/>
    <col min="772" max="772" width="24.5703125" style="433" customWidth="1"/>
    <col min="773" max="773" width="7.5703125" style="433" bestFit="1" customWidth="1"/>
    <col min="774" max="774" width="12.28515625" style="433" customWidth="1"/>
    <col min="775" max="775" width="25.28515625" style="433" customWidth="1"/>
    <col min="776" max="776" width="21.85546875" style="433" customWidth="1"/>
    <col min="777" max="777" width="11.140625" style="433" customWidth="1"/>
    <col min="778" max="778" width="12" style="433" customWidth="1"/>
    <col min="779" max="779" width="11.28515625" style="433" customWidth="1"/>
    <col min="780" max="782" width="6.42578125" style="433" bestFit="1" customWidth="1"/>
    <col min="783" max="783" width="7.5703125" style="433" bestFit="1" customWidth="1"/>
    <col min="784" max="784" width="8.85546875" style="433" bestFit="1" customWidth="1"/>
    <col min="785" max="785" width="7.5703125" style="433" bestFit="1" customWidth="1"/>
    <col min="786" max="788" width="6.42578125" style="433" bestFit="1" customWidth="1"/>
    <col min="789" max="791" width="7.5703125" style="433" bestFit="1" customWidth="1"/>
    <col min="792" max="794" width="6.42578125" style="433" bestFit="1" customWidth="1"/>
    <col min="795" max="797" width="7.5703125" style="433" bestFit="1" customWidth="1"/>
    <col min="798" max="800" width="6.42578125" style="433" bestFit="1" customWidth="1"/>
    <col min="801" max="803" width="7.5703125" style="433" bestFit="1" customWidth="1"/>
    <col min="804" max="804" width="9.42578125" style="433" customWidth="1"/>
    <col min="805" max="805" width="8.85546875" style="433" customWidth="1"/>
    <col min="806" max="806" width="6.5703125" style="433" customWidth="1"/>
    <col min="807" max="807" width="8.140625" style="433" customWidth="1"/>
    <col min="808" max="808" width="8.28515625" style="433" customWidth="1"/>
    <col min="809" max="809" width="5.140625" style="433" customWidth="1"/>
    <col min="810" max="810" width="12.7109375" style="433" customWidth="1"/>
    <col min="811" max="811" width="14.140625" style="433" customWidth="1"/>
    <col min="812" max="812" width="13.140625" style="433" customWidth="1"/>
    <col min="813" max="813" width="11.85546875" style="433" bestFit="1" customWidth="1"/>
    <col min="814" max="814" width="2.42578125" style="433" bestFit="1" customWidth="1"/>
    <col min="815" max="815" width="7.5703125" style="433" bestFit="1" customWidth="1"/>
    <col min="816" max="816" width="9.140625" style="433" bestFit="1" customWidth="1"/>
    <col min="817" max="1024" width="11.42578125" style="433"/>
    <col min="1025" max="1025" width="5.140625" style="433" bestFit="1" customWidth="1"/>
    <col min="1026" max="1026" width="8.140625" style="433" bestFit="1" customWidth="1"/>
    <col min="1027" max="1027" width="16.5703125" style="433" bestFit="1" customWidth="1"/>
    <col min="1028" max="1028" width="24.5703125" style="433" customWidth="1"/>
    <col min="1029" max="1029" width="7.5703125" style="433" bestFit="1" customWidth="1"/>
    <col min="1030" max="1030" width="12.28515625" style="433" customWidth="1"/>
    <col min="1031" max="1031" width="25.28515625" style="433" customWidth="1"/>
    <col min="1032" max="1032" width="21.85546875" style="433" customWidth="1"/>
    <col min="1033" max="1033" width="11.140625" style="433" customWidth="1"/>
    <col min="1034" max="1034" width="12" style="433" customWidth="1"/>
    <col min="1035" max="1035" width="11.28515625" style="433" customWidth="1"/>
    <col min="1036" max="1038" width="6.42578125" style="433" bestFit="1" customWidth="1"/>
    <col min="1039" max="1039" width="7.5703125" style="433" bestFit="1" customWidth="1"/>
    <col min="1040" max="1040" width="8.85546875" style="433" bestFit="1" customWidth="1"/>
    <col min="1041" max="1041" width="7.5703125" style="433" bestFit="1" customWidth="1"/>
    <col min="1042" max="1044" width="6.42578125" style="433" bestFit="1" customWidth="1"/>
    <col min="1045" max="1047" width="7.5703125" style="433" bestFit="1" customWidth="1"/>
    <col min="1048" max="1050" width="6.42578125" style="433" bestFit="1" customWidth="1"/>
    <col min="1051" max="1053" width="7.5703125" style="433" bestFit="1" customWidth="1"/>
    <col min="1054" max="1056" width="6.42578125" style="433" bestFit="1" customWidth="1"/>
    <col min="1057" max="1059" width="7.5703125" style="433" bestFit="1" customWidth="1"/>
    <col min="1060" max="1060" width="9.42578125" style="433" customWidth="1"/>
    <col min="1061" max="1061" width="8.85546875" style="433" customWidth="1"/>
    <col min="1062" max="1062" width="6.5703125" style="433" customWidth="1"/>
    <col min="1063" max="1063" width="8.140625" style="433" customWidth="1"/>
    <col min="1064" max="1064" width="8.28515625" style="433" customWidth="1"/>
    <col min="1065" max="1065" width="5.140625" style="433" customWidth="1"/>
    <col min="1066" max="1066" width="12.7109375" style="433" customWidth="1"/>
    <col min="1067" max="1067" width="14.140625" style="433" customWidth="1"/>
    <col min="1068" max="1068" width="13.140625" style="433" customWidth="1"/>
    <col min="1069" max="1069" width="11.85546875" style="433" bestFit="1" customWidth="1"/>
    <col min="1070" max="1070" width="2.42578125" style="433" bestFit="1" customWidth="1"/>
    <col min="1071" max="1071" width="7.5703125" style="433" bestFit="1" customWidth="1"/>
    <col min="1072" max="1072" width="9.140625" style="433" bestFit="1" customWidth="1"/>
    <col min="1073" max="1280" width="11.42578125" style="433"/>
    <col min="1281" max="1281" width="5.140625" style="433" bestFit="1" customWidth="1"/>
    <col min="1282" max="1282" width="8.140625" style="433" bestFit="1" customWidth="1"/>
    <col min="1283" max="1283" width="16.5703125" style="433" bestFit="1" customWidth="1"/>
    <col min="1284" max="1284" width="24.5703125" style="433" customWidth="1"/>
    <col min="1285" max="1285" width="7.5703125" style="433" bestFit="1" customWidth="1"/>
    <col min="1286" max="1286" width="12.28515625" style="433" customWidth="1"/>
    <col min="1287" max="1287" width="25.28515625" style="433" customWidth="1"/>
    <col min="1288" max="1288" width="21.85546875" style="433" customWidth="1"/>
    <col min="1289" max="1289" width="11.140625" style="433" customWidth="1"/>
    <col min="1290" max="1290" width="12" style="433" customWidth="1"/>
    <col min="1291" max="1291" width="11.28515625" style="433" customWidth="1"/>
    <col min="1292" max="1294" width="6.42578125" style="433" bestFit="1" customWidth="1"/>
    <col min="1295" max="1295" width="7.5703125" style="433" bestFit="1" customWidth="1"/>
    <col min="1296" max="1296" width="8.85546875" style="433" bestFit="1" customWidth="1"/>
    <col min="1297" max="1297" width="7.5703125" style="433" bestFit="1" customWidth="1"/>
    <col min="1298" max="1300" width="6.42578125" style="433" bestFit="1" customWidth="1"/>
    <col min="1301" max="1303" width="7.5703125" style="433" bestFit="1" customWidth="1"/>
    <col min="1304" max="1306" width="6.42578125" style="433" bestFit="1" customWidth="1"/>
    <col min="1307" max="1309" width="7.5703125" style="433" bestFit="1" customWidth="1"/>
    <col min="1310" max="1312" width="6.42578125" style="433" bestFit="1" customWidth="1"/>
    <col min="1313" max="1315" width="7.5703125" style="433" bestFit="1" customWidth="1"/>
    <col min="1316" max="1316" width="9.42578125" style="433" customWidth="1"/>
    <col min="1317" max="1317" width="8.85546875" style="433" customWidth="1"/>
    <col min="1318" max="1318" width="6.5703125" style="433" customWidth="1"/>
    <col min="1319" max="1319" width="8.140625" style="433" customWidth="1"/>
    <col min="1320" max="1320" width="8.28515625" style="433" customWidth="1"/>
    <col min="1321" max="1321" width="5.140625" style="433" customWidth="1"/>
    <col min="1322" max="1322" width="12.7109375" style="433" customWidth="1"/>
    <col min="1323" max="1323" width="14.140625" style="433" customWidth="1"/>
    <col min="1324" max="1324" width="13.140625" style="433" customWidth="1"/>
    <col min="1325" max="1325" width="11.85546875" style="433" bestFit="1" customWidth="1"/>
    <col min="1326" max="1326" width="2.42578125" style="433" bestFit="1" customWidth="1"/>
    <col min="1327" max="1327" width="7.5703125" style="433" bestFit="1" customWidth="1"/>
    <col min="1328" max="1328" width="9.140625" style="433" bestFit="1" customWidth="1"/>
    <col min="1329" max="1536" width="11.42578125" style="433"/>
    <col min="1537" max="1537" width="5.140625" style="433" bestFit="1" customWidth="1"/>
    <col min="1538" max="1538" width="8.140625" style="433" bestFit="1" customWidth="1"/>
    <col min="1539" max="1539" width="16.5703125" style="433" bestFit="1" customWidth="1"/>
    <col min="1540" max="1540" width="24.5703125" style="433" customWidth="1"/>
    <col min="1541" max="1541" width="7.5703125" style="433" bestFit="1" customWidth="1"/>
    <col min="1542" max="1542" width="12.28515625" style="433" customWidth="1"/>
    <col min="1543" max="1543" width="25.28515625" style="433" customWidth="1"/>
    <col min="1544" max="1544" width="21.85546875" style="433" customWidth="1"/>
    <col min="1545" max="1545" width="11.140625" style="433" customWidth="1"/>
    <col min="1546" max="1546" width="12" style="433" customWidth="1"/>
    <col min="1547" max="1547" width="11.28515625" style="433" customWidth="1"/>
    <col min="1548" max="1550" width="6.42578125" style="433" bestFit="1" customWidth="1"/>
    <col min="1551" max="1551" width="7.5703125" style="433" bestFit="1" customWidth="1"/>
    <col min="1552" max="1552" width="8.85546875" style="433" bestFit="1" customWidth="1"/>
    <col min="1553" max="1553" width="7.5703125" style="433" bestFit="1" customWidth="1"/>
    <col min="1554" max="1556" width="6.42578125" style="433" bestFit="1" customWidth="1"/>
    <col min="1557" max="1559" width="7.5703125" style="433" bestFit="1" customWidth="1"/>
    <col min="1560" max="1562" width="6.42578125" style="433" bestFit="1" customWidth="1"/>
    <col min="1563" max="1565" width="7.5703125" style="433" bestFit="1" customWidth="1"/>
    <col min="1566" max="1568" width="6.42578125" style="433" bestFit="1" customWidth="1"/>
    <col min="1569" max="1571" width="7.5703125" style="433" bestFit="1" customWidth="1"/>
    <col min="1572" max="1572" width="9.42578125" style="433" customWidth="1"/>
    <col min="1573" max="1573" width="8.85546875" style="433" customWidth="1"/>
    <col min="1574" max="1574" width="6.5703125" style="433" customWidth="1"/>
    <col min="1575" max="1575" width="8.140625" style="433" customWidth="1"/>
    <col min="1576" max="1576" width="8.28515625" style="433" customWidth="1"/>
    <col min="1577" max="1577" width="5.140625" style="433" customWidth="1"/>
    <col min="1578" max="1578" width="12.7109375" style="433" customWidth="1"/>
    <col min="1579" max="1579" width="14.140625" style="433" customWidth="1"/>
    <col min="1580" max="1580" width="13.140625" style="433" customWidth="1"/>
    <col min="1581" max="1581" width="11.85546875" style="433" bestFit="1" customWidth="1"/>
    <col min="1582" max="1582" width="2.42578125" style="433" bestFit="1" customWidth="1"/>
    <col min="1583" max="1583" width="7.5703125" style="433" bestFit="1" customWidth="1"/>
    <col min="1584" max="1584" width="9.140625" style="433" bestFit="1" customWidth="1"/>
    <col min="1585" max="1792" width="11.42578125" style="433"/>
    <col min="1793" max="1793" width="5.140625" style="433" bestFit="1" customWidth="1"/>
    <col min="1794" max="1794" width="8.140625" style="433" bestFit="1" customWidth="1"/>
    <col min="1795" max="1795" width="16.5703125" style="433" bestFit="1" customWidth="1"/>
    <col min="1796" max="1796" width="24.5703125" style="433" customWidth="1"/>
    <col min="1797" max="1797" width="7.5703125" style="433" bestFit="1" customWidth="1"/>
    <col min="1798" max="1798" width="12.28515625" style="433" customWidth="1"/>
    <col min="1799" max="1799" width="25.28515625" style="433" customWidth="1"/>
    <col min="1800" max="1800" width="21.85546875" style="433" customWidth="1"/>
    <col min="1801" max="1801" width="11.140625" style="433" customWidth="1"/>
    <col min="1802" max="1802" width="12" style="433" customWidth="1"/>
    <col min="1803" max="1803" width="11.28515625" style="433" customWidth="1"/>
    <col min="1804" max="1806" width="6.42578125" style="433" bestFit="1" customWidth="1"/>
    <col min="1807" max="1807" width="7.5703125" style="433" bestFit="1" customWidth="1"/>
    <col min="1808" max="1808" width="8.85546875" style="433" bestFit="1" customWidth="1"/>
    <col min="1809" max="1809" width="7.5703125" style="433" bestFit="1" customWidth="1"/>
    <col min="1810" max="1812" width="6.42578125" style="433" bestFit="1" customWidth="1"/>
    <col min="1813" max="1815" width="7.5703125" style="433" bestFit="1" customWidth="1"/>
    <col min="1816" max="1818" width="6.42578125" style="433" bestFit="1" customWidth="1"/>
    <col min="1819" max="1821" width="7.5703125" style="433" bestFit="1" customWidth="1"/>
    <col min="1822" max="1824" width="6.42578125" style="433" bestFit="1" customWidth="1"/>
    <col min="1825" max="1827" width="7.5703125" style="433" bestFit="1" customWidth="1"/>
    <col min="1828" max="1828" width="9.42578125" style="433" customWidth="1"/>
    <col min="1829" max="1829" width="8.85546875" style="433" customWidth="1"/>
    <col min="1830" max="1830" width="6.5703125" style="433" customWidth="1"/>
    <col min="1831" max="1831" width="8.140625" style="433" customWidth="1"/>
    <col min="1832" max="1832" width="8.28515625" style="433" customWidth="1"/>
    <col min="1833" max="1833" width="5.140625" style="433" customWidth="1"/>
    <col min="1834" max="1834" width="12.7109375" style="433" customWidth="1"/>
    <col min="1835" max="1835" width="14.140625" style="433" customWidth="1"/>
    <col min="1836" max="1836" width="13.140625" style="433" customWidth="1"/>
    <col min="1837" max="1837" width="11.85546875" style="433" bestFit="1" customWidth="1"/>
    <col min="1838" max="1838" width="2.42578125" style="433" bestFit="1" customWidth="1"/>
    <col min="1839" max="1839" width="7.5703125" style="433" bestFit="1" customWidth="1"/>
    <col min="1840" max="1840" width="9.140625" style="433" bestFit="1" customWidth="1"/>
    <col min="1841" max="2048" width="11.42578125" style="433"/>
    <col min="2049" max="2049" width="5.140625" style="433" bestFit="1" customWidth="1"/>
    <col min="2050" max="2050" width="8.140625" style="433" bestFit="1" customWidth="1"/>
    <col min="2051" max="2051" width="16.5703125" style="433" bestFit="1" customWidth="1"/>
    <col min="2052" max="2052" width="24.5703125" style="433" customWidth="1"/>
    <col min="2053" max="2053" width="7.5703125" style="433" bestFit="1" customWidth="1"/>
    <col min="2054" max="2054" width="12.28515625" style="433" customWidth="1"/>
    <col min="2055" max="2055" width="25.28515625" style="433" customWidth="1"/>
    <col min="2056" max="2056" width="21.85546875" style="433" customWidth="1"/>
    <col min="2057" max="2057" width="11.140625" style="433" customWidth="1"/>
    <col min="2058" max="2058" width="12" style="433" customWidth="1"/>
    <col min="2059" max="2059" width="11.28515625" style="433" customWidth="1"/>
    <col min="2060" max="2062" width="6.42578125" style="433" bestFit="1" customWidth="1"/>
    <col min="2063" max="2063" width="7.5703125" style="433" bestFit="1" customWidth="1"/>
    <col min="2064" max="2064" width="8.85546875" style="433" bestFit="1" customWidth="1"/>
    <col min="2065" max="2065" width="7.5703125" style="433" bestFit="1" customWidth="1"/>
    <col min="2066" max="2068" width="6.42578125" style="433" bestFit="1" customWidth="1"/>
    <col min="2069" max="2071" width="7.5703125" style="433" bestFit="1" customWidth="1"/>
    <col min="2072" max="2074" width="6.42578125" style="433" bestFit="1" customWidth="1"/>
    <col min="2075" max="2077" width="7.5703125" style="433" bestFit="1" customWidth="1"/>
    <col min="2078" max="2080" width="6.42578125" style="433" bestFit="1" customWidth="1"/>
    <col min="2081" max="2083" width="7.5703125" style="433" bestFit="1" customWidth="1"/>
    <col min="2084" max="2084" width="9.42578125" style="433" customWidth="1"/>
    <col min="2085" max="2085" width="8.85546875" style="433" customWidth="1"/>
    <col min="2086" max="2086" width="6.5703125" style="433" customWidth="1"/>
    <col min="2087" max="2087" width="8.140625" style="433" customWidth="1"/>
    <col min="2088" max="2088" width="8.28515625" style="433" customWidth="1"/>
    <col min="2089" max="2089" width="5.140625" style="433" customWidth="1"/>
    <col min="2090" max="2090" width="12.7109375" style="433" customWidth="1"/>
    <col min="2091" max="2091" width="14.140625" style="433" customWidth="1"/>
    <col min="2092" max="2092" width="13.140625" style="433" customWidth="1"/>
    <col min="2093" max="2093" width="11.85546875" style="433" bestFit="1" customWidth="1"/>
    <col min="2094" max="2094" width="2.42578125" style="433" bestFit="1" customWidth="1"/>
    <col min="2095" max="2095" width="7.5703125" style="433" bestFit="1" customWidth="1"/>
    <col min="2096" max="2096" width="9.140625" style="433" bestFit="1" customWidth="1"/>
    <col min="2097" max="2304" width="11.42578125" style="433"/>
    <col min="2305" max="2305" width="5.140625" style="433" bestFit="1" customWidth="1"/>
    <col min="2306" max="2306" width="8.140625" style="433" bestFit="1" customWidth="1"/>
    <col min="2307" max="2307" width="16.5703125" style="433" bestFit="1" customWidth="1"/>
    <col min="2308" max="2308" width="24.5703125" style="433" customWidth="1"/>
    <col min="2309" max="2309" width="7.5703125" style="433" bestFit="1" customWidth="1"/>
    <col min="2310" max="2310" width="12.28515625" style="433" customWidth="1"/>
    <col min="2311" max="2311" width="25.28515625" style="433" customWidth="1"/>
    <col min="2312" max="2312" width="21.85546875" style="433" customWidth="1"/>
    <col min="2313" max="2313" width="11.140625" style="433" customWidth="1"/>
    <col min="2314" max="2314" width="12" style="433" customWidth="1"/>
    <col min="2315" max="2315" width="11.28515625" style="433" customWidth="1"/>
    <col min="2316" max="2318" width="6.42578125" style="433" bestFit="1" customWidth="1"/>
    <col min="2319" max="2319" width="7.5703125" style="433" bestFit="1" customWidth="1"/>
    <col min="2320" max="2320" width="8.85546875" style="433" bestFit="1" customWidth="1"/>
    <col min="2321" max="2321" width="7.5703125" style="433" bestFit="1" customWidth="1"/>
    <col min="2322" max="2324" width="6.42578125" style="433" bestFit="1" customWidth="1"/>
    <col min="2325" max="2327" width="7.5703125" style="433" bestFit="1" customWidth="1"/>
    <col min="2328" max="2330" width="6.42578125" style="433" bestFit="1" customWidth="1"/>
    <col min="2331" max="2333" width="7.5703125" style="433" bestFit="1" customWidth="1"/>
    <col min="2334" max="2336" width="6.42578125" style="433" bestFit="1" customWidth="1"/>
    <col min="2337" max="2339" width="7.5703125" style="433" bestFit="1" customWidth="1"/>
    <col min="2340" max="2340" width="9.42578125" style="433" customWidth="1"/>
    <col min="2341" max="2341" width="8.85546875" style="433" customWidth="1"/>
    <col min="2342" max="2342" width="6.5703125" style="433" customWidth="1"/>
    <col min="2343" max="2343" width="8.140625" style="433" customWidth="1"/>
    <col min="2344" max="2344" width="8.28515625" style="433" customWidth="1"/>
    <col min="2345" max="2345" width="5.140625" style="433" customWidth="1"/>
    <col min="2346" max="2346" width="12.7109375" style="433" customWidth="1"/>
    <col min="2347" max="2347" width="14.140625" style="433" customWidth="1"/>
    <col min="2348" max="2348" width="13.140625" style="433" customWidth="1"/>
    <col min="2349" max="2349" width="11.85546875" style="433" bestFit="1" customWidth="1"/>
    <col min="2350" max="2350" width="2.42578125" style="433" bestFit="1" customWidth="1"/>
    <col min="2351" max="2351" width="7.5703125" style="433" bestFit="1" customWidth="1"/>
    <col min="2352" max="2352" width="9.140625" style="433" bestFit="1" customWidth="1"/>
    <col min="2353" max="2560" width="11.42578125" style="433"/>
    <col min="2561" max="2561" width="5.140625" style="433" bestFit="1" customWidth="1"/>
    <col min="2562" max="2562" width="8.140625" style="433" bestFit="1" customWidth="1"/>
    <col min="2563" max="2563" width="16.5703125" style="433" bestFit="1" customWidth="1"/>
    <col min="2564" max="2564" width="24.5703125" style="433" customWidth="1"/>
    <col min="2565" max="2565" width="7.5703125" style="433" bestFit="1" customWidth="1"/>
    <col min="2566" max="2566" width="12.28515625" style="433" customWidth="1"/>
    <col min="2567" max="2567" width="25.28515625" style="433" customWidth="1"/>
    <col min="2568" max="2568" width="21.85546875" style="433" customWidth="1"/>
    <col min="2569" max="2569" width="11.140625" style="433" customWidth="1"/>
    <col min="2570" max="2570" width="12" style="433" customWidth="1"/>
    <col min="2571" max="2571" width="11.28515625" style="433" customWidth="1"/>
    <col min="2572" max="2574" width="6.42578125" style="433" bestFit="1" customWidth="1"/>
    <col min="2575" max="2575" width="7.5703125" style="433" bestFit="1" customWidth="1"/>
    <col min="2576" max="2576" width="8.85546875" style="433" bestFit="1" customWidth="1"/>
    <col min="2577" max="2577" width="7.5703125" style="433" bestFit="1" customWidth="1"/>
    <col min="2578" max="2580" width="6.42578125" style="433" bestFit="1" customWidth="1"/>
    <col min="2581" max="2583" width="7.5703125" style="433" bestFit="1" customWidth="1"/>
    <col min="2584" max="2586" width="6.42578125" style="433" bestFit="1" customWidth="1"/>
    <col min="2587" max="2589" width="7.5703125" style="433" bestFit="1" customWidth="1"/>
    <col min="2590" max="2592" width="6.42578125" style="433" bestFit="1" customWidth="1"/>
    <col min="2593" max="2595" width="7.5703125" style="433" bestFit="1" customWidth="1"/>
    <col min="2596" max="2596" width="9.42578125" style="433" customWidth="1"/>
    <col min="2597" max="2597" width="8.85546875" style="433" customWidth="1"/>
    <col min="2598" max="2598" width="6.5703125" style="433" customWidth="1"/>
    <col min="2599" max="2599" width="8.140625" style="433" customWidth="1"/>
    <col min="2600" max="2600" width="8.28515625" style="433" customWidth="1"/>
    <col min="2601" max="2601" width="5.140625" style="433" customWidth="1"/>
    <col min="2602" max="2602" width="12.7109375" style="433" customWidth="1"/>
    <col min="2603" max="2603" width="14.140625" style="433" customWidth="1"/>
    <col min="2604" max="2604" width="13.140625" style="433" customWidth="1"/>
    <col min="2605" max="2605" width="11.85546875" style="433" bestFit="1" customWidth="1"/>
    <col min="2606" max="2606" width="2.42578125" style="433" bestFit="1" customWidth="1"/>
    <col min="2607" max="2607" width="7.5703125" style="433" bestFit="1" customWidth="1"/>
    <col min="2608" max="2608" width="9.140625" style="433" bestFit="1" customWidth="1"/>
    <col min="2609" max="2816" width="11.42578125" style="433"/>
    <col min="2817" max="2817" width="5.140625" style="433" bestFit="1" customWidth="1"/>
    <col min="2818" max="2818" width="8.140625" style="433" bestFit="1" customWidth="1"/>
    <col min="2819" max="2819" width="16.5703125" style="433" bestFit="1" customWidth="1"/>
    <col min="2820" max="2820" width="24.5703125" style="433" customWidth="1"/>
    <col min="2821" max="2821" width="7.5703125" style="433" bestFit="1" customWidth="1"/>
    <col min="2822" max="2822" width="12.28515625" style="433" customWidth="1"/>
    <col min="2823" max="2823" width="25.28515625" style="433" customWidth="1"/>
    <col min="2824" max="2824" width="21.85546875" style="433" customWidth="1"/>
    <col min="2825" max="2825" width="11.140625" style="433" customWidth="1"/>
    <col min="2826" max="2826" width="12" style="433" customWidth="1"/>
    <col min="2827" max="2827" width="11.28515625" style="433" customWidth="1"/>
    <col min="2828" max="2830" width="6.42578125" style="433" bestFit="1" customWidth="1"/>
    <col min="2831" max="2831" width="7.5703125" style="433" bestFit="1" customWidth="1"/>
    <col min="2832" max="2832" width="8.85546875" style="433" bestFit="1" customWidth="1"/>
    <col min="2833" max="2833" width="7.5703125" style="433" bestFit="1" customWidth="1"/>
    <col min="2834" max="2836" width="6.42578125" style="433" bestFit="1" customWidth="1"/>
    <col min="2837" max="2839" width="7.5703125" style="433" bestFit="1" customWidth="1"/>
    <col min="2840" max="2842" width="6.42578125" style="433" bestFit="1" customWidth="1"/>
    <col min="2843" max="2845" width="7.5703125" style="433" bestFit="1" customWidth="1"/>
    <col min="2846" max="2848" width="6.42578125" style="433" bestFit="1" customWidth="1"/>
    <col min="2849" max="2851" width="7.5703125" style="433" bestFit="1" customWidth="1"/>
    <col min="2852" max="2852" width="9.42578125" style="433" customWidth="1"/>
    <col min="2853" max="2853" width="8.85546875" style="433" customWidth="1"/>
    <col min="2854" max="2854" width="6.5703125" style="433" customWidth="1"/>
    <col min="2855" max="2855" width="8.140625" style="433" customWidth="1"/>
    <col min="2856" max="2856" width="8.28515625" style="433" customWidth="1"/>
    <col min="2857" max="2857" width="5.140625" style="433" customWidth="1"/>
    <col min="2858" max="2858" width="12.7109375" style="433" customWidth="1"/>
    <col min="2859" max="2859" width="14.140625" style="433" customWidth="1"/>
    <col min="2860" max="2860" width="13.140625" style="433" customWidth="1"/>
    <col min="2861" max="2861" width="11.85546875" style="433" bestFit="1" customWidth="1"/>
    <col min="2862" max="2862" width="2.42578125" style="433" bestFit="1" customWidth="1"/>
    <col min="2863" max="2863" width="7.5703125" style="433" bestFit="1" customWidth="1"/>
    <col min="2864" max="2864" width="9.140625" style="433" bestFit="1" customWidth="1"/>
    <col min="2865" max="3072" width="11.42578125" style="433"/>
    <col min="3073" max="3073" width="5.140625" style="433" bestFit="1" customWidth="1"/>
    <col min="3074" max="3074" width="8.140625" style="433" bestFit="1" customWidth="1"/>
    <col min="3075" max="3075" width="16.5703125" style="433" bestFit="1" customWidth="1"/>
    <col min="3076" max="3076" width="24.5703125" style="433" customWidth="1"/>
    <col min="3077" max="3077" width="7.5703125" style="433" bestFit="1" customWidth="1"/>
    <col min="3078" max="3078" width="12.28515625" style="433" customWidth="1"/>
    <col min="3079" max="3079" width="25.28515625" style="433" customWidth="1"/>
    <col min="3080" max="3080" width="21.85546875" style="433" customWidth="1"/>
    <col min="3081" max="3081" width="11.140625" style="433" customWidth="1"/>
    <col min="3082" max="3082" width="12" style="433" customWidth="1"/>
    <col min="3083" max="3083" width="11.28515625" style="433" customWidth="1"/>
    <col min="3084" max="3086" width="6.42578125" style="433" bestFit="1" customWidth="1"/>
    <col min="3087" max="3087" width="7.5703125" style="433" bestFit="1" customWidth="1"/>
    <col min="3088" max="3088" width="8.85546875" style="433" bestFit="1" customWidth="1"/>
    <col min="3089" max="3089" width="7.5703125" style="433" bestFit="1" customWidth="1"/>
    <col min="3090" max="3092" width="6.42578125" style="433" bestFit="1" customWidth="1"/>
    <col min="3093" max="3095" width="7.5703125" style="433" bestFit="1" customWidth="1"/>
    <col min="3096" max="3098" width="6.42578125" style="433" bestFit="1" customWidth="1"/>
    <col min="3099" max="3101" width="7.5703125" style="433" bestFit="1" customWidth="1"/>
    <col min="3102" max="3104" width="6.42578125" style="433" bestFit="1" customWidth="1"/>
    <col min="3105" max="3107" width="7.5703125" style="433" bestFit="1" customWidth="1"/>
    <col min="3108" max="3108" width="9.42578125" style="433" customWidth="1"/>
    <col min="3109" max="3109" width="8.85546875" style="433" customWidth="1"/>
    <col min="3110" max="3110" width="6.5703125" style="433" customWidth="1"/>
    <col min="3111" max="3111" width="8.140625" style="433" customWidth="1"/>
    <col min="3112" max="3112" width="8.28515625" style="433" customWidth="1"/>
    <col min="3113" max="3113" width="5.140625" style="433" customWidth="1"/>
    <col min="3114" max="3114" width="12.7109375" style="433" customWidth="1"/>
    <col min="3115" max="3115" width="14.140625" style="433" customWidth="1"/>
    <col min="3116" max="3116" width="13.140625" style="433" customWidth="1"/>
    <col min="3117" max="3117" width="11.85546875" style="433" bestFit="1" customWidth="1"/>
    <col min="3118" max="3118" width="2.42578125" style="433" bestFit="1" customWidth="1"/>
    <col min="3119" max="3119" width="7.5703125" style="433" bestFit="1" customWidth="1"/>
    <col min="3120" max="3120" width="9.140625" style="433" bestFit="1" customWidth="1"/>
    <col min="3121" max="3328" width="11.42578125" style="433"/>
    <col min="3329" max="3329" width="5.140625" style="433" bestFit="1" customWidth="1"/>
    <col min="3330" max="3330" width="8.140625" style="433" bestFit="1" customWidth="1"/>
    <col min="3331" max="3331" width="16.5703125" style="433" bestFit="1" customWidth="1"/>
    <col min="3332" max="3332" width="24.5703125" style="433" customWidth="1"/>
    <col min="3333" max="3333" width="7.5703125" style="433" bestFit="1" customWidth="1"/>
    <col min="3334" max="3334" width="12.28515625" style="433" customWidth="1"/>
    <col min="3335" max="3335" width="25.28515625" style="433" customWidth="1"/>
    <col min="3336" max="3336" width="21.85546875" style="433" customWidth="1"/>
    <col min="3337" max="3337" width="11.140625" style="433" customWidth="1"/>
    <col min="3338" max="3338" width="12" style="433" customWidth="1"/>
    <col min="3339" max="3339" width="11.28515625" style="433" customWidth="1"/>
    <col min="3340" max="3342" width="6.42578125" style="433" bestFit="1" customWidth="1"/>
    <col min="3343" max="3343" width="7.5703125" style="433" bestFit="1" customWidth="1"/>
    <col min="3344" max="3344" width="8.85546875" style="433" bestFit="1" customWidth="1"/>
    <col min="3345" max="3345" width="7.5703125" style="433" bestFit="1" customWidth="1"/>
    <col min="3346" max="3348" width="6.42578125" style="433" bestFit="1" customWidth="1"/>
    <col min="3349" max="3351" width="7.5703125" style="433" bestFit="1" customWidth="1"/>
    <col min="3352" max="3354" width="6.42578125" style="433" bestFit="1" customWidth="1"/>
    <col min="3355" max="3357" width="7.5703125" style="433" bestFit="1" customWidth="1"/>
    <col min="3358" max="3360" width="6.42578125" style="433" bestFit="1" customWidth="1"/>
    <col min="3361" max="3363" width="7.5703125" style="433" bestFit="1" customWidth="1"/>
    <col min="3364" max="3364" width="9.42578125" style="433" customWidth="1"/>
    <col min="3365" max="3365" width="8.85546875" style="433" customWidth="1"/>
    <col min="3366" max="3366" width="6.5703125" style="433" customWidth="1"/>
    <col min="3367" max="3367" width="8.140625" style="433" customWidth="1"/>
    <col min="3368" max="3368" width="8.28515625" style="433" customWidth="1"/>
    <col min="3369" max="3369" width="5.140625" style="433" customWidth="1"/>
    <col min="3370" max="3370" width="12.7109375" style="433" customWidth="1"/>
    <col min="3371" max="3371" width="14.140625" style="433" customWidth="1"/>
    <col min="3372" max="3372" width="13.140625" style="433" customWidth="1"/>
    <col min="3373" max="3373" width="11.85546875" style="433" bestFit="1" customWidth="1"/>
    <col min="3374" max="3374" width="2.42578125" style="433" bestFit="1" customWidth="1"/>
    <col min="3375" max="3375" width="7.5703125" style="433" bestFit="1" customWidth="1"/>
    <col min="3376" max="3376" width="9.140625" style="433" bestFit="1" customWidth="1"/>
    <col min="3377" max="3584" width="11.42578125" style="433"/>
    <col min="3585" max="3585" width="5.140625" style="433" bestFit="1" customWidth="1"/>
    <col min="3586" max="3586" width="8.140625" style="433" bestFit="1" customWidth="1"/>
    <col min="3587" max="3587" width="16.5703125" style="433" bestFit="1" customWidth="1"/>
    <col min="3588" max="3588" width="24.5703125" style="433" customWidth="1"/>
    <col min="3589" max="3589" width="7.5703125" style="433" bestFit="1" customWidth="1"/>
    <col min="3590" max="3590" width="12.28515625" style="433" customWidth="1"/>
    <col min="3591" max="3591" width="25.28515625" style="433" customWidth="1"/>
    <col min="3592" max="3592" width="21.85546875" style="433" customWidth="1"/>
    <col min="3593" max="3593" width="11.140625" style="433" customWidth="1"/>
    <col min="3594" max="3594" width="12" style="433" customWidth="1"/>
    <col min="3595" max="3595" width="11.28515625" style="433" customWidth="1"/>
    <col min="3596" max="3598" width="6.42578125" style="433" bestFit="1" customWidth="1"/>
    <col min="3599" max="3599" width="7.5703125" style="433" bestFit="1" customWidth="1"/>
    <col min="3600" max="3600" width="8.85546875" style="433" bestFit="1" customWidth="1"/>
    <col min="3601" max="3601" width="7.5703125" style="433" bestFit="1" customWidth="1"/>
    <col min="3602" max="3604" width="6.42578125" style="433" bestFit="1" customWidth="1"/>
    <col min="3605" max="3607" width="7.5703125" style="433" bestFit="1" customWidth="1"/>
    <col min="3608" max="3610" width="6.42578125" style="433" bestFit="1" customWidth="1"/>
    <col min="3611" max="3613" width="7.5703125" style="433" bestFit="1" customWidth="1"/>
    <col min="3614" max="3616" width="6.42578125" style="433" bestFit="1" customWidth="1"/>
    <col min="3617" max="3619" width="7.5703125" style="433" bestFit="1" customWidth="1"/>
    <col min="3620" max="3620" width="9.42578125" style="433" customWidth="1"/>
    <col min="3621" max="3621" width="8.85546875" style="433" customWidth="1"/>
    <col min="3622" max="3622" width="6.5703125" style="433" customWidth="1"/>
    <col min="3623" max="3623" width="8.140625" style="433" customWidth="1"/>
    <col min="3624" max="3624" width="8.28515625" style="433" customWidth="1"/>
    <col min="3625" max="3625" width="5.140625" style="433" customWidth="1"/>
    <col min="3626" max="3626" width="12.7109375" style="433" customWidth="1"/>
    <col min="3627" max="3627" width="14.140625" style="433" customWidth="1"/>
    <col min="3628" max="3628" width="13.140625" style="433" customWidth="1"/>
    <col min="3629" max="3629" width="11.85546875" style="433" bestFit="1" customWidth="1"/>
    <col min="3630" max="3630" width="2.42578125" style="433" bestFit="1" customWidth="1"/>
    <col min="3631" max="3631" width="7.5703125" style="433" bestFit="1" customWidth="1"/>
    <col min="3632" max="3632" width="9.140625" style="433" bestFit="1" customWidth="1"/>
    <col min="3633" max="3840" width="11.42578125" style="433"/>
    <col min="3841" max="3841" width="5.140625" style="433" bestFit="1" customWidth="1"/>
    <col min="3842" max="3842" width="8.140625" style="433" bestFit="1" customWidth="1"/>
    <col min="3843" max="3843" width="16.5703125" style="433" bestFit="1" customWidth="1"/>
    <col min="3844" max="3844" width="24.5703125" style="433" customWidth="1"/>
    <col min="3845" max="3845" width="7.5703125" style="433" bestFit="1" customWidth="1"/>
    <col min="3846" max="3846" width="12.28515625" style="433" customWidth="1"/>
    <col min="3847" max="3847" width="25.28515625" style="433" customWidth="1"/>
    <col min="3848" max="3848" width="21.85546875" style="433" customWidth="1"/>
    <col min="3849" max="3849" width="11.140625" style="433" customWidth="1"/>
    <col min="3850" max="3850" width="12" style="433" customWidth="1"/>
    <col min="3851" max="3851" width="11.28515625" style="433" customWidth="1"/>
    <col min="3852" max="3854" width="6.42578125" style="433" bestFit="1" customWidth="1"/>
    <col min="3855" max="3855" width="7.5703125" style="433" bestFit="1" customWidth="1"/>
    <col min="3856" max="3856" width="8.85546875" style="433" bestFit="1" customWidth="1"/>
    <col min="3857" max="3857" width="7.5703125" style="433" bestFit="1" customWidth="1"/>
    <col min="3858" max="3860" width="6.42578125" style="433" bestFit="1" customWidth="1"/>
    <col min="3861" max="3863" width="7.5703125" style="433" bestFit="1" customWidth="1"/>
    <col min="3864" max="3866" width="6.42578125" style="433" bestFit="1" customWidth="1"/>
    <col min="3867" max="3869" width="7.5703125" style="433" bestFit="1" customWidth="1"/>
    <col min="3870" max="3872" width="6.42578125" style="433" bestFit="1" customWidth="1"/>
    <col min="3873" max="3875" width="7.5703125" style="433" bestFit="1" customWidth="1"/>
    <col min="3876" max="3876" width="9.42578125" style="433" customWidth="1"/>
    <col min="3877" max="3877" width="8.85546875" style="433" customWidth="1"/>
    <col min="3878" max="3878" width="6.5703125" style="433" customWidth="1"/>
    <col min="3879" max="3879" width="8.140625" style="433" customWidth="1"/>
    <col min="3880" max="3880" width="8.28515625" style="433" customWidth="1"/>
    <col min="3881" max="3881" width="5.140625" style="433" customWidth="1"/>
    <col min="3882" max="3882" width="12.7109375" style="433" customWidth="1"/>
    <col min="3883" max="3883" width="14.140625" style="433" customWidth="1"/>
    <col min="3884" max="3884" width="13.140625" style="433" customWidth="1"/>
    <col min="3885" max="3885" width="11.85546875" style="433" bestFit="1" customWidth="1"/>
    <col min="3886" max="3886" width="2.42578125" style="433" bestFit="1" customWidth="1"/>
    <col min="3887" max="3887" width="7.5703125" style="433" bestFit="1" customWidth="1"/>
    <col min="3888" max="3888" width="9.140625" style="433" bestFit="1" customWidth="1"/>
    <col min="3889" max="4096" width="11.42578125" style="433"/>
    <col min="4097" max="4097" width="5.140625" style="433" bestFit="1" customWidth="1"/>
    <col min="4098" max="4098" width="8.140625" style="433" bestFit="1" customWidth="1"/>
    <col min="4099" max="4099" width="16.5703125" style="433" bestFit="1" customWidth="1"/>
    <col min="4100" max="4100" width="24.5703125" style="433" customWidth="1"/>
    <col min="4101" max="4101" width="7.5703125" style="433" bestFit="1" customWidth="1"/>
    <col min="4102" max="4102" width="12.28515625" style="433" customWidth="1"/>
    <col min="4103" max="4103" width="25.28515625" style="433" customWidth="1"/>
    <col min="4104" max="4104" width="21.85546875" style="433" customWidth="1"/>
    <col min="4105" max="4105" width="11.140625" style="433" customWidth="1"/>
    <col min="4106" max="4106" width="12" style="433" customWidth="1"/>
    <col min="4107" max="4107" width="11.28515625" style="433" customWidth="1"/>
    <col min="4108" max="4110" width="6.42578125" style="433" bestFit="1" customWidth="1"/>
    <col min="4111" max="4111" width="7.5703125" style="433" bestFit="1" customWidth="1"/>
    <col min="4112" max="4112" width="8.85546875" style="433" bestFit="1" customWidth="1"/>
    <col min="4113" max="4113" width="7.5703125" style="433" bestFit="1" customWidth="1"/>
    <col min="4114" max="4116" width="6.42578125" style="433" bestFit="1" customWidth="1"/>
    <col min="4117" max="4119" width="7.5703125" style="433" bestFit="1" customWidth="1"/>
    <col min="4120" max="4122" width="6.42578125" style="433" bestFit="1" customWidth="1"/>
    <col min="4123" max="4125" width="7.5703125" style="433" bestFit="1" customWidth="1"/>
    <col min="4126" max="4128" width="6.42578125" style="433" bestFit="1" customWidth="1"/>
    <col min="4129" max="4131" width="7.5703125" style="433" bestFit="1" customWidth="1"/>
    <col min="4132" max="4132" width="9.42578125" style="433" customWidth="1"/>
    <col min="4133" max="4133" width="8.85546875" style="433" customWidth="1"/>
    <col min="4134" max="4134" width="6.5703125" style="433" customWidth="1"/>
    <col min="4135" max="4135" width="8.140625" style="433" customWidth="1"/>
    <col min="4136" max="4136" width="8.28515625" style="433" customWidth="1"/>
    <col min="4137" max="4137" width="5.140625" style="433" customWidth="1"/>
    <col min="4138" max="4138" width="12.7109375" style="433" customWidth="1"/>
    <col min="4139" max="4139" width="14.140625" style="433" customWidth="1"/>
    <col min="4140" max="4140" width="13.140625" style="433" customWidth="1"/>
    <col min="4141" max="4141" width="11.85546875" style="433" bestFit="1" customWidth="1"/>
    <col min="4142" max="4142" width="2.42578125" style="433" bestFit="1" customWidth="1"/>
    <col min="4143" max="4143" width="7.5703125" style="433" bestFit="1" customWidth="1"/>
    <col min="4144" max="4144" width="9.140625" style="433" bestFit="1" customWidth="1"/>
    <col min="4145" max="4352" width="11.42578125" style="433"/>
    <col min="4353" max="4353" width="5.140625" style="433" bestFit="1" customWidth="1"/>
    <col min="4354" max="4354" width="8.140625" style="433" bestFit="1" customWidth="1"/>
    <col min="4355" max="4355" width="16.5703125" style="433" bestFit="1" customWidth="1"/>
    <col min="4356" max="4356" width="24.5703125" style="433" customWidth="1"/>
    <col min="4357" max="4357" width="7.5703125" style="433" bestFit="1" customWidth="1"/>
    <col min="4358" max="4358" width="12.28515625" style="433" customWidth="1"/>
    <col min="4359" max="4359" width="25.28515625" style="433" customWidth="1"/>
    <col min="4360" max="4360" width="21.85546875" style="433" customWidth="1"/>
    <col min="4361" max="4361" width="11.140625" style="433" customWidth="1"/>
    <col min="4362" max="4362" width="12" style="433" customWidth="1"/>
    <col min="4363" max="4363" width="11.28515625" style="433" customWidth="1"/>
    <col min="4364" max="4366" width="6.42578125" style="433" bestFit="1" customWidth="1"/>
    <col min="4367" max="4367" width="7.5703125" style="433" bestFit="1" customWidth="1"/>
    <col min="4368" max="4368" width="8.85546875" style="433" bestFit="1" customWidth="1"/>
    <col min="4369" max="4369" width="7.5703125" style="433" bestFit="1" customWidth="1"/>
    <col min="4370" max="4372" width="6.42578125" style="433" bestFit="1" customWidth="1"/>
    <col min="4373" max="4375" width="7.5703125" style="433" bestFit="1" customWidth="1"/>
    <col min="4376" max="4378" width="6.42578125" style="433" bestFit="1" customWidth="1"/>
    <col min="4379" max="4381" width="7.5703125" style="433" bestFit="1" customWidth="1"/>
    <col min="4382" max="4384" width="6.42578125" style="433" bestFit="1" customWidth="1"/>
    <col min="4385" max="4387" width="7.5703125" style="433" bestFit="1" customWidth="1"/>
    <col min="4388" max="4388" width="9.42578125" style="433" customWidth="1"/>
    <col min="4389" max="4389" width="8.85546875" style="433" customWidth="1"/>
    <col min="4390" max="4390" width="6.5703125" style="433" customWidth="1"/>
    <col min="4391" max="4391" width="8.140625" style="433" customWidth="1"/>
    <col min="4392" max="4392" width="8.28515625" style="433" customWidth="1"/>
    <col min="4393" max="4393" width="5.140625" style="433" customWidth="1"/>
    <col min="4394" max="4394" width="12.7109375" style="433" customWidth="1"/>
    <col min="4395" max="4395" width="14.140625" style="433" customWidth="1"/>
    <col min="4396" max="4396" width="13.140625" style="433" customWidth="1"/>
    <col min="4397" max="4397" width="11.85546875" style="433" bestFit="1" customWidth="1"/>
    <col min="4398" max="4398" width="2.42578125" style="433" bestFit="1" customWidth="1"/>
    <col min="4399" max="4399" width="7.5703125" style="433" bestFit="1" customWidth="1"/>
    <col min="4400" max="4400" width="9.140625" style="433" bestFit="1" customWidth="1"/>
    <col min="4401" max="4608" width="11.42578125" style="433"/>
    <col min="4609" max="4609" width="5.140625" style="433" bestFit="1" customWidth="1"/>
    <col min="4610" max="4610" width="8.140625" style="433" bestFit="1" customWidth="1"/>
    <col min="4611" max="4611" width="16.5703125" style="433" bestFit="1" customWidth="1"/>
    <col min="4612" max="4612" width="24.5703125" style="433" customWidth="1"/>
    <col min="4613" max="4613" width="7.5703125" style="433" bestFit="1" customWidth="1"/>
    <col min="4614" max="4614" width="12.28515625" style="433" customWidth="1"/>
    <col min="4615" max="4615" width="25.28515625" style="433" customWidth="1"/>
    <col min="4616" max="4616" width="21.85546875" style="433" customWidth="1"/>
    <col min="4617" max="4617" width="11.140625" style="433" customWidth="1"/>
    <col min="4618" max="4618" width="12" style="433" customWidth="1"/>
    <col min="4619" max="4619" width="11.28515625" style="433" customWidth="1"/>
    <col min="4620" max="4622" width="6.42578125" style="433" bestFit="1" customWidth="1"/>
    <col min="4623" max="4623" width="7.5703125" style="433" bestFit="1" customWidth="1"/>
    <col min="4624" max="4624" width="8.85546875" style="433" bestFit="1" customWidth="1"/>
    <col min="4625" max="4625" width="7.5703125" style="433" bestFit="1" customWidth="1"/>
    <col min="4626" max="4628" width="6.42578125" style="433" bestFit="1" customWidth="1"/>
    <col min="4629" max="4631" width="7.5703125" style="433" bestFit="1" customWidth="1"/>
    <col min="4632" max="4634" width="6.42578125" style="433" bestFit="1" customWidth="1"/>
    <col min="4635" max="4637" width="7.5703125" style="433" bestFit="1" customWidth="1"/>
    <col min="4638" max="4640" width="6.42578125" style="433" bestFit="1" customWidth="1"/>
    <col min="4641" max="4643" width="7.5703125" style="433" bestFit="1" customWidth="1"/>
    <col min="4644" max="4644" width="9.42578125" style="433" customWidth="1"/>
    <col min="4645" max="4645" width="8.85546875" style="433" customWidth="1"/>
    <col min="4646" max="4646" width="6.5703125" style="433" customWidth="1"/>
    <col min="4647" max="4647" width="8.140625" style="433" customWidth="1"/>
    <col min="4648" max="4648" width="8.28515625" style="433" customWidth="1"/>
    <col min="4649" max="4649" width="5.140625" style="433" customWidth="1"/>
    <col min="4650" max="4650" width="12.7109375" style="433" customWidth="1"/>
    <col min="4651" max="4651" width="14.140625" style="433" customWidth="1"/>
    <col min="4652" max="4652" width="13.140625" style="433" customWidth="1"/>
    <col min="4653" max="4653" width="11.85546875" style="433" bestFit="1" customWidth="1"/>
    <col min="4654" max="4654" width="2.42578125" style="433" bestFit="1" customWidth="1"/>
    <col min="4655" max="4655" width="7.5703125" style="433" bestFit="1" customWidth="1"/>
    <col min="4656" max="4656" width="9.140625" style="433" bestFit="1" customWidth="1"/>
    <col min="4657" max="4864" width="11.42578125" style="433"/>
    <col min="4865" max="4865" width="5.140625" style="433" bestFit="1" customWidth="1"/>
    <col min="4866" max="4866" width="8.140625" style="433" bestFit="1" customWidth="1"/>
    <col min="4867" max="4867" width="16.5703125" style="433" bestFit="1" customWidth="1"/>
    <col min="4868" max="4868" width="24.5703125" style="433" customWidth="1"/>
    <col min="4869" max="4869" width="7.5703125" style="433" bestFit="1" customWidth="1"/>
    <col min="4870" max="4870" width="12.28515625" style="433" customWidth="1"/>
    <col min="4871" max="4871" width="25.28515625" style="433" customWidth="1"/>
    <col min="4872" max="4872" width="21.85546875" style="433" customWidth="1"/>
    <col min="4873" max="4873" width="11.140625" style="433" customWidth="1"/>
    <col min="4874" max="4874" width="12" style="433" customWidth="1"/>
    <col min="4875" max="4875" width="11.28515625" style="433" customWidth="1"/>
    <col min="4876" max="4878" width="6.42578125" style="433" bestFit="1" customWidth="1"/>
    <col min="4879" max="4879" width="7.5703125" style="433" bestFit="1" customWidth="1"/>
    <col min="4880" max="4880" width="8.85546875" style="433" bestFit="1" customWidth="1"/>
    <col min="4881" max="4881" width="7.5703125" style="433" bestFit="1" customWidth="1"/>
    <col min="4882" max="4884" width="6.42578125" style="433" bestFit="1" customWidth="1"/>
    <col min="4885" max="4887" width="7.5703125" style="433" bestFit="1" customWidth="1"/>
    <col min="4888" max="4890" width="6.42578125" style="433" bestFit="1" customWidth="1"/>
    <col min="4891" max="4893" width="7.5703125" style="433" bestFit="1" customWidth="1"/>
    <col min="4894" max="4896" width="6.42578125" style="433" bestFit="1" customWidth="1"/>
    <col min="4897" max="4899" width="7.5703125" style="433" bestFit="1" customWidth="1"/>
    <col min="4900" max="4900" width="9.42578125" style="433" customWidth="1"/>
    <col min="4901" max="4901" width="8.85546875" style="433" customWidth="1"/>
    <col min="4902" max="4902" width="6.5703125" style="433" customWidth="1"/>
    <col min="4903" max="4903" width="8.140625" style="433" customWidth="1"/>
    <col min="4904" max="4904" width="8.28515625" style="433" customWidth="1"/>
    <col min="4905" max="4905" width="5.140625" style="433" customWidth="1"/>
    <col min="4906" max="4906" width="12.7109375" style="433" customWidth="1"/>
    <col min="4907" max="4907" width="14.140625" style="433" customWidth="1"/>
    <col min="4908" max="4908" width="13.140625" style="433" customWidth="1"/>
    <col min="4909" max="4909" width="11.85546875" style="433" bestFit="1" customWidth="1"/>
    <col min="4910" max="4910" width="2.42578125" style="433" bestFit="1" customWidth="1"/>
    <col min="4911" max="4911" width="7.5703125" style="433" bestFit="1" customWidth="1"/>
    <col min="4912" max="4912" width="9.140625" style="433" bestFit="1" customWidth="1"/>
    <col min="4913" max="5120" width="11.42578125" style="433"/>
    <col min="5121" max="5121" width="5.140625" style="433" bestFit="1" customWidth="1"/>
    <col min="5122" max="5122" width="8.140625" style="433" bestFit="1" customWidth="1"/>
    <col min="5123" max="5123" width="16.5703125" style="433" bestFit="1" customWidth="1"/>
    <col min="5124" max="5124" width="24.5703125" style="433" customWidth="1"/>
    <col min="5125" max="5125" width="7.5703125" style="433" bestFit="1" customWidth="1"/>
    <col min="5126" max="5126" width="12.28515625" style="433" customWidth="1"/>
    <col min="5127" max="5127" width="25.28515625" style="433" customWidth="1"/>
    <col min="5128" max="5128" width="21.85546875" style="433" customWidth="1"/>
    <col min="5129" max="5129" width="11.140625" style="433" customWidth="1"/>
    <col min="5130" max="5130" width="12" style="433" customWidth="1"/>
    <col min="5131" max="5131" width="11.28515625" style="433" customWidth="1"/>
    <col min="5132" max="5134" width="6.42578125" style="433" bestFit="1" customWidth="1"/>
    <col min="5135" max="5135" width="7.5703125" style="433" bestFit="1" customWidth="1"/>
    <col min="5136" max="5136" width="8.85546875" style="433" bestFit="1" customWidth="1"/>
    <col min="5137" max="5137" width="7.5703125" style="433" bestFit="1" customWidth="1"/>
    <col min="5138" max="5140" width="6.42578125" style="433" bestFit="1" customWidth="1"/>
    <col min="5141" max="5143" width="7.5703125" style="433" bestFit="1" customWidth="1"/>
    <col min="5144" max="5146" width="6.42578125" style="433" bestFit="1" customWidth="1"/>
    <col min="5147" max="5149" width="7.5703125" style="433" bestFit="1" customWidth="1"/>
    <col min="5150" max="5152" width="6.42578125" style="433" bestFit="1" customWidth="1"/>
    <col min="5153" max="5155" width="7.5703125" style="433" bestFit="1" customWidth="1"/>
    <col min="5156" max="5156" width="9.42578125" style="433" customWidth="1"/>
    <col min="5157" max="5157" width="8.85546875" style="433" customWidth="1"/>
    <col min="5158" max="5158" width="6.5703125" style="433" customWidth="1"/>
    <col min="5159" max="5159" width="8.140625" style="433" customWidth="1"/>
    <col min="5160" max="5160" width="8.28515625" style="433" customWidth="1"/>
    <col min="5161" max="5161" width="5.140625" style="433" customWidth="1"/>
    <col min="5162" max="5162" width="12.7109375" style="433" customWidth="1"/>
    <col min="5163" max="5163" width="14.140625" style="433" customWidth="1"/>
    <col min="5164" max="5164" width="13.140625" style="433" customWidth="1"/>
    <col min="5165" max="5165" width="11.85546875" style="433" bestFit="1" customWidth="1"/>
    <col min="5166" max="5166" width="2.42578125" style="433" bestFit="1" customWidth="1"/>
    <col min="5167" max="5167" width="7.5703125" style="433" bestFit="1" customWidth="1"/>
    <col min="5168" max="5168" width="9.140625" style="433" bestFit="1" customWidth="1"/>
    <col min="5169" max="5376" width="11.42578125" style="433"/>
    <col min="5377" max="5377" width="5.140625" style="433" bestFit="1" customWidth="1"/>
    <col min="5378" max="5378" width="8.140625" style="433" bestFit="1" customWidth="1"/>
    <col min="5379" max="5379" width="16.5703125" style="433" bestFit="1" customWidth="1"/>
    <col min="5380" max="5380" width="24.5703125" style="433" customWidth="1"/>
    <col min="5381" max="5381" width="7.5703125" style="433" bestFit="1" customWidth="1"/>
    <col min="5382" max="5382" width="12.28515625" style="433" customWidth="1"/>
    <col min="5383" max="5383" width="25.28515625" style="433" customWidth="1"/>
    <col min="5384" max="5384" width="21.85546875" style="433" customWidth="1"/>
    <col min="5385" max="5385" width="11.140625" style="433" customWidth="1"/>
    <col min="5386" max="5386" width="12" style="433" customWidth="1"/>
    <col min="5387" max="5387" width="11.28515625" style="433" customWidth="1"/>
    <col min="5388" max="5390" width="6.42578125" style="433" bestFit="1" customWidth="1"/>
    <col min="5391" max="5391" width="7.5703125" style="433" bestFit="1" customWidth="1"/>
    <col min="5392" max="5392" width="8.85546875" style="433" bestFit="1" customWidth="1"/>
    <col min="5393" max="5393" width="7.5703125" style="433" bestFit="1" customWidth="1"/>
    <col min="5394" max="5396" width="6.42578125" style="433" bestFit="1" customWidth="1"/>
    <col min="5397" max="5399" width="7.5703125" style="433" bestFit="1" customWidth="1"/>
    <col min="5400" max="5402" width="6.42578125" style="433" bestFit="1" customWidth="1"/>
    <col min="5403" max="5405" width="7.5703125" style="433" bestFit="1" customWidth="1"/>
    <col min="5406" max="5408" width="6.42578125" style="433" bestFit="1" customWidth="1"/>
    <col min="5409" max="5411" width="7.5703125" style="433" bestFit="1" customWidth="1"/>
    <col min="5412" max="5412" width="9.42578125" style="433" customWidth="1"/>
    <col min="5413" max="5413" width="8.85546875" style="433" customWidth="1"/>
    <col min="5414" max="5414" width="6.5703125" style="433" customWidth="1"/>
    <col min="5415" max="5415" width="8.140625" style="433" customWidth="1"/>
    <col min="5416" max="5416" width="8.28515625" style="433" customWidth="1"/>
    <col min="5417" max="5417" width="5.140625" style="433" customWidth="1"/>
    <col min="5418" max="5418" width="12.7109375" style="433" customWidth="1"/>
    <col min="5419" max="5419" width="14.140625" style="433" customWidth="1"/>
    <col min="5420" max="5420" width="13.140625" style="433" customWidth="1"/>
    <col min="5421" max="5421" width="11.85546875" style="433" bestFit="1" customWidth="1"/>
    <col min="5422" max="5422" width="2.42578125" style="433" bestFit="1" customWidth="1"/>
    <col min="5423" max="5423" width="7.5703125" style="433" bestFit="1" customWidth="1"/>
    <col min="5424" max="5424" width="9.140625" style="433" bestFit="1" customWidth="1"/>
    <col min="5425" max="5632" width="11.42578125" style="433"/>
    <col min="5633" max="5633" width="5.140625" style="433" bestFit="1" customWidth="1"/>
    <col min="5634" max="5634" width="8.140625" style="433" bestFit="1" customWidth="1"/>
    <col min="5635" max="5635" width="16.5703125" style="433" bestFit="1" customWidth="1"/>
    <col min="5636" max="5636" width="24.5703125" style="433" customWidth="1"/>
    <col min="5637" max="5637" width="7.5703125" style="433" bestFit="1" customWidth="1"/>
    <col min="5638" max="5638" width="12.28515625" style="433" customWidth="1"/>
    <col min="5639" max="5639" width="25.28515625" style="433" customWidth="1"/>
    <col min="5640" max="5640" width="21.85546875" style="433" customWidth="1"/>
    <col min="5641" max="5641" width="11.140625" style="433" customWidth="1"/>
    <col min="5642" max="5642" width="12" style="433" customWidth="1"/>
    <col min="5643" max="5643" width="11.28515625" style="433" customWidth="1"/>
    <col min="5644" max="5646" width="6.42578125" style="433" bestFit="1" customWidth="1"/>
    <col min="5647" max="5647" width="7.5703125" style="433" bestFit="1" customWidth="1"/>
    <col min="5648" max="5648" width="8.85546875" style="433" bestFit="1" customWidth="1"/>
    <col min="5649" max="5649" width="7.5703125" style="433" bestFit="1" customWidth="1"/>
    <col min="5650" max="5652" width="6.42578125" style="433" bestFit="1" customWidth="1"/>
    <col min="5653" max="5655" width="7.5703125" style="433" bestFit="1" customWidth="1"/>
    <col min="5656" max="5658" width="6.42578125" style="433" bestFit="1" customWidth="1"/>
    <col min="5659" max="5661" width="7.5703125" style="433" bestFit="1" customWidth="1"/>
    <col min="5662" max="5664" width="6.42578125" style="433" bestFit="1" customWidth="1"/>
    <col min="5665" max="5667" width="7.5703125" style="433" bestFit="1" customWidth="1"/>
    <col min="5668" max="5668" width="9.42578125" style="433" customWidth="1"/>
    <col min="5669" max="5669" width="8.85546875" style="433" customWidth="1"/>
    <col min="5670" max="5670" width="6.5703125" style="433" customWidth="1"/>
    <col min="5671" max="5671" width="8.140625" style="433" customWidth="1"/>
    <col min="5672" max="5672" width="8.28515625" style="433" customWidth="1"/>
    <col min="5673" max="5673" width="5.140625" style="433" customWidth="1"/>
    <col min="5674" max="5674" width="12.7109375" style="433" customWidth="1"/>
    <col min="5675" max="5675" width="14.140625" style="433" customWidth="1"/>
    <col min="5676" max="5676" width="13.140625" style="433" customWidth="1"/>
    <col min="5677" max="5677" width="11.85546875" style="433" bestFit="1" customWidth="1"/>
    <col min="5678" max="5678" width="2.42578125" style="433" bestFit="1" customWidth="1"/>
    <col min="5679" max="5679" width="7.5703125" style="433" bestFit="1" customWidth="1"/>
    <col min="5680" max="5680" width="9.140625" style="433" bestFit="1" customWidth="1"/>
    <col min="5681" max="5888" width="11.42578125" style="433"/>
    <col min="5889" max="5889" width="5.140625" style="433" bestFit="1" customWidth="1"/>
    <col min="5890" max="5890" width="8.140625" style="433" bestFit="1" customWidth="1"/>
    <col min="5891" max="5891" width="16.5703125" style="433" bestFit="1" customWidth="1"/>
    <col min="5892" max="5892" width="24.5703125" style="433" customWidth="1"/>
    <col min="5893" max="5893" width="7.5703125" style="433" bestFit="1" customWidth="1"/>
    <col min="5894" max="5894" width="12.28515625" style="433" customWidth="1"/>
    <col min="5895" max="5895" width="25.28515625" style="433" customWidth="1"/>
    <col min="5896" max="5896" width="21.85546875" style="433" customWidth="1"/>
    <col min="5897" max="5897" width="11.140625" style="433" customWidth="1"/>
    <col min="5898" max="5898" width="12" style="433" customWidth="1"/>
    <col min="5899" max="5899" width="11.28515625" style="433" customWidth="1"/>
    <col min="5900" max="5902" width="6.42578125" style="433" bestFit="1" customWidth="1"/>
    <col min="5903" max="5903" width="7.5703125" style="433" bestFit="1" customWidth="1"/>
    <col min="5904" max="5904" width="8.85546875" style="433" bestFit="1" customWidth="1"/>
    <col min="5905" max="5905" width="7.5703125" style="433" bestFit="1" customWidth="1"/>
    <col min="5906" max="5908" width="6.42578125" style="433" bestFit="1" customWidth="1"/>
    <col min="5909" max="5911" width="7.5703125" style="433" bestFit="1" customWidth="1"/>
    <col min="5912" max="5914" width="6.42578125" style="433" bestFit="1" customWidth="1"/>
    <col min="5915" max="5917" width="7.5703125" style="433" bestFit="1" customWidth="1"/>
    <col min="5918" max="5920" width="6.42578125" style="433" bestFit="1" customWidth="1"/>
    <col min="5921" max="5923" width="7.5703125" style="433" bestFit="1" customWidth="1"/>
    <col min="5924" max="5924" width="9.42578125" style="433" customWidth="1"/>
    <col min="5925" max="5925" width="8.85546875" style="433" customWidth="1"/>
    <col min="5926" max="5926" width="6.5703125" style="433" customWidth="1"/>
    <col min="5927" max="5927" width="8.140625" style="433" customWidth="1"/>
    <col min="5928" max="5928" width="8.28515625" style="433" customWidth="1"/>
    <col min="5929" max="5929" width="5.140625" style="433" customWidth="1"/>
    <col min="5930" max="5930" width="12.7109375" style="433" customWidth="1"/>
    <col min="5931" max="5931" width="14.140625" style="433" customWidth="1"/>
    <col min="5932" max="5932" width="13.140625" style="433" customWidth="1"/>
    <col min="5933" max="5933" width="11.85546875" style="433" bestFit="1" customWidth="1"/>
    <col min="5934" max="5934" width="2.42578125" style="433" bestFit="1" customWidth="1"/>
    <col min="5935" max="5935" width="7.5703125" style="433" bestFit="1" customWidth="1"/>
    <col min="5936" max="5936" width="9.140625" style="433" bestFit="1" customWidth="1"/>
    <col min="5937" max="6144" width="11.42578125" style="433"/>
    <col min="6145" max="6145" width="5.140625" style="433" bestFit="1" customWidth="1"/>
    <col min="6146" max="6146" width="8.140625" style="433" bestFit="1" customWidth="1"/>
    <col min="6147" max="6147" width="16.5703125" style="433" bestFit="1" customWidth="1"/>
    <col min="6148" max="6148" width="24.5703125" style="433" customWidth="1"/>
    <col min="6149" max="6149" width="7.5703125" style="433" bestFit="1" customWidth="1"/>
    <col min="6150" max="6150" width="12.28515625" style="433" customWidth="1"/>
    <col min="6151" max="6151" width="25.28515625" style="433" customWidth="1"/>
    <col min="6152" max="6152" width="21.85546875" style="433" customWidth="1"/>
    <col min="6153" max="6153" width="11.140625" style="433" customWidth="1"/>
    <col min="6154" max="6154" width="12" style="433" customWidth="1"/>
    <col min="6155" max="6155" width="11.28515625" style="433" customWidth="1"/>
    <col min="6156" max="6158" width="6.42578125" style="433" bestFit="1" customWidth="1"/>
    <col min="6159" max="6159" width="7.5703125" style="433" bestFit="1" customWidth="1"/>
    <col min="6160" max="6160" width="8.85546875" style="433" bestFit="1" customWidth="1"/>
    <col min="6161" max="6161" width="7.5703125" style="433" bestFit="1" customWidth="1"/>
    <col min="6162" max="6164" width="6.42578125" style="433" bestFit="1" customWidth="1"/>
    <col min="6165" max="6167" width="7.5703125" style="433" bestFit="1" customWidth="1"/>
    <col min="6168" max="6170" width="6.42578125" style="433" bestFit="1" customWidth="1"/>
    <col min="6171" max="6173" width="7.5703125" style="433" bestFit="1" customWidth="1"/>
    <col min="6174" max="6176" width="6.42578125" style="433" bestFit="1" customWidth="1"/>
    <col min="6177" max="6179" width="7.5703125" style="433" bestFit="1" customWidth="1"/>
    <col min="6180" max="6180" width="9.42578125" style="433" customWidth="1"/>
    <col min="6181" max="6181" width="8.85546875" style="433" customWidth="1"/>
    <col min="6182" max="6182" width="6.5703125" style="433" customWidth="1"/>
    <col min="6183" max="6183" width="8.140625" style="433" customWidth="1"/>
    <col min="6184" max="6184" width="8.28515625" style="433" customWidth="1"/>
    <col min="6185" max="6185" width="5.140625" style="433" customWidth="1"/>
    <col min="6186" max="6186" width="12.7109375" style="433" customWidth="1"/>
    <col min="6187" max="6187" width="14.140625" style="433" customWidth="1"/>
    <col min="6188" max="6188" width="13.140625" style="433" customWidth="1"/>
    <col min="6189" max="6189" width="11.85546875" style="433" bestFit="1" customWidth="1"/>
    <col min="6190" max="6190" width="2.42578125" style="433" bestFit="1" customWidth="1"/>
    <col min="6191" max="6191" width="7.5703125" style="433" bestFit="1" customWidth="1"/>
    <col min="6192" max="6192" width="9.140625" style="433" bestFit="1" customWidth="1"/>
    <col min="6193" max="6400" width="11.42578125" style="433"/>
    <col min="6401" max="6401" width="5.140625" style="433" bestFit="1" customWidth="1"/>
    <col min="6402" max="6402" width="8.140625" style="433" bestFit="1" customWidth="1"/>
    <col min="6403" max="6403" width="16.5703125" style="433" bestFit="1" customWidth="1"/>
    <col min="6404" max="6404" width="24.5703125" style="433" customWidth="1"/>
    <col min="6405" max="6405" width="7.5703125" style="433" bestFit="1" customWidth="1"/>
    <col min="6406" max="6406" width="12.28515625" style="433" customWidth="1"/>
    <col min="6407" max="6407" width="25.28515625" style="433" customWidth="1"/>
    <col min="6408" max="6408" width="21.85546875" style="433" customWidth="1"/>
    <col min="6409" max="6409" width="11.140625" style="433" customWidth="1"/>
    <col min="6410" max="6410" width="12" style="433" customWidth="1"/>
    <col min="6411" max="6411" width="11.28515625" style="433" customWidth="1"/>
    <col min="6412" max="6414" width="6.42578125" style="433" bestFit="1" customWidth="1"/>
    <col min="6415" max="6415" width="7.5703125" style="433" bestFit="1" customWidth="1"/>
    <col min="6416" max="6416" width="8.85546875" style="433" bestFit="1" customWidth="1"/>
    <col min="6417" max="6417" width="7.5703125" style="433" bestFit="1" customWidth="1"/>
    <col min="6418" max="6420" width="6.42578125" style="433" bestFit="1" customWidth="1"/>
    <col min="6421" max="6423" width="7.5703125" style="433" bestFit="1" customWidth="1"/>
    <col min="6424" max="6426" width="6.42578125" style="433" bestFit="1" customWidth="1"/>
    <col min="6427" max="6429" width="7.5703125" style="433" bestFit="1" customWidth="1"/>
    <col min="6430" max="6432" width="6.42578125" style="433" bestFit="1" customWidth="1"/>
    <col min="6433" max="6435" width="7.5703125" style="433" bestFit="1" customWidth="1"/>
    <col min="6436" max="6436" width="9.42578125" style="433" customWidth="1"/>
    <col min="6437" max="6437" width="8.85546875" style="433" customWidth="1"/>
    <col min="6438" max="6438" width="6.5703125" style="433" customWidth="1"/>
    <col min="6439" max="6439" width="8.140625" style="433" customWidth="1"/>
    <col min="6440" max="6440" width="8.28515625" style="433" customWidth="1"/>
    <col min="6441" max="6441" width="5.140625" style="433" customWidth="1"/>
    <col min="6442" max="6442" width="12.7109375" style="433" customWidth="1"/>
    <col min="6443" max="6443" width="14.140625" style="433" customWidth="1"/>
    <col min="6444" max="6444" width="13.140625" style="433" customWidth="1"/>
    <col min="6445" max="6445" width="11.85546875" style="433" bestFit="1" customWidth="1"/>
    <col min="6446" max="6446" width="2.42578125" style="433" bestFit="1" customWidth="1"/>
    <col min="6447" max="6447" width="7.5703125" style="433" bestFit="1" customWidth="1"/>
    <col min="6448" max="6448" width="9.140625" style="433" bestFit="1" customWidth="1"/>
    <col min="6449" max="6656" width="11.42578125" style="433"/>
    <col min="6657" max="6657" width="5.140625" style="433" bestFit="1" customWidth="1"/>
    <col min="6658" max="6658" width="8.140625" style="433" bestFit="1" customWidth="1"/>
    <col min="6659" max="6659" width="16.5703125" style="433" bestFit="1" customWidth="1"/>
    <col min="6660" max="6660" width="24.5703125" style="433" customWidth="1"/>
    <col min="6661" max="6661" width="7.5703125" style="433" bestFit="1" customWidth="1"/>
    <col min="6662" max="6662" width="12.28515625" style="433" customWidth="1"/>
    <col min="6663" max="6663" width="25.28515625" style="433" customWidth="1"/>
    <col min="6664" max="6664" width="21.85546875" style="433" customWidth="1"/>
    <col min="6665" max="6665" width="11.140625" style="433" customWidth="1"/>
    <col min="6666" max="6666" width="12" style="433" customWidth="1"/>
    <col min="6667" max="6667" width="11.28515625" style="433" customWidth="1"/>
    <col min="6668" max="6670" width="6.42578125" style="433" bestFit="1" customWidth="1"/>
    <col min="6671" max="6671" width="7.5703125" style="433" bestFit="1" customWidth="1"/>
    <col min="6672" max="6672" width="8.85546875" style="433" bestFit="1" customWidth="1"/>
    <col min="6673" max="6673" width="7.5703125" style="433" bestFit="1" customWidth="1"/>
    <col min="6674" max="6676" width="6.42578125" style="433" bestFit="1" customWidth="1"/>
    <col min="6677" max="6679" width="7.5703125" style="433" bestFit="1" customWidth="1"/>
    <col min="6680" max="6682" width="6.42578125" style="433" bestFit="1" customWidth="1"/>
    <col min="6683" max="6685" width="7.5703125" style="433" bestFit="1" customWidth="1"/>
    <col min="6686" max="6688" width="6.42578125" style="433" bestFit="1" customWidth="1"/>
    <col min="6689" max="6691" width="7.5703125" style="433" bestFit="1" customWidth="1"/>
    <col min="6692" max="6692" width="9.42578125" style="433" customWidth="1"/>
    <col min="6693" max="6693" width="8.85546875" style="433" customWidth="1"/>
    <col min="6694" max="6694" width="6.5703125" style="433" customWidth="1"/>
    <col min="6695" max="6695" width="8.140625" style="433" customWidth="1"/>
    <col min="6696" max="6696" width="8.28515625" style="433" customWidth="1"/>
    <col min="6697" max="6697" width="5.140625" style="433" customWidth="1"/>
    <col min="6698" max="6698" width="12.7109375" style="433" customWidth="1"/>
    <col min="6699" max="6699" width="14.140625" style="433" customWidth="1"/>
    <col min="6700" max="6700" width="13.140625" style="433" customWidth="1"/>
    <col min="6701" max="6701" width="11.85546875" style="433" bestFit="1" customWidth="1"/>
    <col min="6702" max="6702" width="2.42578125" style="433" bestFit="1" customWidth="1"/>
    <col min="6703" max="6703" width="7.5703125" style="433" bestFit="1" customWidth="1"/>
    <col min="6704" max="6704" width="9.140625" style="433" bestFit="1" customWidth="1"/>
    <col min="6705" max="6912" width="11.42578125" style="433"/>
    <col min="6913" max="6913" width="5.140625" style="433" bestFit="1" customWidth="1"/>
    <col min="6914" max="6914" width="8.140625" style="433" bestFit="1" customWidth="1"/>
    <col min="6915" max="6915" width="16.5703125" style="433" bestFit="1" customWidth="1"/>
    <col min="6916" max="6916" width="24.5703125" style="433" customWidth="1"/>
    <col min="6917" max="6917" width="7.5703125" style="433" bestFit="1" customWidth="1"/>
    <col min="6918" max="6918" width="12.28515625" style="433" customWidth="1"/>
    <col min="6919" max="6919" width="25.28515625" style="433" customWidth="1"/>
    <col min="6920" max="6920" width="21.85546875" style="433" customWidth="1"/>
    <col min="6921" max="6921" width="11.140625" style="433" customWidth="1"/>
    <col min="6922" max="6922" width="12" style="433" customWidth="1"/>
    <col min="6923" max="6923" width="11.28515625" style="433" customWidth="1"/>
    <col min="6924" max="6926" width="6.42578125" style="433" bestFit="1" customWidth="1"/>
    <col min="6927" max="6927" width="7.5703125" style="433" bestFit="1" customWidth="1"/>
    <col min="6928" max="6928" width="8.85546875" style="433" bestFit="1" customWidth="1"/>
    <col min="6929" max="6929" width="7.5703125" style="433" bestFit="1" customWidth="1"/>
    <col min="6930" max="6932" width="6.42578125" style="433" bestFit="1" customWidth="1"/>
    <col min="6933" max="6935" width="7.5703125" style="433" bestFit="1" customWidth="1"/>
    <col min="6936" max="6938" width="6.42578125" style="433" bestFit="1" customWidth="1"/>
    <col min="6939" max="6941" width="7.5703125" style="433" bestFit="1" customWidth="1"/>
    <col min="6942" max="6944" width="6.42578125" style="433" bestFit="1" customWidth="1"/>
    <col min="6945" max="6947" width="7.5703125" style="433" bestFit="1" customWidth="1"/>
    <col min="6948" max="6948" width="9.42578125" style="433" customWidth="1"/>
    <col min="6949" max="6949" width="8.85546875" style="433" customWidth="1"/>
    <col min="6950" max="6950" width="6.5703125" style="433" customWidth="1"/>
    <col min="6951" max="6951" width="8.140625" style="433" customWidth="1"/>
    <col min="6952" max="6952" width="8.28515625" style="433" customWidth="1"/>
    <col min="6953" max="6953" width="5.140625" style="433" customWidth="1"/>
    <col min="6954" max="6954" width="12.7109375" style="433" customWidth="1"/>
    <col min="6955" max="6955" width="14.140625" style="433" customWidth="1"/>
    <col min="6956" max="6956" width="13.140625" style="433" customWidth="1"/>
    <col min="6957" max="6957" width="11.85546875" style="433" bestFit="1" customWidth="1"/>
    <col min="6958" max="6958" width="2.42578125" style="433" bestFit="1" customWidth="1"/>
    <col min="6959" max="6959" width="7.5703125" style="433" bestFit="1" customWidth="1"/>
    <col min="6960" max="6960" width="9.140625" style="433" bestFit="1" customWidth="1"/>
    <col min="6961" max="7168" width="11.42578125" style="433"/>
    <col min="7169" max="7169" width="5.140625" style="433" bestFit="1" customWidth="1"/>
    <col min="7170" max="7170" width="8.140625" style="433" bestFit="1" customWidth="1"/>
    <col min="7171" max="7171" width="16.5703125" style="433" bestFit="1" customWidth="1"/>
    <col min="7172" max="7172" width="24.5703125" style="433" customWidth="1"/>
    <col min="7173" max="7173" width="7.5703125" style="433" bestFit="1" customWidth="1"/>
    <col min="7174" max="7174" width="12.28515625" style="433" customWidth="1"/>
    <col min="7175" max="7175" width="25.28515625" style="433" customWidth="1"/>
    <col min="7176" max="7176" width="21.85546875" style="433" customWidth="1"/>
    <col min="7177" max="7177" width="11.140625" style="433" customWidth="1"/>
    <col min="7178" max="7178" width="12" style="433" customWidth="1"/>
    <col min="7179" max="7179" width="11.28515625" style="433" customWidth="1"/>
    <col min="7180" max="7182" width="6.42578125" style="433" bestFit="1" customWidth="1"/>
    <col min="7183" max="7183" width="7.5703125" style="433" bestFit="1" customWidth="1"/>
    <col min="7184" max="7184" width="8.85546875" style="433" bestFit="1" customWidth="1"/>
    <col min="7185" max="7185" width="7.5703125" style="433" bestFit="1" customWidth="1"/>
    <col min="7186" max="7188" width="6.42578125" style="433" bestFit="1" customWidth="1"/>
    <col min="7189" max="7191" width="7.5703125" style="433" bestFit="1" customWidth="1"/>
    <col min="7192" max="7194" width="6.42578125" style="433" bestFit="1" customWidth="1"/>
    <col min="7195" max="7197" width="7.5703125" style="433" bestFit="1" customWidth="1"/>
    <col min="7198" max="7200" width="6.42578125" style="433" bestFit="1" customWidth="1"/>
    <col min="7201" max="7203" width="7.5703125" style="433" bestFit="1" customWidth="1"/>
    <col min="7204" max="7204" width="9.42578125" style="433" customWidth="1"/>
    <col min="7205" max="7205" width="8.85546875" style="433" customWidth="1"/>
    <col min="7206" max="7206" width="6.5703125" style="433" customWidth="1"/>
    <col min="7207" max="7207" width="8.140625" style="433" customWidth="1"/>
    <col min="7208" max="7208" width="8.28515625" style="433" customWidth="1"/>
    <col min="7209" max="7209" width="5.140625" style="433" customWidth="1"/>
    <col min="7210" max="7210" width="12.7109375" style="433" customWidth="1"/>
    <col min="7211" max="7211" width="14.140625" style="433" customWidth="1"/>
    <col min="7212" max="7212" width="13.140625" style="433" customWidth="1"/>
    <col min="7213" max="7213" width="11.85546875" style="433" bestFit="1" customWidth="1"/>
    <col min="7214" max="7214" width="2.42578125" style="433" bestFit="1" customWidth="1"/>
    <col min="7215" max="7215" width="7.5703125" style="433" bestFit="1" customWidth="1"/>
    <col min="7216" max="7216" width="9.140625" style="433" bestFit="1" customWidth="1"/>
    <col min="7217" max="7424" width="11.42578125" style="433"/>
    <col min="7425" max="7425" width="5.140625" style="433" bestFit="1" customWidth="1"/>
    <col min="7426" max="7426" width="8.140625" style="433" bestFit="1" customWidth="1"/>
    <col min="7427" max="7427" width="16.5703125" style="433" bestFit="1" customWidth="1"/>
    <col min="7428" max="7428" width="24.5703125" style="433" customWidth="1"/>
    <col min="7429" max="7429" width="7.5703125" style="433" bestFit="1" customWidth="1"/>
    <col min="7430" max="7430" width="12.28515625" style="433" customWidth="1"/>
    <col min="7431" max="7431" width="25.28515625" style="433" customWidth="1"/>
    <col min="7432" max="7432" width="21.85546875" style="433" customWidth="1"/>
    <col min="7433" max="7433" width="11.140625" style="433" customWidth="1"/>
    <col min="7434" max="7434" width="12" style="433" customWidth="1"/>
    <col min="7435" max="7435" width="11.28515625" style="433" customWidth="1"/>
    <col min="7436" max="7438" width="6.42578125" style="433" bestFit="1" customWidth="1"/>
    <col min="7439" max="7439" width="7.5703125" style="433" bestFit="1" customWidth="1"/>
    <col min="7440" max="7440" width="8.85546875" style="433" bestFit="1" customWidth="1"/>
    <col min="7441" max="7441" width="7.5703125" style="433" bestFit="1" customWidth="1"/>
    <col min="7442" max="7444" width="6.42578125" style="433" bestFit="1" customWidth="1"/>
    <col min="7445" max="7447" width="7.5703125" style="433" bestFit="1" customWidth="1"/>
    <col min="7448" max="7450" width="6.42578125" style="433" bestFit="1" customWidth="1"/>
    <col min="7451" max="7453" width="7.5703125" style="433" bestFit="1" customWidth="1"/>
    <col min="7454" max="7456" width="6.42578125" style="433" bestFit="1" customWidth="1"/>
    <col min="7457" max="7459" width="7.5703125" style="433" bestFit="1" customWidth="1"/>
    <col min="7460" max="7460" width="9.42578125" style="433" customWidth="1"/>
    <col min="7461" max="7461" width="8.85546875" style="433" customWidth="1"/>
    <col min="7462" max="7462" width="6.5703125" style="433" customWidth="1"/>
    <col min="7463" max="7463" width="8.140625" style="433" customWidth="1"/>
    <col min="7464" max="7464" width="8.28515625" style="433" customWidth="1"/>
    <col min="7465" max="7465" width="5.140625" style="433" customWidth="1"/>
    <col min="7466" max="7466" width="12.7109375" style="433" customWidth="1"/>
    <col min="7467" max="7467" width="14.140625" style="433" customWidth="1"/>
    <col min="7468" max="7468" width="13.140625" style="433" customWidth="1"/>
    <col min="7469" max="7469" width="11.85546875" style="433" bestFit="1" customWidth="1"/>
    <col min="7470" max="7470" width="2.42578125" style="433" bestFit="1" customWidth="1"/>
    <col min="7471" max="7471" width="7.5703125" style="433" bestFit="1" customWidth="1"/>
    <col min="7472" max="7472" width="9.140625" style="433" bestFit="1" customWidth="1"/>
    <col min="7473" max="7680" width="11.42578125" style="433"/>
    <col min="7681" max="7681" width="5.140625" style="433" bestFit="1" customWidth="1"/>
    <col min="7682" max="7682" width="8.140625" style="433" bestFit="1" customWidth="1"/>
    <col min="7683" max="7683" width="16.5703125" style="433" bestFit="1" customWidth="1"/>
    <col min="7684" max="7684" width="24.5703125" style="433" customWidth="1"/>
    <col min="7685" max="7685" width="7.5703125" style="433" bestFit="1" customWidth="1"/>
    <col min="7686" max="7686" width="12.28515625" style="433" customWidth="1"/>
    <col min="7687" max="7687" width="25.28515625" style="433" customWidth="1"/>
    <col min="7688" max="7688" width="21.85546875" style="433" customWidth="1"/>
    <col min="7689" max="7689" width="11.140625" style="433" customWidth="1"/>
    <col min="7690" max="7690" width="12" style="433" customWidth="1"/>
    <col min="7691" max="7691" width="11.28515625" style="433" customWidth="1"/>
    <col min="7692" max="7694" width="6.42578125" style="433" bestFit="1" customWidth="1"/>
    <col min="7695" max="7695" width="7.5703125" style="433" bestFit="1" customWidth="1"/>
    <col min="7696" max="7696" width="8.85546875" style="433" bestFit="1" customWidth="1"/>
    <col min="7697" max="7697" width="7.5703125" style="433" bestFit="1" customWidth="1"/>
    <col min="7698" max="7700" width="6.42578125" style="433" bestFit="1" customWidth="1"/>
    <col min="7701" max="7703" width="7.5703125" style="433" bestFit="1" customWidth="1"/>
    <col min="7704" max="7706" width="6.42578125" style="433" bestFit="1" customWidth="1"/>
    <col min="7707" max="7709" width="7.5703125" style="433" bestFit="1" customWidth="1"/>
    <col min="7710" max="7712" width="6.42578125" style="433" bestFit="1" customWidth="1"/>
    <col min="7713" max="7715" width="7.5703125" style="433" bestFit="1" customWidth="1"/>
    <col min="7716" max="7716" width="9.42578125" style="433" customWidth="1"/>
    <col min="7717" max="7717" width="8.85546875" style="433" customWidth="1"/>
    <col min="7718" max="7718" width="6.5703125" style="433" customWidth="1"/>
    <col min="7719" max="7719" width="8.140625" style="433" customWidth="1"/>
    <col min="7720" max="7720" width="8.28515625" style="433" customWidth="1"/>
    <col min="7721" max="7721" width="5.140625" style="433" customWidth="1"/>
    <col min="7722" max="7722" width="12.7109375" style="433" customWidth="1"/>
    <col min="7723" max="7723" width="14.140625" style="433" customWidth="1"/>
    <col min="7724" max="7724" width="13.140625" style="433" customWidth="1"/>
    <col min="7725" max="7725" width="11.85546875" style="433" bestFit="1" customWidth="1"/>
    <col min="7726" max="7726" width="2.42578125" style="433" bestFit="1" customWidth="1"/>
    <col min="7727" max="7727" width="7.5703125" style="433" bestFit="1" customWidth="1"/>
    <col min="7728" max="7728" width="9.140625" style="433" bestFit="1" customWidth="1"/>
    <col min="7729" max="7936" width="11.42578125" style="433"/>
    <col min="7937" max="7937" width="5.140625" style="433" bestFit="1" customWidth="1"/>
    <col min="7938" max="7938" width="8.140625" style="433" bestFit="1" customWidth="1"/>
    <col min="7939" max="7939" width="16.5703125" style="433" bestFit="1" customWidth="1"/>
    <col min="7940" max="7940" width="24.5703125" style="433" customWidth="1"/>
    <col min="7941" max="7941" width="7.5703125" style="433" bestFit="1" customWidth="1"/>
    <col min="7942" max="7942" width="12.28515625" style="433" customWidth="1"/>
    <col min="7943" max="7943" width="25.28515625" style="433" customWidth="1"/>
    <col min="7944" max="7944" width="21.85546875" style="433" customWidth="1"/>
    <col min="7945" max="7945" width="11.140625" style="433" customWidth="1"/>
    <col min="7946" max="7946" width="12" style="433" customWidth="1"/>
    <col min="7947" max="7947" width="11.28515625" style="433" customWidth="1"/>
    <col min="7948" max="7950" width="6.42578125" style="433" bestFit="1" customWidth="1"/>
    <col min="7951" max="7951" width="7.5703125" style="433" bestFit="1" customWidth="1"/>
    <col min="7952" max="7952" width="8.85546875" style="433" bestFit="1" customWidth="1"/>
    <col min="7953" max="7953" width="7.5703125" style="433" bestFit="1" customWidth="1"/>
    <col min="7954" max="7956" width="6.42578125" style="433" bestFit="1" customWidth="1"/>
    <col min="7957" max="7959" width="7.5703125" style="433" bestFit="1" customWidth="1"/>
    <col min="7960" max="7962" width="6.42578125" style="433" bestFit="1" customWidth="1"/>
    <col min="7963" max="7965" width="7.5703125" style="433" bestFit="1" customWidth="1"/>
    <col min="7966" max="7968" width="6.42578125" style="433" bestFit="1" customWidth="1"/>
    <col min="7969" max="7971" width="7.5703125" style="433" bestFit="1" customWidth="1"/>
    <col min="7972" max="7972" width="9.42578125" style="433" customWidth="1"/>
    <col min="7973" max="7973" width="8.85546875" style="433" customWidth="1"/>
    <col min="7974" max="7974" width="6.5703125" style="433" customWidth="1"/>
    <col min="7975" max="7975" width="8.140625" style="433" customWidth="1"/>
    <col min="7976" max="7976" width="8.28515625" style="433" customWidth="1"/>
    <col min="7977" max="7977" width="5.140625" style="433" customWidth="1"/>
    <col min="7978" max="7978" width="12.7109375" style="433" customWidth="1"/>
    <col min="7979" max="7979" width="14.140625" style="433" customWidth="1"/>
    <col min="7980" max="7980" width="13.140625" style="433" customWidth="1"/>
    <col min="7981" max="7981" width="11.85546875" style="433" bestFit="1" customWidth="1"/>
    <col min="7982" max="7982" width="2.42578125" style="433" bestFit="1" customWidth="1"/>
    <col min="7983" max="7983" width="7.5703125" style="433" bestFit="1" customWidth="1"/>
    <col min="7984" max="7984" width="9.140625" style="433" bestFit="1" customWidth="1"/>
    <col min="7985" max="8192" width="11.42578125" style="433"/>
    <col min="8193" max="8193" width="5.140625" style="433" bestFit="1" customWidth="1"/>
    <col min="8194" max="8194" width="8.140625" style="433" bestFit="1" customWidth="1"/>
    <col min="8195" max="8195" width="16.5703125" style="433" bestFit="1" customWidth="1"/>
    <col min="8196" max="8196" width="24.5703125" style="433" customWidth="1"/>
    <col min="8197" max="8197" width="7.5703125" style="433" bestFit="1" customWidth="1"/>
    <col min="8198" max="8198" width="12.28515625" style="433" customWidth="1"/>
    <col min="8199" max="8199" width="25.28515625" style="433" customWidth="1"/>
    <col min="8200" max="8200" width="21.85546875" style="433" customWidth="1"/>
    <col min="8201" max="8201" width="11.140625" style="433" customWidth="1"/>
    <col min="8202" max="8202" width="12" style="433" customWidth="1"/>
    <col min="8203" max="8203" width="11.28515625" style="433" customWidth="1"/>
    <col min="8204" max="8206" width="6.42578125" style="433" bestFit="1" customWidth="1"/>
    <col min="8207" max="8207" width="7.5703125" style="433" bestFit="1" customWidth="1"/>
    <col min="8208" max="8208" width="8.85546875" style="433" bestFit="1" customWidth="1"/>
    <col min="8209" max="8209" width="7.5703125" style="433" bestFit="1" customWidth="1"/>
    <col min="8210" max="8212" width="6.42578125" style="433" bestFit="1" customWidth="1"/>
    <col min="8213" max="8215" width="7.5703125" style="433" bestFit="1" customWidth="1"/>
    <col min="8216" max="8218" width="6.42578125" style="433" bestFit="1" customWidth="1"/>
    <col min="8219" max="8221" width="7.5703125" style="433" bestFit="1" customWidth="1"/>
    <col min="8222" max="8224" width="6.42578125" style="433" bestFit="1" customWidth="1"/>
    <col min="8225" max="8227" width="7.5703125" style="433" bestFit="1" customWidth="1"/>
    <col min="8228" max="8228" width="9.42578125" style="433" customWidth="1"/>
    <col min="8229" max="8229" width="8.85546875" style="433" customWidth="1"/>
    <col min="8230" max="8230" width="6.5703125" style="433" customWidth="1"/>
    <col min="8231" max="8231" width="8.140625" style="433" customWidth="1"/>
    <col min="8232" max="8232" width="8.28515625" style="433" customWidth="1"/>
    <col min="8233" max="8233" width="5.140625" style="433" customWidth="1"/>
    <col min="8234" max="8234" width="12.7109375" style="433" customWidth="1"/>
    <col min="8235" max="8235" width="14.140625" style="433" customWidth="1"/>
    <col min="8236" max="8236" width="13.140625" style="433" customWidth="1"/>
    <col min="8237" max="8237" width="11.85546875" style="433" bestFit="1" customWidth="1"/>
    <col min="8238" max="8238" width="2.42578125" style="433" bestFit="1" customWidth="1"/>
    <col min="8239" max="8239" width="7.5703125" style="433" bestFit="1" customWidth="1"/>
    <col min="8240" max="8240" width="9.140625" style="433" bestFit="1" customWidth="1"/>
    <col min="8241" max="8448" width="11.42578125" style="433"/>
    <col min="8449" max="8449" width="5.140625" style="433" bestFit="1" customWidth="1"/>
    <col min="8450" max="8450" width="8.140625" style="433" bestFit="1" customWidth="1"/>
    <col min="8451" max="8451" width="16.5703125" style="433" bestFit="1" customWidth="1"/>
    <col min="8452" max="8452" width="24.5703125" style="433" customWidth="1"/>
    <col min="8453" max="8453" width="7.5703125" style="433" bestFit="1" customWidth="1"/>
    <col min="8454" max="8454" width="12.28515625" style="433" customWidth="1"/>
    <col min="8455" max="8455" width="25.28515625" style="433" customWidth="1"/>
    <col min="8456" max="8456" width="21.85546875" style="433" customWidth="1"/>
    <col min="8457" max="8457" width="11.140625" style="433" customWidth="1"/>
    <col min="8458" max="8458" width="12" style="433" customWidth="1"/>
    <col min="8459" max="8459" width="11.28515625" style="433" customWidth="1"/>
    <col min="8460" max="8462" width="6.42578125" style="433" bestFit="1" customWidth="1"/>
    <col min="8463" max="8463" width="7.5703125" style="433" bestFit="1" customWidth="1"/>
    <col min="8464" max="8464" width="8.85546875" style="433" bestFit="1" customWidth="1"/>
    <col min="8465" max="8465" width="7.5703125" style="433" bestFit="1" customWidth="1"/>
    <col min="8466" max="8468" width="6.42578125" style="433" bestFit="1" customWidth="1"/>
    <col min="8469" max="8471" width="7.5703125" style="433" bestFit="1" customWidth="1"/>
    <col min="8472" max="8474" width="6.42578125" style="433" bestFit="1" customWidth="1"/>
    <col min="8475" max="8477" width="7.5703125" style="433" bestFit="1" customWidth="1"/>
    <col min="8478" max="8480" width="6.42578125" style="433" bestFit="1" customWidth="1"/>
    <col min="8481" max="8483" width="7.5703125" style="433" bestFit="1" customWidth="1"/>
    <col min="8484" max="8484" width="9.42578125" style="433" customWidth="1"/>
    <col min="8485" max="8485" width="8.85546875" style="433" customWidth="1"/>
    <col min="8486" max="8486" width="6.5703125" style="433" customWidth="1"/>
    <col min="8487" max="8487" width="8.140625" style="433" customWidth="1"/>
    <col min="8488" max="8488" width="8.28515625" style="433" customWidth="1"/>
    <col min="8489" max="8489" width="5.140625" style="433" customWidth="1"/>
    <col min="8490" max="8490" width="12.7109375" style="433" customWidth="1"/>
    <col min="8491" max="8491" width="14.140625" style="433" customWidth="1"/>
    <col min="8492" max="8492" width="13.140625" style="433" customWidth="1"/>
    <col min="8493" max="8493" width="11.85546875" style="433" bestFit="1" customWidth="1"/>
    <col min="8494" max="8494" width="2.42578125" style="433" bestFit="1" customWidth="1"/>
    <col min="8495" max="8495" width="7.5703125" style="433" bestFit="1" customWidth="1"/>
    <col min="8496" max="8496" width="9.140625" style="433" bestFit="1" customWidth="1"/>
    <col min="8497" max="8704" width="11.42578125" style="433"/>
    <col min="8705" max="8705" width="5.140625" style="433" bestFit="1" customWidth="1"/>
    <col min="8706" max="8706" width="8.140625" style="433" bestFit="1" customWidth="1"/>
    <col min="8707" max="8707" width="16.5703125" style="433" bestFit="1" customWidth="1"/>
    <col min="8708" max="8708" width="24.5703125" style="433" customWidth="1"/>
    <col min="8709" max="8709" width="7.5703125" style="433" bestFit="1" customWidth="1"/>
    <col min="8710" max="8710" width="12.28515625" style="433" customWidth="1"/>
    <col min="8711" max="8711" width="25.28515625" style="433" customWidth="1"/>
    <col min="8712" max="8712" width="21.85546875" style="433" customWidth="1"/>
    <col min="8713" max="8713" width="11.140625" style="433" customWidth="1"/>
    <col min="8714" max="8714" width="12" style="433" customWidth="1"/>
    <col min="8715" max="8715" width="11.28515625" style="433" customWidth="1"/>
    <col min="8716" max="8718" width="6.42578125" style="433" bestFit="1" customWidth="1"/>
    <col min="8719" max="8719" width="7.5703125" style="433" bestFit="1" customWidth="1"/>
    <col min="8720" max="8720" width="8.85546875" style="433" bestFit="1" customWidth="1"/>
    <col min="8721" max="8721" width="7.5703125" style="433" bestFit="1" customWidth="1"/>
    <col min="8722" max="8724" width="6.42578125" style="433" bestFit="1" customWidth="1"/>
    <col min="8725" max="8727" width="7.5703125" style="433" bestFit="1" customWidth="1"/>
    <col min="8728" max="8730" width="6.42578125" style="433" bestFit="1" customWidth="1"/>
    <col min="8731" max="8733" width="7.5703125" style="433" bestFit="1" customWidth="1"/>
    <col min="8734" max="8736" width="6.42578125" style="433" bestFit="1" customWidth="1"/>
    <col min="8737" max="8739" width="7.5703125" style="433" bestFit="1" customWidth="1"/>
    <col min="8740" max="8740" width="9.42578125" style="433" customWidth="1"/>
    <col min="8741" max="8741" width="8.85546875" style="433" customWidth="1"/>
    <col min="8742" max="8742" width="6.5703125" style="433" customWidth="1"/>
    <col min="8743" max="8743" width="8.140625" style="433" customWidth="1"/>
    <col min="8744" max="8744" width="8.28515625" style="433" customWidth="1"/>
    <col min="8745" max="8745" width="5.140625" style="433" customWidth="1"/>
    <col min="8746" max="8746" width="12.7109375" style="433" customWidth="1"/>
    <col min="8747" max="8747" width="14.140625" style="433" customWidth="1"/>
    <col min="8748" max="8748" width="13.140625" style="433" customWidth="1"/>
    <col min="8749" max="8749" width="11.85546875" style="433" bestFit="1" customWidth="1"/>
    <col min="8750" max="8750" width="2.42578125" style="433" bestFit="1" customWidth="1"/>
    <col min="8751" max="8751" width="7.5703125" style="433" bestFit="1" customWidth="1"/>
    <col min="8752" max="8752" width="9.140625" style="433" bestFit="1" customWidth="1"/>
    <col min="8753" max="8960" width="11.42578125" style="433"/>
    <col min="8961" max="8961" width="5.140625" style="433" bestFit="1" customWidth="1"/>
    <col min="8962" max="8962" width="8.140625" style="433" bestFit="1" customWidth="1"/>
    <col min="8963" max="8963" width="16.5703125" style="433" bestFit="1" customWidth="1"/>
    <col min="8964" max="8964" width="24.5703125" style="433" customWidth="1"/>
    <col min="8965" max="8965" width="7.5703125" style="433" bestFit="1" customWidth="1"/>
    <col min="8966" max="8966" width="12.28515625" style="433" customWidth="1"/>
    <col min="8967" max="8967" width="25.28515625" style="433" customWidth="1"/>
    <col min="8968" max="8968" width="21.85546875" style="433" customWidth="1"/>
    <col min="8969" max="8969" width="11.140625" style="433" customWidth="1"/>
    <col min="8970" max="8970" width="12" style="433" customWidth="1"/>
    <col min="8971" max="8971" width="11.28515625" style="433" customWidth="1"/>
    <col min="8972" max="8974" width="6.42578125" style="433" bestFit="1" customWidth="1"/>
    <col min="8975" max="8975" width="7.5703125" style="433" bestFit="1" customWidth="1"/>
    <col min="8976" max="8976" width="8.85546875" style="433" bestFit="1" customWidth="1"/>
    <col min="8977" max="8977" width="7.5703125" style="433" bestFit="1" customWidth="1"/>
    <col min="8978" max="8980" width="6.42578125" style="433" bestFit="1" customWidth="1"/>
    <col min="8981" max="8983" width="7.5703125" style="433" bestFit="1" customWidth="1"/>
    <col min="8984" max="8986" width="6.42578125" style="433" bestFit="1" customWidth="1"/>
    <col min="8987" max="8989" width="7.5703125" style="433" bestFit="1" customWidth="1"/>
    <col min="8990" max="8992" width="6.42578125" style="433" bestFit="1" customWidth="1"/>
    <col min="8993" max="8995" width="7.5703125" style="433" bestFit="1" customWidth="1"/>
    <col min="8996" max="8996" width="9.42578125" style="433" customWidth="1"/>
    <col min="8997" max="8997" width="8.85546875" style="433" customWidth="1"/>
    <col min="8998" max="8998" width="6.5703125" style="433" customWidth="1"/>
    <col min="8999" max="8999" width="8.140625" style="433" customWidth="1"/>
    <col min="9000" max="9000" width="8.28515625" style="433" customWidth="1"/>
    <col min="9001" max="9001" width="5.140625" style="433" customWidth="1"/>
    <col min="9002" max="9002" width="12.7109375" style="433" customWidth="1"/>
    <col min="9003" max="9003" width="14.140625" style="433" customWidth="1"/>
    <col min="9004" max="9004" width="13.140625" style="433" customWidth="1"/>
    <col min="9005" max="9005" width="11.85546875" style="433" bestFit="1" customWidth="1"/>
    <col min="9006" max="9006" width="2.42578125" style="433" bestFit="1" customWidth="1"/>
    <col min="9007" max="9007" width="7.5703125" style="433" bestFit="1" customWidth="1"/>
    <col min="9008" max="9008" width="9.140625" style="433" bestFit="1" customWidth="1"/>
    <col min="9009" max="9216" width="11.42578125" style="433"/>
    <col min="9217" max="9217" width="5.140625" style="433" bestFit="1" customWidth="1"/>
    <col min="9218" max="9218" width="8.140625" style="433" bestFit="1" customWidth="1"/>
    <col min="9219" max="9219" width="16.5703125" style="433" bestFit="1" customWidth="1"/>
    <col min="9220" max="9220" width="24.5703125" style="433" customWidth="1"/>
    <col min="9221" max="9221" width="7.5703125" style="433" bestFit="1" customWidth="1"/>
    <col min="9222" max="9222" width="12.28515625" style="433" customWidth="1"/>
    <col min="9223" max="9223" width="25.28515625" style="433" customWidth="1"/>
    <col min="9224" max="9224" width="21.85546875" style="433" customWidth="1"/>
    <col min="9225" max="9225" width="11.140625" style="433" customWidth="1"/>
    <col min="9226" max="9226" width="12" style="433" customWidth="1"/>
    <col min="9227" max="9227" width="11.28515625" style="433" customWidth="1"/>
    <col min="9228" max="9230" width="6.42578125" style="433" bestFit="1" customWidth="1"/>
    <col min="9231" max="9231" width="7.5703125" style="433" bestFit="1" customWidth="1"/>
    <col min="9232" max="9232" width="8.85546875" style="433" bestFit="1" customWidth="1"/>
    <col min="9233" max="9233" width="7.5703125" style="433" bestFit="1" customWidth="1"/>
    <col min="9234" max="9236" width="6.42578125" style="433" bestFit="1" customWidth="1"/>
    <col min="9237" max="9239" width="7.5703125" style="433" bestFit="1" customWidth="1"/>
    <col min="9240" max="9242" width="6.42578125" style="433" bestFit="1" customWidth="1"/>
    <col min="9243" max="9245" width="7.5703125" style="433" bestFit="1" customWidth="1"/>
    <col min="9246" max="9248" width="6.42578125" style="433" bestFit="1" customWidth="1"/>
    <col min="9249" max="9251" width="7.5703125" style="433" bestFit="1" customWidth="1"/>
    <col min="9252" max="9252" width="9.42578125" style="433" customWidth="1"/>
    <col min="9253" max="9253" width="8.85546875" style="433" customWidth="1"/>
    <col min="9254" max="9254" width="6.5703125" style="433" customWidth="1"/>
    <col min="9255" max="9255" width="8.140625" style="433" customWidth="1"/>
    <col min="9256" max="9256" width="8.28515625" style="433" customWidth="1"/>
    <col min="9257" max="9257" width="5.140625" style="433" customWidth="1"/>
    <col min="9258" max="9258" width="12.7109375" style="433" customWidth="1"/>
    <col min="9259" max="9259" width="14.140625" style="433" customWidth="1"/>
    <col min="9260" max="9260" width="13.140625" style="433" customWidth="1"/>
    <col min="9261" max="9261" width="11.85546875" style="433" bestFit="1" customWidth="1"/>
    <col min="9262" max="9262" width="2.42578125" style="433" bestFit="1" customWidth="1"/>
    <col min="9263" max="9263" width="7.5703125" style="433" bestFit="1" customWidth="1"/>
    <col min="9264" max="9264" width="9.140625" style="433" bestFit="1" customWidth="1"/>
    <col min="9265" max="9472" width="11.42578125" style="433"/>
    <col min="9473" max="9473" width="5.140625" style="433" bestFit="1" customWidth="1"/>
    <col min="9474" max="9474" width="8.140625" style="433" bestFit="1" customWidth="1"/>
    <col min="9475" max="9475" width="16.5703125" style="433" bestFit="1" customWidth="1"/>
    <col min="9476" max="9476" width="24.5703125" style="433" customWidth="1"/>
    <col min="9477" max="9477" width="7.5703125" style="433" bestFit="1" customWidth="1"/>
    <col min="9478" max="9478" width="12.28515625" style="433" customWidth="1"/>
    <col min="9479" max="9479" width="25.28515625" style="433" customWidth="1"/>
    <col min="9480" max="9480" width="21.85546875" style="433" customWidth="1"/>
    <col min="9481" max="9481" width="11.140625" style="433" customWidth="1"/>
    <col min="9482" max="9482" width="12" style="433" customWidth="1"/>
    <col min="9483" max="9483" width="11.28515625" style="433" customWidth="1"/>
    <col min="9484" max="9486" width="6.42578125" style="433" bestFit="1" customWidth="1"/>
    <col min="9487" max="9487" width="7.5703125" style="433" bestFit="1" customWidth="1"/>
    <col min="9488" max="9488" width="8.85546875" style="433" bestFit="1" customWidth="1"/>
    <col min="9489" max="9489" width="7.5703125" style="433" bestFit="1" customWidth="1"/>
    <col min="9490" max="9492" width="6.42578125" style="433" bestFit="1" customWidth="1"/>
    <col min="9493" max="9495" width="7.5703125" style="433" bestFit="1" customWidth="1"/>
    <col min="9496" max="9498" width="6.42578125" style="433" bestFit="1" customWidth="1"/>
    <col min="9499" max="9501" width="7.5703125" style="433" bestFit="1" customWidth="1"/>
    <col min="9502" max="9504" width="6.42578125" style="433" bestFit="1" customWidth="1"/>
    <col min="9505" max="9507" width="7.5703125" style="433" bestFit="1" customWidth="1"/>
    <col min="9508" max="9508" width="9.42578125" style="433" customWidth="1"/>
    <col min="9509" max="9509" width="8.85546875" style="433" customWidth="1"/>
    <col min="9510" max="9510" width="6.5703125" style="433" customWidth="1"/>
    <col min="9511" max="9511" width="8.140625" style="433" customWidth="1"/>
    <col min="9512" max="9512" width="8.28515625" style="433" customWidth="1"/>
    <col min="9513" max="9513" width="5.140625" style="433" customWidth="1"/>
    <col min="9514" max="9514" width="12.7109375" style="433" customWidth="1"/>
    <col min="9515" max="9515" width="14.140625" style="433" customWidth="1"/>
    <col min="9516" max="9516" width="13.140625" style="433" customWidth="1"/>
    <col min="9517" max="9517" width="11.85546875" style="433" bestFit="1" customWidth="1"/>
    <col min="9518" max="9518" width="2.42578125" style="433" bestFit="1" customWidth="1"/>
    <col min="9519" max="9519" width="7.5703125" style="433" bestFit="1" customWidth="1"/>
    <col min="9520" max="9520" width="9.140625" style="433" bestFit="1" customWidth="1"/>
    <col min="9521" max="9728" width="11.42578125" style="433"/>
    <col min="9729" max="9729" width="5.140625" style="433" bestFit="1" customWidth="1"/>
    <col min="9730" max="9730" width="8.140625" style="433" bestFit="1" customWidth="1"/>
    <col min="9731" max="9731" width="16.5703125" style="433" bestFit="1" customWidth="1"/>
    <col min="9732" max="9732" width="24.5703125" style="433" customWidth="1"/>
    <col min="9733" max="9733" width="7.5703125" style="433" bestFit="1" customWidth="1"/>
    <col min="9734" max="9734" width="12.28515625" style="433" customWidth="1"/>
    <col min="9735" max="9735" width="25.28515625" style="433" customWidth="1"/>
    <col min="9736" max="9736" width="21.85546875" style="433" customWidth="1"/>
    <col min="9737" max="9737" width="11.140625" style="433" customWidth="1"/>
    <col min="9738" max="9738" width="12" style="433" customWidth="1"/>
    <col min="9739" max="9739" width="11.28515625" style="433" customWidth="1"/>
    <col min="9740" max="9742" width="6.42578125" style="433" bestFit="1" customWidth="1"/>
    <col min="9743" max="9743" width="7.5703125" style="433" bestFit="1" customWidth="1"/>
    <col min="9744" max="9744" width="8.85546875" style="433" bestFit="1" customWidth="1"/>
    <col min="9745" max="9745" width="7.5703125" style="433" bestFit="1" customWidth="1"/>
    <col min="9746" max="9748" width="6.42578125" style="433" bestFit="1" customWidth="1"/>
    <col min="9749" max="9751" width="7.5703125" style="433" bestFit="1" customWidth="1"/>
    <col min="9752" max="9754" width="6.42578125" style="433" bestFit="1" customWidth="1"/>
    <col min="9755" max="9757" width="7.5703125" style="433" bestFit="1" customWidth="1"/>
    <col min="9758" max="9760" width="6.42578125" style="433" bestFit="1" customWidth="1"/>
    <col min="9761" max="9763" width="7.5703125" style="433" bestFit="1" customWidth="1"/>
    <col min="9764" max="9764" width="9.42578125" style="433" customWidth="1"/>
    <col min="9765" max="9765" width="8.85546875" style="433" customWidth="1"/>
    <col min="9766" max="9766" width="6.5703125" style="433" customWidth="1"/>
    <col min="9767" max="9767" width="8.140625" style="433" customWidth="1"/>
    <col min="9768" max="9768" width="8.28515625" style="433" customWidth="1"/>
    <col min="9769" max="9769" width="5.140625" style="433" customWidth="1"/>
    <col min="9770" max="9770" width="12.7109375" style="433" customWidth="1"/>
    <col min="9771" max="9771" width="14.140625" style="433" customWidth="1"/>
    <col min="9772" max="9772" width="13.140625" style="433" customWidth="1"/>
    <col min="9773" max="9773" width="11.85546875" style="433" bestFit="1" customWidth="1"/>
    <col min="9774" max="9774" width="2.42578125" style="433" bestFit="1" customWidth="1"/>
    <col min="9775" max="9775" width="7.5703125" style="433" bestFit="1" customWidth="1"/>
    <col min="9776" max="9776" width="9.140625" style="433" bestFit="1" customWidth="1"/>
    <col min="9777" max="9984" width="11.42578125" style="433"/>
    <col min="9985" max="9985" width="5.140625" style="433" bestFit="1" customWidth="1"/>
    <col min="9986" max="9986" width="8.140625" style="433" bestFit="1" customWidth="1"/>
    <col min="9987" max="9987" width="16.5703125" style="433" bestFit="1" customWidth="1"/>
    <col min="9988" max="9988" width="24.5703125" style="433" customWidth="1"/>
    <col min="9989" max="9989" width="7.5703125" style="433" bestFit="1" customWidth="1"/>
    <col min="9990" max="9990" width="12.28515625" style="433" customWidth="1"/>
    <col min="9991" max="9991" width="25.28515625" style="433" customWidth="1"/>
    <col min="9992" max="9992" width="21.85546875" style="433" customWidth="1"/>
    <col min="9993" max="9993" width="11.140625" style="433" customWidth="1"/>
    <col min="9994" max="9994" width="12" style="433" customWidth="1"/>
    <col min="9995" max="9995" width="11.28515625" style="433" customWidth="1"/>
    <col min="9996" max="9998" width="6.42578125" style="433" bestFit="1" customWidth="1"/>
    <col min="9999" max="9999" width="7.5703125" style="433" bestFit="1" customWidth="1"/>
    <col min="10000" max="10000" width="8.85546875" style="433" bestFit="1" customWidth="1"/>
    <col min="10001" max="10001" width="7.5703125" style="433" bestFit="1" customWidth="1"/>
    <col min="10002" max="10004" width="6.42578125" style="433" bestFit="1" customWidth="1"/>
    <col min="10005" max="10007" width="7.5703125" style="433" bestFit="1" customWidth="1"/>
    <col min="10008" max="10010" width="6.42578125" style="433" bestFit="1" customWidth="1"/>
    <col min="10011" max="10013" width="7.5703125" style="433" bestFit="1" customWidth="1"/>
    <col min="10014" max="10016" width="6.42578125" style="433" bestFit="1" customWidth="1"/>
    <col min="10017" max="10019" width="7.5703125" style="433" bestFit="1" customWidth="1"/>
    <col min="10020" max="10020" width="9.42578125" style="433" customWidth="1"/>
    <col min="10021" max="10021" width="8.85546875" style="433" customWidth="1"/>
    <col min="10022" max="10022" width="6.5703125" style="433" customWidth="1"/>
    <col min="10023" max="10023" width="8.140625" style="433" customWidth="1"/>
    <col min="10024" max="10024" width="8.28515625" style="433" customWidth="1"/>
    <col min="10025" max="10025" width="5.140625" style="433" customWidth="1"/>
    <col min="10026" max="10026" width="12.7109375" style="433" customWidth="1"/>
    <col min="10027" max="10027" width="14.140625" style="433" customWidth="1"/>
    <col min="10028" max="10028" width="13.140625" style="433" customWidth="1"/>
    <col min="10029" max="10029" width="11.85546875" style="433" bestFit="1" customWidth="1"/>
    <col min="10030" max="10030" width="2.42578125" style="433" bestFit="1" customWidth="1"/>
    <col min="10031" max="10031" width="7.5703125" style="433" bestFit="1" customWidth="1"/>
    <col min="10032" max="10032" width="9.140625" style="433" bestFit="1" customWidth="1"/>
    <col min="10033" max="10240" width="11.42578125" style="433"/>
    <col min="10241" max="10241" width="5.140625" style="433" bestFit="1" customWidth="1"/>
    <col min="10242" max="10242" width="8.140625" style="433" bestFit="1" customWidth="1"/>
    <col min="10243" max="10243" width="16.5703125" style="433" bestFit="1" customWidth="1"/>
    <col min="10244" max="10244" width="24.5703125" style="433" customWidth="1"/>
    <col min="10245" max="10245" width="7.5703125" style="433" bestFit="1" customWidth="1"/>
    <col min="10246" max="10246" width="12.28515625" style="433" customWidth="1"/>
    <col min="10247" max="10247" width="25.28515625" style="433" customWidth="1"/>
    <col min="10248" max="10248" width="21.85546875" style="433" customWidth="1"/>
    <col min="10249" max="10249" width="11.140625" style="433" customWidth="1"/>
    <col min="10250" max="10250" width="12" style="433" customWidth="1"/>
    <col min="10251" max="10251" width="11.28515625" style="433" customWidth="1"/>
    <col min="10252" max="10254" width="6.42578125" style="433" bestFit="1" customWidth="1"/>
    <col min="10255" max="10255" width="7.5703125" style="433" bestFit="1" customWidth="1"/>
    <col min="10256" max="10256" width="8.85546875" style="433" bestFit="1" customWidth="1"/>
    <col min="10257" max="10257" width="7.5703125" style="433" bestFit="1" customWidth="1"/>
    <col min="10258" max="10260" width="6.42578125" style="433" bestFit="1" customWidth="1"/>
    <col min="10261" max="10263" width="7.5703125" style="433" bestFit="1" customWidth="1"/>
    <col min="10264" max="10266" width="6.42578125" style="433" bestFit="1" customWidth="1"/>
    <col min="10267" max="10269" width="7.5703125" style="433" bestFit="1" customWidth="1"/>
    <col min="10270" max="10272" width="6.42578125" style="433" bestFit="1" customWidth="1"/>
    <col min="10273" max="10275" width="7.5703125" style="433" bestFit="1" customWidth="1"/>
    <col min="10276" max="10276" width="9.42578125" style="433" customWidth="1"/>
    <col min="10277" max="10277" width="8.85546875" style="433" customWidth="1"/>
    <col min="10278" max="10278" width="6.5703125" style="433" customWidth="1"/>
    <col min="10279" max="10279" width="8.140625" style="433" customWidth="1"/>
    <col min="10280" max="10280" width="8.28515625" style="433" customWidth="1"/>
    <col min="10281" max="10281" width="5.140625" style="433" customWidth="1"/>
    <col min="10282" max="10282" width="12.7109375" style="433" customWidth="1"/>
    <col min="10283" max="10283" width="14.140625" style="433" customWidth="1"/>
    <col min="10284" max="10284" width="13.140625" style="433" customWidth="1"/>
    <col min="10285" max="10285" width="11.85546875" style="433" bestFit="1" customWidth="1"/>
    <col min="10286" max="10286" width="2.42578125" style="433" bestFit="1" customWidth="1"/>
    <col min="10287" max="10287" width="7.5703125" style="433" bestFit="1" customWidth="1"/>
    <col min="10288" max="10288" width="9.140625" style="433" bestFit="1" customWidth="1"/>
    <col min="10289" max="10496" width="11.42578125" style="433"/>
    <col min="10497" max="10497" width="5.140625" style="433" bestFit="1" customWidth="1"/>
    <col min="10498" max="10498" width="8.140625" style="433" bestFit="1" customWidth="1"/>
    <col min="10499" max="10499" width="16.5703125" style="433" bestFit="1" customWidth="1"/>
    <col min="10500" max="10500" width="24.5703125" style="433" customWidth="1"/>
    <col min="10501" max="10501" width="7.5703125" style="433" bestFit="1" customWidth="1"/>
    <col min="10502" max="10502" width="12.28515625" style="433" customWidth="1"/>
    <col min="10503" max="10503" width="25.28515625" style="433" customWidth="1"/>
    <col min="10504" max="10504" width="21.85546875" style="433" customWidth="1"/>
    <col min="10505" max="10505" width="11.140625" style="433" customWidth="1"/>
    <col min="10506" max="10506" width="12" style="433" customWidth="1"/>
    <col min="10507" max="10507" width="11.28515625" style="433" customWidth="1"/>
    <col min="10508" max="10510" width="6.42578125" style="433" bestFit="1" customWidth="1"/>
    <col min="10511" max="10511" width="7.5703125" style="433" bestFit="1" customWidth="1"/>
    <col min="10512" max="10512" width="8.85546875" style="433" bestFit="1" customWidth="1"/>
    <col min="10513" max="10513" width="7.5703125" style="433" bestFit="1" customWidth="1"/>
    <col min="10514" max="10516" width="6.42578125" style="433" bestFit="1" customWidth="1"/>
    <col min="10517" max="10519" width="7.5703125" style="433" bestFit="1" customWidth="1"/>
    <col min="10520" max="10522" width="6.42578125" style="433" bestFit="1" customWidth="1"/>
    <col min="10523" max="10525" width="7.5703125" style="433" bestFit="1" customWidth="1"/>
    <col min="10526" max="10528" width="6.42578125" style="433" bestFit="1" customWidth="1"/>
    <col min="10529" max="10531" width="7.5703125" style="433" bestFit="1" customWidth="1"/>
    <col min="10532" max="10532" width="9.42578125" style="433" customWidth="1"/>
    <col min="10533" max="10533" width="8.85546875" style="433" customWidth="1"/>
    <col min="10534" max="10534" width="6.5703125" style="433" customWidth="1"/>
    <col min="10535" max="10535" width="8.140625" style="433" customWidth="1"/>
    <col min="10536" max="10536" width="8.28515625" style="433" customWidth="1"/>
    <col min="10537" max="10537" width="5.140625" style="433" customWidth="1"/>
    <col min="10538" max="10538" width="12.7109375" style="433" customWidth="1"/>
    <col min="10539" max="10539" width="14.140625" style="433" customWidth="1"/>
    <col min="10540" max="10540" width="13.140625" style="433" customWidth="1"/>
    <col min="10541" max="10541" width="11.85546875" style="433" bestFit="1" customWidth="1"/>
    <col min="10542" max="10542" width="2.42578125" style="433" bestFit="1" customWidth="1"/>
    <col min="10543" max="10543" width="7.5703125" style="433" bestFit="1" customWidth="1"/>
    <col min="10544" max="10544" width="9.140625" style="433" bestFit="1" customWidth="1"/>
    <col min="10545" max="10752" width="11.42578125" style="433"/>
    <col min="10753" max="10753" width="5.140625" style="433" bestFit="1" customWidth="1"/>
    <col min="10754" max="10754" width="8.140625" style="433" bestFit="1" customWidth="1"/>
    <col min="10755" max="10755" width="16.5703125" style="433" bestFit="1" customWidth="1"/>
    <col min="10756" max="10756" width="24.5703125" style="433" customWidth="1"/>
    <col min="10757" max="10757" width="7.5703125" style="433" bestFit="1" customWidth="1"/>
    <col min="10758" max="10758" width="12.28515625" style="433" customWidth="1"/>
    <col min="10759" max="10759" width="25.28515625" style="433" customWidth="1"/>
    <col min="10760" max="10760" width="21.85546875" style="433" customWidth="1"/>
    <col min="10761" max="10761" width="11.140625" style="433" customWidth="1"/>
    <col min="10762" max="10762" width="12" style="433" customWidth="1"/>
    <col min="10763" max="10763" width="11.28515625" style="433" customWidth="1"/>
    <col min="10764" max="10766" width="6.42578125" style="433" bestFit="1" customWidth="1"/>
    <col min="10767" max="10767" width="7.5703125" style="433" bestFit="1" customWidth="1"/>
    <col min="10768" max="10768" width="8.85546875" style="433" bestFit="1" customWidth="1"/>
    <col min="10769" max="10769" width="7.5703125" style="433" bestFit="1" customWidth="1"/>
    <col min="10770" max="10772" width="6.42578125" style="433" bestFit="1" customWidth="1"/>
    <col min="10773" max="10775" width="7.5703125" style="433" bestFit="1" customWidth="1"/>
    <col min="10776" max="10778" width="6.42578125" style="433" bestFit="1" customWidth="1"/>
    <col min="10779" max="10781" width="7.5703125" style="433" bestFit="1" customWidth="1"/>
    <col min="10782" max="10784" width="6.42578125" style="433" bestFit="1" customWidth="1"/>
    <col min="10785" max="10787" width="7.5703125" style="433" bestFit="1" customWidth="1"/>
    <col min="10788" max="10788" width="9.42578125" style="433" customWidth="1"/>
    <col min="10789" max="10789" width="8.85546875" style="433" customWidth="1"/>
    <col min="10790" max="10790" width="6.5703125" style="433" customWidth="1"/>
    <col min="10791" max="10791" width="8.140625" style="433" customWidth="1"/>
    <col min="10792" max="10792" width="8.28515625" style="433" customWidth="1"/>
    <col min="10793" max="10793" width="5.140625" style="433" customWidth="1"/>
    <col min="10794" max="10794" width="12.7109375" style="433" customWidth="1"/>
    <col min="10795" max="10795" width="14.140625" style="433" customWidth="1"/>
    <col min="10796" max="10796" width="13.140625" style="433" customWidth="1"/>
    <col min="10797" max="10797" width="11.85546875" style="433" bestFit="1" customWidth="1"/>
    <col min="10798" max="10798" width="2.42578125" style="433" bestFit="1" customWidth="1"/>
    <col min="10799" max="10799" width="7.5703125" style="433" bestFit="1" customWidth="1"/>
    <col min="10800" max="10800" width="9.140625" style="433" bestFit="1" customWidth="1"/>
    <col min="10801" max="11008" width="11.42578125" style="433"/>
    <col min="11009" max="11009" width="5.140625" style="433" bestFit="1" customWidth="1"/>
    <col min="11010" max="11010" width="8.140625" style="433" bestFit="1" customWidth="1"/>
    <col min="11011" max="11011" width="16.5703125" style="433" bestFit="1" customWidth="1"/>
    <col min="11012" max="11012" width="24.5703125" style="433" customWidth="1"/>
    <col min="11013" max="11013" width="7.5703125" style="433" bestFit="1" customWidth="1"/>
    <col min="11014" max="11014" width="12.28515625" style="433" customWidth="1"/>
    <col min="11015" max="11015" width="25.28515625" style="433" customWidth="1"/>
    <col min="11016" max="11016" width="21.85546875" style="433" customWidth="1"/>
    <col min="11017" max="11017" width="11.140625" style="433" customWidth="1"/>
    <col min="11018" max="11018" width="12" style="433" customWidth="1"/>
    <col min="11019" max="11019" width="11.28515625" style="433" customWidth="1"/>
    <col min="11020" max="11022" width="6.42578125" style="433" bestFit="1" customWidth="1"/>
    <col min="11023" max="11023" width="7.5703125" style="433" bestFit="1" customWidth="1"/>
    <col min="11024" max="11024" width="8.85546875" style="433" bestFit="1" customWidth="1"/>
    <col min="11025" max="11025" width="7.5703125" style="433" bestFit="1" customWidth="1"/>
    <col min="11026" max="11028" width="6.42578125" style="433" bestFit="1" customWidth="1"/>
    <col min="11029" max="11031" width="7.5703125" style="433" bestFit="1" customWidth="1"/>
    <col min="11032" max="11034" width="6.42578125" style="433" bestFit="1" customWidth="1"/>
    <col min="11035" max="11037" width="7.5703125" style="433" bestFit="1" customWidth="1"/>
    <col min="11038" max="11040" width="6.42578125" style="433" bestFit="1" customWidth="1"/>
    <col min="11041" max="11043" width="7.5703125" style="433" bestFit="1" customWidth="1"/>
    <col min="11044" max="11044" width="9.42578125" style="433" customWidth="1"/>
    <col min="11045" max="11045" width="8.85546875" style="433" customWidth="1"/>
    <col min="11046" max="11046" width="6.5703125" style="433" customWidth="1"/>
    <col min="11047" max="11047" width="8.140625" style="433" customWidth="1"/>
    <col min="11048" max="11048" width="8.28515625" style="433" customWidth="1"/>
    <col min="11049" max="11049" width="5.140625" style="433" customWidth="1"/>
    <col min="11050" max="11050" width="12.7109375" style="433" customWidth="1"/>
    <col min="11051" max="11051" width="14.140625" style="433" customWidth="1"/>
    <col min="11052" max="11052" width="13.140625" style="433" customWidth="1"/>
    <col min="11053" max="11053" width="11.85546875" style="433" bestFit="1" customWidth="1"/>
    <col min="11054" max="11054" width="2.42578125" style="433" bestFit="1" customWidth="1"/>
    <col min="11055" max="11055" width="7.5703125" style="433" bestFit="1" customWidth="1"/>
    <col min="11056" max="11056" width="9.140625" style="433" bestFit="1" customWidth="1"/>
    <col min="11057" max="11264" width="11.42578125" style="433"/>
    <col min="11265" max="11265" width="5.140625" style="433" bestFit="1" customWidth="1"/>
    <col min="11266" max="11266" width="8.140625" style="433" bestFit="1" customWidth="1"/>
    <col min="11267" max="11267" width="16.5703125" style="433" bestFit="1" customWidth="1"/>
    <col min="11268" max="11268" width="24.5703125" style="433" customWidth="1"/>
    <col min="11269" max="11269" width="7.5703125" style="433" bestFit="1" customWidth="1"/>
    <col min="11270" max="11270" width="12.28515625" style="433" customWidth="1"/>
    <col min="11271" max="11271" width="25.28515625" style="433" customWidth="1"/>
    <col min="11272" max="11272" width="21.85546875" style="433" customWidth="1"/>
    <col min="11273" max="11273" width="11.140625" style="433" customWidth="1"/>
    <col min="11274" max="11274" width="12" style="433" customWidth="1"/>
    <col min="11275" max="11275" width="11.28515625" style="433" customWidth="1"/>
    <col min="11276" max="11278" width="6.42578125" style="433" bestFit="1" customWidth="1"/>
    <col min="11279" max="11279" width="7.5703125" style="433" bestFit="1" customWidth="1"/>
    <col min="11280" max="11280" width="8.85546875" style="433" bestFit="1" customWidth="1"/>
    <col min="11281" max="11281" width="7.5703125" style="433" bestFit="1" customWidth="1"/>
    <col min="11282" max="11284" width="6.42578125" style="433" bestFit="1" customWidth="1"/>
    <col min="11285" max="11287" width="7.5703125" style="433" bestFit="1" customWidth="1"/>
    <col min="11288" max="11290" width="6.42578125" style="433" bestFit="1" customWidth="1"/>
    <col min="11291" max="11293" width="7.5703125" style="433" bestFit="1" customWidth="1"/>
    <col min="11294" max="11296" width="6.42578125" style="433" bestFit="1" customWidth="1"/>
    <col min="11297" max="11299" width="7.5703125" style="433" bestFit="1" customWidth="1"/>
    <col min="11300" max="11300" width="9.42578125" style="433" customWidth="1"/>
    <col min="11301" max="11301" width="8.85546875" style="433" customWidth="1"/>
    <col min="11302" max="11302" width="6.5703125" style="433" customWidth="1"/>
    <col min="11303" max="11303" width="8.140625" style="433" customWidth="1"/>
    <col min="11304" max="11304" width="8.28515625" style="433" customWidth="1"/>
    <col min="11305" max="11305" width="5.140625" style="433" customWidth="1"/>
    <col min="11306" max="11306" width="12.7109375" style="433" customWidth="1"/>
    <col min="11307" max="11307" width="14.140625" style="433" customWidth="1"/>
    <col min="11308" max="11308" width="13.140625" style="433" customWidth="1"/>
    <col min="11309" max="11309" width="11.85546875" style="433" bestFit="1" customWidth="1"/>
    <col min="11310" max="11310" width="2.42578125" style="433" bestFit="1" customWidth="1"/>
    <col min="11311" max="11311" width="7.5703125" style="433" bestFit="1" customWidth="1"/>
    <col min="11312" max="11312" width="9.140625" style="433" bestFit="1" customWidth="1"/>
    <col min="11313" max="11520" width="11.42578125" style="433"/>
    <col min="11521" max="11521" width="5.140625" style="433" bestFit="1" customWidth="1"/>
    <col min="11522" max="11522" width="8.140625" style="433" bestFit="1" customWidth="1"/>
    <col min="11523" max="11523" width="16.5703125" style="433" bestFit="1" customWidth="1"/>
    <col min="11524" max="11524" width="24.5703125" style="433" customWidth="1"/>
    <col min="11525" max="11525" width="7.5703125" style="433" bestFit="1" customWidth="1"/>
    <col min="11526" max="11526" width="12.28515625" style="433" customWidth="1"/>
    <col min="11527" max="11527" width="25.28515625" style="433" customWidth="1"/>
    <col min="11528" max="11528" width="21.85546875" style="433" customWidth="1"/>
    <col min="11529" max="11529" width="11.140625" style="433" customWidth="1"/>
    <col min="11530" max="11530" width="12" style="433" customWidth="1"/>
    <col min="11531" max="11531" width="11.28515625" style="433" customWidth="1"/>
    <col min="11532" max="11534" width="6.42578125" style="433" bestFit="1" customWidth="1"/>
    <col min="11535" max="11535" width="7.5703125" style="433" bestFit="1" customWidth="1"/>
    <col min="11536" max="11536" width="8.85546875" style="433" bestFit="1" customWidth="1"/>
    <col min="11537" max="11537" width="7.5703125" style="433" bestFit="1" customWidth="1"/>
    <col min="11538" max="11540" width="6.42578125" style="433" bestFit="1" customWidth="1"/>
    <col min="11541" max="11543" width="7.5703125" style="433" bestFit="1" customWidth="1"/>
    <col min="11544" max="11546" width="6.42578125" style="433" bestFit="1" customWidth="1"/>
    <col min="11547" max="11549" width="7.5703125" style="433" bestFit="1" customWidth="1"/>
    <col min="11550" max="11552" width="6.42578125" style="433" bestFit="1" customWidth="1"/>
    <col min="11553" max="11555" width="7.5703125" style="433" bestFit="1" customWidth="1"/>
    <col min="11556" max="11556" width="9.42578125" style="433" customWidth="1"/>
    <col min="11557" max="11557" width="8.85546875" style="433" customWidth="1"/>
    <col min="11558" max="11558" width="6.5703125" style="433" customWidth="1"/>
    <col min="11559" max="11559" width="8.140625" style="433" customWidth="1"/>
    <col min="11560" max="11560" width="8.28515625" style="433" customWidth="1"/>
    <col min="11561" max="11561" width="5.140625" style="433" customWidth="1"/>
    <col min="11562" max="11562" width="12.7109375" style="433" customWidth="1"/>
    <col min="11563" max="11563" width="14.140625" style="433" customWidth="1"/>
    <col min="11564" max="11564" width="13.140625" style="433" customWidth="1"/>
    <col min="11565" max="11565" width="11.85546875" style="433" bestFit="1" customWidth="1"/>
    <col min="11566" max="11566" width="2.42578125" style="433" bestFit="1" customWidth="1"/>
    <col min="11567" max="11567" width="7.5703125" style="433" bestFit="1" customWidth="1"/>
    <col min="11568" max="11568" width="9.140625" style="433" bestFit="1" customWidth="1"/>
    <col min="11569" max="11776" width="11.42578125" style="433"/>
    <col min="11777" max="11777" width="5.140625" style="433" bestFit="1" customWidth="1"/>
    <col min="11778" max="11778" width="8.140625" style="433" bestFit="1" customWidth="1"/>
    <col min="11779" max="11779" width="16.5703125" style="433" bestFit="1" customWidth="1"/>
    <col min="11780" max="11780" width="24.5703125" style="433" customWidth="1"/>
    <col min="11781" max="11781" width="7.5703125" style="433" bestFit="1" customWidth="1"/>
    <col min="11782" max="11782" width="12.28515625" style="433" customWidth="1"/>
    <col min="11783" max="11783" width="25.28515625" style="433" customWidth="1"/>
    <col min="11784" max="11784" width="21.85546875" style="433" customWidth="1"/>
    <col min="11785" max="11785" width="11.140625" style="433" customWidth="1"/>
    <col min="11786" max="11786" width="12" style="433" customWidth="1"/>
    <col min="11787" max="11787" width="11.28515625" style="433" customWidth="1"/>
    <col min="11788" max="11790" width="6.42578125" style="433" bestFit="1" customWidth="1"/>
    <col min="11791" max="11791" width="7.5703125" style="433" bestFit="1" customWidth="1"/>
    <col min="11792" max="11792" width="8.85546875" style="433" bestFit="1" customWidth="1"/>
    <col min="11793" max="11793" width="7.5703125" style="433" bestFit="1" customWidth="1"/>
    <col min="11794" max="11796" width="6.42578125" style="433" bestFit="1" customWidth="1"/>
    <col min="11797" max="11799" width="7.5703125" style="433" bestFit="1" customWidth="1"/>
    <col min="11800" max="11802" width="6.42578125" style="433" bestFit="1" customWidth="1"/>
    <col min="11803" max="11805" width="7.5703125" style="433" bestFit="1" customWidth="1"/>
    <col min="11806" max="11808" width="6.42578125" style="433" bestFit="1" customWidth="1"/>
    <col min="11809" max="11811" width="7.5703125" style="433" bestFit="1" customWidth="1"/>
    <col min="11812" max="11812" width="9.42578125" style="433" customWidth="1"/>
    <col min="11813" max="11813" width="8.85546875" style="433" customWidth="1"/>
    <col min="11814" max="11814" width="6.5703125" style="433" customWidth="1"/>
    <col min="11815" max="11815" width="8.140625" style="433" customWidth="1"/>
    <col min="11816" max="11816" width="8.28515625" style="433" customWidth="1"/>
    <col min="11817" max="11817" width="5.140625" style="433" customWidth="1"/>
    <col min="11818" max="11818" width="12.7109375" style="433" customWidth="1"/>
    <col min="11819" max="11819" width="14.140625" style="433" customWidth="1"/>
    <col min="11820" max="11820" width="13.140625" style="433" customWidth="1"/>
    <col min="11821" max="11821" width="11.85546875" style="433" bestFit="1" customWidth="1"/>
    <col min="11822" max="11822" width="2.42578125" style="433" bestFit="1" customWidth="1"/>
    <col min="11823" max="11823" width="7.5703125" style="433" bestFit="1" customWidth="1"/>
    <col min="11824" max="11824" width="9.140625" style="433" bestFit="1" customWidth="1"/>
    <col min="11825" max="12032" width="11.42578125" style="433"/>
    <col min="12033" max="12033" width="5.140625" style="433" bestFit="1" customWidth="1"/>
    <col min="12034" max="12034" width="8.140625" style="433" bestFit="1" customWidth="1"/>
    <col min="12035" max="12035" width="16.5703125" style="433" bestFit="1" customWidth="1"/>
    <col min="12036" max="12036" width="24.5703125" style="433" customWidth="1"/>
    <col min="12037" max="12037" width="7.5703125" style="433" bestFit="1" customWidth="1"/>
    <col min="12038" max="12038" width="12.28515625" style="433" customWidth="1"/>
    <col min="12039" max="12039" width="25.28515625" style="433" customWidth="1"/>
    <col min="12040" max="12040" width="21.85546875" style="433" customWidth="1"/>
    <col min="12041" max="12041" width="11.140625" style="433" customWidth="1"/>
    <col min="12042" max="12042" width="12" style="433" customWidth="1"/>
    <col min="12043" max="12043" width="11.28515625" style="433" customWidth="1"/>
    <col min="12044" max="12046" width="6.42578125" style="433" bestFit="1" customWidth="1"/>
    <col min="12047" max="12047" width="7.5703125" style="433" bestFit="1" customWidth="1"/>
    <col min="12048" max="12048" width="8.85546875" style="433" bestFit="1" customWidth="1"/>
    <col min="12049" max="12049" width="7.5703125" style="433" bestFit="1" customWidth="1"/>
    <col min="12050" max="12052" width="6.42578125" style="433" bestFit="1" customWidth="1"/>
    <col min="12053" max="12055" width="7.5703125" style="433" bestFit="1" customWidth="1"/>
    <col min="12056" max="12058" width="6.42578125" style="433" bestFit="1" customWidth="1"/>
    <col min="12059" max="12061" width="7.5703125" style="433" bestFit="1" customWidth="1"/>
    <col min="12062" max="12064" width="6.42578125" style="433" bestFit="1" customWidth="1"/>
    <col min="12065" max="12067" width="7.5703125" style="433" bestFit="1" customWidth="1"/>
    <col min="12068" max="12068" width="9.42578125" style="433" customWidth="1"/>
    <col min="12069" max="12069" width="8.85546875" style="433" customWidth="1"/>
    <col min="12070" max="12070" width="6.5703125" style="433" customWidth="1"/>
    <col min="12071" max="12071" width="8.140625" style="433" customWidth="1"/>
    <col min="12072" max="12072" width="8.28515625" style="433" customWidth="1"/>
    <col min="12073" max="12073" width="5.140625" style="433" customWidth="1"/>
    <col min="12074" max="12074" width="12.7109375" style="433" customWidth="1"/>
    <col min="12075" max="12075" width="14.140625" style="433" customWidth="1"/>
    <col min="12076" max="12076" width="13.140625" style="433" customWidth="1"/>
    <col min="12077" max="12077" width="11.85546875" style="433" bestFit="1" customWidth="1"/>
    <col min="12078" max="12078" width="2.42578125" style="433" bestFit="1" customWidth="1"/>
    <col min="12079" max="12079" width="7.5703125" style="433" bestFit="1" customWidth="1"/>
    <col min="12080" max="12080" width="9.140625" style="433" bestFit="1" customWidth="1"/>
    <col min="12081" max="12288" width="11.42578125" style="433"/>
    <col min="12289" max="12289" width="5.140625" style="433" bestFit="1" customWidth="1"/>
    <col min="12290" max="12290" width="8.140625" style="433" bestFit="1" customWidth="1"/>
    <col min="12291" max="12291" width="16.5703125" style="433" bestFit="1" customWidth="1"/>
    <col min="12292" max="12292" width="24.5703125" style="433" customWidth="1"/>
    <col min="12293" max="12293" width="7.5703125" style="433" bestFit="1" customWidth="1"/>
    <col min="12294" max="12294" width="12.28515625" style="433" customWidth="1"/>
    <col min="12295" max="12295" width="25.28515625" style="433" customWidth="1"/>
    <col min="12296" max="12296" width="21.85546875" style="433" customWidth="1"/>
    <col min="12297" max="12297" width="11.140625" style="433" customWidth="1"/>
    <col min="12298" max="12298" width="12" style="433" customWidth="1"/>
    <col min="12299" max="12299" width="11.28515625" style="433" customWidth="1"/>
    <col min="12300" max="12302" width="6.42578125" style="433" bestFit="1" customWidth="1"/>
    <col min="12303" max="12303" width="7.5703125" style="433" bestFit="1" customWidth="1"/>
    <col min="12304" max="12304" width="8.85546875" style="433" bestFit="1" customWidth="1"/>
    <col min="12305" max="12305" width="7.5703125" style="433" bestFit="1" customWidth="1"/>
    <col min="12306" max="12308" width="6.42578125" style="433" bestFit="1" customWidth="1"/>
    <col min="12309" max="12311" width="7.5703125" style="433" bestFit="1" customWidth="1"/>
    <col min="12312" max="12314" width="6.42578125" style="433" bestFit="1" customWidth="1"/>
    <col min="12315" max="12317" width="7.5703125" style="433" bestFit="1" customWidth="1"/>
    <col min="12318" max="12320" width="6.42578125" style="433" bestFit="1" customWidth="1"/>
    <col min="12321" max="12323" width="7.5703125" style="433" bestFit="1" customWidth="1"/>
    <col min="12324" max="12324" width="9.42578125" style="433" customWidth="1"/>
    <col min="12325" max="12325" width="8.85546875" style="433" customWidth="1"/>
    <col min="12326" max="12326" width="6.5703125" style="433" customWidth="1"/>
    <col min="12327" max="12327" width="8.140625" style="433" customWidth="1"/>
    <col min="12328" max="12328" width="8.28515625" style="433" customWidth="1"/>
    <col min="12329" max="12329" width="5.140625" style="433" customWidth="1"/>
    <col min="12330" max="12330" width="12.7109375" style="433" customWidth="1"/>
    <col min="12331" max="12331" width="14.140625" style="433" customWidth="1"/>
    <col min="12332" max="12332" width="13.140625" style="433" customWidth="1"/>
    <col min="12333" max="12333" width="11.85546875" style="433" bestFit="1" customWidth="1"/>
    <col min="12334" max="12334" width="2.42578125" style="433" bestFit="1" customWidth="1"/>
    <col min="12335" max="12335" width="7.5703125" style="433" bestFit="1" customWidth="1"/>
    <col min="12336" max="12336" width="9.140625" style="433" bestFit="1" customWidth="1"/>
    <col min="12337" max="12544" width="11.42578125" style="433"/>
    <col min="12545" max="12545" width="5.140625" style="433" bestFit="1" customWidth="1"/>
    <col min="12546" max="12546" width="8.140625" style="433" bestFit="1" customWidth="1"/>
    <col min="12547" max="12547" width="16.5703125" style="433" bestFit="1" customWidth="1"/>
    <col min="12548" max="12548" width="24.5703125" style="433" customWidth="1"/>
    <col min="12549" max="12549" width="7.5703125" style="433" bestFit="1" customWidth="1"/>
    <col min="12550" max="12550" width="12.28515625" style="433" customWidth="1"/>
    <col min="12551" max="12551" width="25.28515625" style="433" customWidth="1"/>
    <col min="12552" max="12552" width="21.85546875" style="433" customWidth="1"/>
    <col min="12553" max="12553" width="11.140625" style="433" customWidth="1"/>
    <col min="12554" max="12554" width="12" style="433" customWidth="1"/>
    <col min="12555" max="12555" width="11.28515625" style="433" customWidth="1"/>
    <col min="12556" max="12558" width="6.42578125" style="433" bestFit="1" customWidth="1"/>
    <col min="12559" max="12559" width="7.5703125" style="433" bestFit="1" customWidth="1"/>
    <col min="12560" max="12560" width="8.85546875" style="433" bestFit="1" customWidth="1"/>
    <col min="12561" max="12561" width="7.5703125" style="433" bestFit="1" customWidth="1"/>
    <col min="12562" max="12564" width="6.42578125" style="433" bestFit="1" customWidth="1"/>
    <col min="12565" max="12567" width="7.5703125" style="433" bestFit="1" customWidth="1"/>
    <col min="12568" max="12570" width="6.42578125" style="433" bestFit="1" customWidth="1"/>
    <col min="12571" max="12573" width="7.5703125" style="433" bestFit="1" customWidth="1"/>
    <col min="12574" max="12576" width="6.42578125" style="433" bestFit="1" customWidth="1"/>
    <col min="12577" max="12579" width="7.5703125" style="433" bestFit="1" customWidth="1"/>
    <col min="12580" max="12580" width="9.42578125" style="433" customWidth="1"/>
    <col min="12581" max="12581" width="8.85546875" style="433" customWidth="1"/>
    <col min="12582" max="12582" width="6.5703125" style="433" customWidth="1"/>
    <col min="12583" max="12583" width="8.140625" style="433" customWidth="1"/>
    <col min="12584" max="12584" width="8.28515625" style="433" customWidth="1"/>
    <col min="12585" max="12585" width="5.140625" style="433" customWidth="1"/>
    <col min="12586" max="12586" width="12.7109375" style="433" customWidth="1"/>
    <col min="12587" max="12587" width="14.140625" style="433" customWidth="1"/>
    <col min="12588" max="12588" width="13.140625" style="433" customWidth="1"/>
    <col min="12589" max="12589" width="11.85546875" style="433" bestFit="1" customWidth="1"/>
    <col min="12590" max="12590" width="2.42578125" style="433" bestFit="1" customWidth="1"/>
    <col min="12591" max="12591" width="7.5703125" style="433" bestFit="1" customWidth="1"/>
    <col min="12592" max="12592" width="9.140625" style="433" bestFit="1" customWidth="1"/>
    <col min="12593" max="12800" width="11.42578125" style="433"/>
    <col min="12801" max="12801" width="5.140625" style="433" bestFit="1" customWidth="1"/>
    <col min="12802" max="12802" width="8.140625" style="433" bestFit="1" customWidth="1"/>
    <col min="12803" max="12803" width="16.5703125" style="433" bestFit="1" customWidth="1"/>
    <col min="12804" max="12804" width="24.5703125" style="433" customWidth="1"/>
    <col min="12805" max="12805" width="7.5703125" style="433" bestFit="1" customWidth="1"/>
    <col min="12806" max="12806" width="12.28515625" style="433" customWidth="1"/>
    <col min="12807" max="12807" width="25.28515625" style="433" customWidth="1"/>
    <col min="12808" max="12808" width="21.85546875" style="433" customWidth="1"/>
    <col min="12809" max="12809" width="11.140625" style="433" customWidth="1"/>
    <col min="12810" max="12810" width="12" style="433" customWidth="1"/>
    <col min="12811" max="12811" width="11.28515625" style="433" customWidth="1"/>
    <col min="12812" max="12814" width="6.42578125" style="433" bestFit="1" customWidth="1"/>
    <col min="12815" max="12815" width="7.5703125" style="433" bestFit="1" customWidth="1"/>
    <col min="12816" max="12816" width="8.85546875" style="433" bestFit="1" customWidth="1"/>
    <col min="12817" max="12817" width="7.5703125" style="433" bestFit="1" customWidth="1"/>
    <col min="12818" max="12820" width="6.42578125" style="433" bestFit="1" customWidth="1"/>
    <col min="12821" max="12823" width="7.5703125" style="433" bestFit="1" customWidth="1"/>
    <col min="12824" max="12826" width="6.42578125" style="433" bestFit="1" customWidth="1"/>
    <col min="12827" max="12829" width="7.5703125" style="433" bestFit="1" customWidth="1"/>
    <col min="12830" max="12832" width="6.42578125" style="433" bestFit="1" customWidth="1"/>
    <col min="12833" max="12835" width="7.5703125" style="433" bestFit="1" customWidth="1"/>
    <col min="12836" max="12836" width="9.42578125" style="433" customWidth="1"/>
    <col min="12837" max="12837" width="8.85546875" style="433" customWidth="1"/>
    <col min="12838" max="12838" width="6.5703125" style="433" customWidth="1"/>
    <col min="12839" max="12839" width="8.140625" style="433" customWidth="1"/>
    <col min="12840" max="12840" width="8.28515625" style="433" customWidth="1"/>
    <col min="12841" max="12841" width="5.140625" style="433" customWidth="1"/>
    <col min="12842" max="12842" width="12.7109375" style="433" customWidth="1"/>
    <col min="12843" max="12843" width="14.140625" style="433" customWidth="1"/>
    <col min="12844" max="12844" width="13.140625" style="433" customWidth="1"/>
    <col min="12845" max="12845" width="11.85546875" style="433" bestFit="1" customWidth="1"/>
    <col min="12846" max="12846" width="2.42578125" style="433" bestFit="1" customWidth="1"/>
    <col min="12847" max="12847" width="7.5703125" style="433" bestFit="1" customWidth="1"/>
    <col min="12848" max="12848" width="9.140625" style="433" bestFit="1" customWidth="1"/>
    <col min="12849" max="13056" width="11.42578125" style="433"/>
    <col min="13057" max="13057" width="5.140625" style="433" bestFit="1" customWidth="1"/>
    <col min="13058" max="13058" width="8.140625" style="433" bestFit="1" customWidth="1"/>
    <col min="13059" max="13059" width="16.5703125" style="433" bestFit="1" customWidth="1"/>
    <col min="13060" max="13060" width="24.5703125" style="433" customWidth="1"/>
    <col min="13061" max="13061" width="7.5703125" style="433" bestFit="1" customWidth="1"/>
    <col min="13062" max="13062" width="12.28515625" style="433" customWidth="1"/>
    <col min="13063" max="13063" width="25.28515625" style="433" customWidth="1"/>
    <col min="13064" max="13064" width="21.85546875" style="433" customWidth="1"/>
    <col min="13065" max="13065" width="11.140625" style="433" customWidth="1"/>
    <col min="13066" max="13066" width="12" style="433" customWidth="1"/>
    <col min="13067" max="13067" width="11.28515625" style="433" customWidth="1"/>
    <col min="13068" max="13070" width="6.42578125" style="433" bestFit="1" customWidth="1"/>
    <col min="13071" max="13071" width="7.5703125" style="433" bestFit="1" customWidth="1"/>
    <col min="13072" max="13072" width="8.85546875" style="433" bestFit="1" customWidth="1"/>
    <col min="13073" max="13073" width="7.5703125" style="433" bestFit="1" customWidth="1"/>
    <col min="13074" max="13076" width="6.42578125" style="433" bestFit="1" customWidth="1"/>
    <col min="13077" max="13079" width="7.5703125" style="433" bestFit="1" customWidth="1"/>
    <col min="13080" max="13082" width="6.42578125" style="433" bestFit="1" customWidth="1"/>
    <col min="13083" max="13085" width="7.5703125" style="433" bestFit="1" customWidth="1"/>
    <col min="13086" max="13088" width="6.42578125" style="433" bestFit="1" customWidth="1"/>
    <col min="13089" max="13091" width="7.5703125" style="433" bestFit="1" customWidth="1"/>
    <col min="13092" max="13092" width="9.42578125" style="433" customWidth="1"/>
    <col min="13093" max="13093" width="8.85546875" style="433" customWidth="1"/>
    <col min="13094" max="13094" width="6.5703125" style="433" customWidth="1"/>
    <col min="13095" max="13095" width="8.140625" style="433" customWidth="1"/>
    <col min="13096" max="13096" width="8.28515625" style="433" customWidth="1"/>
    <col min="13097" max="13097" width="5.140625" style="433" customWidth="1"/>
    <col min="13098" max="13098" width="12.7109375" style="433" customWidth="1"/>
    <col min="13099" max="13099" width="14.140625" style="433" customWidth="1"/>
    <col min="13100" max="13100" width="13.140625" style="433" customWidth="1"/>
    <col min="13101" max="13101" width="11.85546875" style="433" bestFit="1" customWidth="1"/>
    <col min="13102" max="13102" width="2.42578125" style="433" bestFit="1" customWidth="1"/>
    <col min="13103" max="13103" width="7.5703125" style="433" bestFit="1" customWidth="1"/>
    <col min="13104" max="13104" width="9.140625" style="433" bestFit="1" customWidth="1"/>
    <col min="13105" max="13312" width="11.42578125" style="433"/>
    <col min="13313" max="13313" width="5.140625" style="433" bestFit="1" customWidth="1"/>
    <col min="13314" max="13314" width="8.140625" style="433" bestFit="1" customWidth="1"/>
    <col min="13315" max="13315" width="16.5703125" style="433" bestFit="1" customWidth="1"/>
    <col min="13316" max="13316" width="24.5703125" style="433" customWidth="1"/>
    <col min="13317" max="13317" width="7.5703125" style="433" bestFit="1" customWidth="1"/>
    <col min="13318" max="13318" width="12.28515625" style="433" customWidth="1"/>
    <col min="13319" max="13319" width="25.28515625" style="433" customWidth="1"/>
    <col min="13320" max="13320" width="21.85546875" style="433" customWidth="1"/>
    <col min="13321" max="13321" width="11.140625" style="433" customWidth="1"/>
    <col min="13322" max="13322" width="12" style="433" customWidth="1"/>
    <col min="13323" max="13323" width="11.28515625" style="433" customWidth="1"/>
    <col min="13324" max="13326" width="6.42578125" style="433" bestFit="1" customWidth="1"/>
    <col min="13327" max="13327" width="7.5703125" style="433" bestFit="1" customWidth="1"/>
    <col min="13328" max="13328" width="8.85546875" style="433" bestFit="1" customWidth="1"/>
    <col min="13329" max="13329" width="7.5703125" style="433" bestFit="1" customWidth="1"/>
    <col min="13330" max="13332" width="6.42578125" style="433" bestFit="1" customWidth="1"/>
    <col min="13333" max="13335" width="7.5703125" style="433" bestFit="1" customWidth="1"/>
    <col min="13336" max="13338" width="6.42578125" style="433" bestFit="1" customWidth="1"/>
    <col min="13339" max="13341" width="7.5703125" style="433" bestFit="1" customWidth="1"/>
    <col min="13342" max="13344" width="6.42578125" style="433" bestFit="1" customWidth="1"/>
    <col min="13345" max="13347" width="7.5703125" style="433" bestFit="1" customWidth="1"/>
    <col min="13348" max="13348" width="9.42578125" style="433" customWidth="1"/>
    <col min="13349" max="13349" width="8.85546875" style="433" customWidth="1"/>
    <col min="13350" max="13350" width="6.5703125" style="433" customWidth="1"/>
    <col min="13351" max="13351" width="8.140625" style="433" customWidth="1"/>
    <col min="13352" max="13352" width="8.28515625" style="433" customWidth="1"/>
    <col min="13353" max="13353" width="5.140625" style="433" customWidth="1"/>
    <col min="13354" max="13354" width="12.7109375" style="433" customWidth="1"/>
    <col min="13355" max="13355" width="14.140625" style="433" customWidth="1"/>
    <col min="13356" max="13356" width="13.140625" style="433" customWidth="1"/>
    <col min="13357" max="13357" width="11.85546875" style="433" bestFit="1" customWidth="1"/>
    <col min="13358" max="13358" width="2.42578125" style="433" bestFit="1" customWidth="1"/>
    <col min="13359" max="13359" width="7.5703125" style="433" bestFit="1" customWidth="1"/>
    <col min="13360" max="13360" width="9.140625" style="433" bestFit="1" customWidth="1"/>
    <col min="13361" max="13568" width="11.42578125" style="433"/>
    <col min="13569" max="13569" width="5.140625" style="433" bestFit="1" customWidth="1"/>
    <col min="13570" max="13570" width="8.140625" style="433" bestFit="1" customWidth="1"/>
    <col min="13571" max="13571" width="16.5703125" style="433" bestFit="1" customWidth="1"/>
    <col min="13572" max="13572" width="24.5703125" style="433" customWidth="1"/>
    <col min="13573" max="13573" width="7.5703125" style="433" bestFit="1" customWidth="1"/>
    <col min="13574" max="13574" width="12.28515625" style="433" customWidth="1"/>
    <col min="13575" max="13575" width="25.28515625" style="433" customWidth="1"/>
    <col min="13576" max="13576" width="21.85546875" style="433" customWidth="1"/>
    <col min="13577" max="13577" width="11.140625" style="433" customWidth="1"/>
    <col min="13578" max="13578" width="12" style="433" customWidth="1"/>
    <col min="13579" max="13579" width="11.28515625" style="433" customWidth="1"/>
    <col min="13580" max="13582" width="6.42578125" style="433" bestFit="1" customWidth="1"/>
    <col min="13583" max="13583" width="7.5703125" style="433" bestFit="1" customWidth="1"/>
    <col min="13584" max="13584" width="8.85546875" style="433" bestFit="1" customWidth="1"/>
    <col min="13585" max="13585" width="7.5703125" style="433" bestFit="1" customWidth="1"/>
    <col min="13586" max="13588" width="6.42578125" style="433" bestFit="1" customWidth="1"/>
    <col min="13589" max="13591" width="7.5703125" style="433" bestFit="1" customWidth="1"/>
    <col min="13592" max="13594" width="6.42578125" style="433" bestFit="1" customWidth="1"/>
    <col min="13595" max="13597" width="7.5703125" style="433" bestFit="1" customWidth="1"/>
    <col min="13598" max="13600" width="6.42578125" style="433" bestFit="1" customWidth="1"/>
    <col min="13601" max="13603" width="7.5703125" style="433" bestFit="1" customWidth="1"/>
    <col min="13604" max="13604" width="9.42578125" style="433" customWidth="1"/>
    <col min="13605" max="13605" width="8.85546875" style="433" customWidth="1"/>
    <col min="13606" max="13606" width="6.5703125" style="433" customWidth="1"/>
    <col min="13607" max="13607" width="8.140625" style="433" customWidth="1"/>
    <col min="13608" max="13608" width="8.28515625" style="433" customWidth="1"/>
    <col min="13609" max="13609" width="5.140625" style="433" customWidth="1"/>
    <col min="13610" max="13610" width="12.7109375" style="433" customWidth="1"/>
    <col min="13611" max="13611" width="14.140625" style="433" customWidth="1"/>
    <col min="13612" max="13612" width="13.140625" style="433" customWidth="1"/>
    <col min="13613" max="13613" width="11.85546875" style="433" bestFit="1" customWidth="1"/>
    <col min="13614" max="13614" width="2.42578125" style="433" bestFit="1" customWidth="1"/>
    <col min="13615" max="13615" width="7.5703125" style="433" bestFit="1" customWidth="1"/>
    <col min="13616" max="13616" width="9.140625" style="433" bestFit="1" customWidth="1"/>
    <col min="13617" max="13824" width="11.42578125" style="433"/>
    <col min="13825" max="13825" width="5.140625" style="433" bestFit="1" customWidth="1"/>
    <col min="13826" max="13826" width="8.140625" style="433" bestFit="1" customWidth="1"/>
    <col min="13827" max="13827" width="16.5703125" style="433" bestFit="1" customWidth="1"/>
    <col min="13828" max="13828" width="24.5703125" style="433" customWidth="1"/>
    <col min="13829" max="13829" width="7.5703125" style="433" bestFit="1" customWidth="1"/>
    <col min="13830" max="13830" width="12.28515625" style="433" customWidth="1"/>
    <col min="13831" max="13831" width="25.28515625" style="433" customWidth="1"/>
    <col min="13832" max="13832" width="21.85546875" style="433" customWidth="1"/>
    <col min="13833" max="13833" width="11.140625" style="433" customWidth="1"/>
    <col min="13834" max="13834" width="12" style="433" customWidth="1"/>
    <col min="13835" max="13835" width="11.28515625" style="433" customWidth="1"/>
    <col min="13836" max="13838" width="6.42578125" style="433" bestFit="1" customWidth="1"/>
    <col min="13839" max="13839" width="7.5703125" style="433" bestFit="1" customWidth="1"/>
    <col min="13840" max="13840" width="8.85546875" style="433" bestFit="1" customWidth="1"/>
    <col min="13841" max="13841" width="7.5703125" style="433" bestFit="1" customWidth="1"/>
    <col min="13842" max="13844" width="6.42578125" style="433" bestFit="1" customWidth="1"/>
    <col min="13845" max="13847" width="7.5703125" style="433" bestFit="1" customWidth="1"/>
    <col min="13848" max="13850" width="6.42578125" style="433" bestFit="1" customWidth="1"/>
    <col min="13851" max="13853" width="7.5703125" style="433" bestFit="1" customWidth="1"/>
    <col min="13854" max="13856" width="6.42578125" style="433" bestFit="1" customWidth="1"/>
    <col min="13857" max="13859" width="7.5703125" style="433" bestFit="1" customWidth="1"/>
    <col min="13860" max="13860" width="9.42578125" style="433" customWidth="1"/>
    <col min="13861" max="13861" width="8.85546875" style="433" customWidth="1"/>
    <col min="13862" max="13862" width="6.5703125" style="433" customWidth="1"/>
    <col min="13863" max="13863" width="8.140625" style="433" customWidth="1"/>
    <col min="13864" max="13864" width="8.28515625" style="433" customWidth="1"/>
    <col min="13865" max="13865" width="5.140625" style="433" customWidth="1"/>
    <col min="13866" max="13866" width="12.7109375" style="433" customWidth="1"/>
    <col min="13867" max="13867" width="14.140625" style="433" customWidth="1"/>
    <col min="13868" max="13868" width="13.140625" style="433" customWidth="1"/>
    <col min="13869" max="13869" width="11.85546875" style="433" bestFit="1" customWidth="1"/>
    <col min="13870" max="13870" width="2.42578125" style="433" bestFit="1" customWidth="1"/>
    <col min="13871" max="13871" width="7.5703125" style="433" bestFit="1" customWidth="1"/>
    <col min="13872" max="13872" width="9.140625" style="433" bestFit="1" customWidth="1"/>
    <col min="13873" max="14080" width="11.42578125" style="433"/>
    <col min="14081" max="14081" width="5.140625" style="433" bestFit="1" customWidth="1"/>
    <col min="14082" max="14082" width="8.140625" style="433" bestFit="1" customWidth="1"/>
    <col min="14083" max="14083" width="16.5703125" style="433" bestFit="1" customWidth="1"/>
    <col min="14084" max="14084" width="24.5703125" style="433" customWidth="1"/>
    <col min="14085" max="14085" width="7.5703125" style="433" bestFit="1" customWidth="1"/>
    <col min="14086" max="14086" width="12.28515625" style="433" customWidth="1"/>
    <col min="14087" max="14087" width="25.28515625" style="433" customWidth="1"/>
    <col min="14088" max="14088" width="21.85546875" style="433" customWidth="1"/>
    <col min="14089" max="14089" width="11.140625" style="433" customWidth="1"/>
    <col min="14090" max="14090" width="12" style="433" customWidth="1"/>
    <col min="14091" max="14091" width="11.28515625" style="433" customWidth="1"/>
    <col min="14092" max="14094" width="6.42578125" style="433" bestFit="1" customWidth="1"/>
    <col min="14095" max="14095" width="7.5703125" style="433" bestFit="1" customWidth="1"/>
    <col min="14096" max="14096" width="8.85546875" style="433" bestFit="1" customWidth="1"/>
    <col min="14097" max="14097" width="7.5703125" style="433" bestFit="1" customWidth="1"/>
    <col min="14098" max="14100" width="6.42578125" style="433" bestFit="1" customWidth="1"/>
    <col min="14101" max="14103" width="7.5703125" style="433" bestFit="1" customWidth="1"/>
    <col min="14104" max="14106" width="6.42578125" style="433" bestFit="1" customWidth="1"/>
    <col min="14107" max="14109" width="7.5703125" style="433" bestFit="1" customWidth="1"/>
    <col min="14110" max="14112" width="6.42578125" style="433" bestFit="1" customWidth="1"/>
    <col min="14113" max="14115" width="7.5703125" style="433" bestFit="1" customWidth="1"/>
    <col min="14116" max="14116" width="9.42578125" style="433" customWidth="1"/>
    <col min="14117" max="14117" width="8.85546875" style="433" customWidth="1"/>
    <col min="14118" max="14118" width="6.5703125" style="433" customWidth="1"/>
    <col min="14119" max="14119" width="8.140625" style="433" customWidth="1"/>
    <col min="14120" max="14120" width="8.28515625" style="433" customWidth="1"/>
    <col min="14121" max="14121" width="5.140625" style="433" customWidth="1"/>
    <col min="14122" max="14122" width="12.7109375" style="433" customWidth="1"/>
    <col min="14123" max="14123" width="14.140625" style="433" customWidth="1"/>
    <col min="14124" max="14124" width="13.140625" style="433" customWidth="1"/>
    <col min="14125" max="14125" width="11.85546875" style="433" bestFit="1" customWidth="1"/>
    <col min="14126" max="14126" width="2.42578125" style="433" bestFit="1" customWidth="1"/>
    <col min="14127" max="14127" width="7.5703125" style="433" bestFit="1" customWidth="1"/>
    <col min="14128" max="14128" width="9.140625" style="433" bestFit="1" customWidth="1"/>
    <col min="14129" max="14336" width="11.42578125" style="433"/>
    <col min="14337" max="14337" width="5.140625" style="433" bestFit="1" customWidth="1"/>
    <col min="14338" max="14338" width="8.140625" style="433" bestFit="1" customWidth="1"/>
    <col min="14339" max="14339" width="16.5703125" style="433" bestFit="1" customWidth="1"/>
    <col min="14340" max="14340" width="24.5703125" style="433" customWidth="1"/>
    <col min="14341" max="14341" width="7.5703125" style="433" bestFit="1" customWidth="1"/>
    <col min="14342" max="14342" width="12.28515625" style="433" customWidth="1"/>
    <col min="14343" max="14343" width="25.28515625" style="433" customWidth="1"/>
    <col min="14344" max="14344" width="21.85546875" style="433" customWidth="1"/>
    <col min="14345" max="14345" width="11.140625" style="433" customWidth="1"/>
    <col min="14346" max="14346" width="12" style="433" customWidth="1"/>
    <col min="14347" max="14347" width="11.28515625" style="433" customWidth="1"/>
    <col min="14348" max="14350" width="6.42578125" style="433" bestFit="1" customWidth="1"/>
    <col min="14351" max="14351" width="7.5703125" style="433" bestFit="1" customWidth="1"/>
    <col min="14352" max="14352" width="8.85546875" style="433" bestFit="1" customWidth="1"/>
    <col min="14353" max="14353" width="7.5703125" style="433" bestFit="1" customWidth="1"/>
    <col min="14354" max="14356" width="6.42578125" style="433" bestFit="1" customWidth="1"/>
    <col min="14357" max="14359" width="7.5703125" style="433" bestFit="1" customWidth="1"/>
    <col min="14360" max="14362" width="6.42578125" style="433" bestFit="1" customWidth="1"/>
    <col min="14363" max="14365" width="7.5703125" style="433" bestFit="1" customWidth="1"/>
    <col min="14366" max="14368" width="6.42578125" style="433" bestFit="1" customWidth="1"/>
    <col min="14369" max="14371" width="7.5703125" style="433" bestFit="1" customWidth="1"/>
    <col min="14372" max="14372" width="9.42578125" style="433" customWidth="1"/>
    <col min="14373" max="14373" width="8.85546875" style="433" customWidth="1"/>
    <col min="14374" max="14374" width="6.5703125" style="433" customWidth="1"/>
    <col min="14375" max="14375" width="8.140625" style="433" customWidth="1"/>
    <col min="14376" max="14376" width="8.28515625" style="433" customWidth="1"/>
    <col min="14377" max="14377" width="5.140625" style="433" customWidth="1"/>
    <col min="14378" max="14378" width="12.7109375" style="433" customWidth="1"/>
    <col min="14379" max="14379" width="14.140625" style="433" customWidth="1"/>
    <col min="14380" max="14380" width="13.140625" style="433" customWidth="1"/>
    <col min="14381" max="14381" width="11.85546875" style="433" bestFit="1" customWidth="1"/>
    <col min="14382" max="14382" width="2.42578125" style="433" bestFit="1" customWidth="1"/>
    <col min="14383" max="14383" width="7.5703125" style="433" bestFit="1" customWidth="1"/>
    <col min="14384" max="14384" width="9.140625" style="433" bestFit="1" customWidth="1"/>
    <col min="14385" max="14592" width="11.42578125" style="433"/>
    <col min="14593" max="14593" width="5.140625" style="433" bestFit="1" customWidth="1"/>
    <col min="14594" max="14594" width="8.140625" style="433" bestFit="1" customWidth="1"/>
    <col min="14595" max="14595" width="16.5703125" style="433" bestFit="1" customWidth="1"/>
    <col min="14596" max="14596" width="24.5703125" style="433" customWidth="1"/>
    <col min="14597" max="14597" width="7.5703125" style="433" bestFit="1" customWidth="1"/>
    <col min="14598" max="14598" width="12.28515625" style="433" customWidth="1"/>
    <col min="14599" max="14599" width="25.28515625" style="433" customWidth="1"/>
    <col min="14600" max="14600" width="21.85546875" style="433" customWidth="1"/>
    <col min="14601" max="14601" width="11.140625" style="433" customWidth="1"/>
    <col min="14602" max="14602" width="12" style="433" customWidth="1"/>
    <col min="14603" max="14603" width="11.28515625" style="433" customWidth="1"/>
    <col min="14604" max="14606" width="6.42578125" style="433" bestFit="1" customWidth="1"/>
    <col min="14607" max="14607" width="7.5703125" style="433" bestFit="1" customWidth="1"/>
    <col min="14608" max="14608" width="8.85546875" style="433" bestFit="1" customWidth="1"/>
    <col min="14609" max="14609" width="7.5703125" style="433" bestFit="1" customWidth="1"/>
    <col min="14610" max="14612" width="6.42578125" style="433" bestFit="1" customWidth="1"/>
    <col min="14613" max="14615" width="7.5703125" style="433" bestFit="1" customWidth="1"/>
    <col min="14616" max="14618" width="6.42578125" style="433" bestFit="1" customWidth="1"/>
    <col min="14619" max="14621" width="7.5703125" style="433" bestFit="1" customWidth="1"/>
    <col min="14622" max="14624" width="6.42578125" style="433" bestFit="1" customWidth="1"/>
    <col min="14625" max="14627" width="7.5703125" style="433" bestFit="1" customWidth="1"/>
    <col min="14628" max="14628" width="9.42578125" style="433" customWidth="1"/>
    <col min="14629" max="14629" width="8.85546875" style="433" customWidth="1"/>
    <col min="14630" max="14630" width="6.5703125" style="433" customWidth="1"/>
    <col min="14631" max="14631" width="8.140625" style="433" customWidth="1"/>
    <col min="14632" max="14632" width="8.28515625" style="433" customWidth="1"/>
    <col min="14633" max="14633" width="5.140625" style="433" customWidth="1"/>
    <col min="14634" max="14634" width="12.7109375" style="433" customWidth="1"/>
    <col min="14635" max="14635" width="14.140625" style="433" customWidth="1"/>
    <col min="14636" max="14636" width="13.140625" style="433" customWidth="1"/>
    <col min="14637" max="14637" width="11.85546875" style="433" bestFit="1" customWidth="1"/>
    <col min="14638" max="14638" width="2.42578125" style="433" bestFit="1" customWidth="1"/>
    <col min="14639" max="14639" width="7.5703125" style="433" bestFit="1" customWidth="1"/>
    <col min="14640" max="14640" width="9.140625" style="433" bestFit="1" customWidth="1"/>
    <col min="14641" max="14848" width="11.42578125" style="433"/>
    <col min="14849" max="14849" width="5.140625" style="433" bestFit="1" customWidth="1"/>
    <col min="14850" max="14850" width="8.140625" style="433" bestFit="1" customWidth="1"/>
    <col min="14851" max="14851" width="16.5703125" style="433" bestFit="1" customWidth="1"/>
    <col min="14852" max="14852" width="24.5703125" style="433" customWidth="1"/>
    <col min="14853" max="14853" width="7.5703125" style="433" bestFit="1" customWidth="1"/>
    <col min="14854" max="14854" width="12.28515625" style="433" customWidth="1"/>
    <col min="14855" max="14855" width="25.28515625" style="433" customWidth="1"/>
    <col min="14856" max="14856" width="21.85546875" style="433" customWidth="1"/>
    <col min="14857" max="14857" width="11.140625" style="433" customWidth="1"/>
    <col min="14858" max="14858" width="12" style="433" customWidth="1"/>
    <col min="14859" max="14859" width="11.28515625" style="433" customWidth="1"/>
    <col min="14860" max="14862" width="6.42578125" style="433" bestFit="1" customWidth="1"/>
    <col min="14863" max="14863" width="7.5703125" style="433" bestFit="1" customWidth="1"/>
    <col min="14864" max="14864" width="8.85546875" style="433" bestFit="1" customWidth="1"/>
    <col min="14865" max="14865" width="7.5703125" style="433" bestFit="1" customWidth="1"/>
    <col min="14866" max="14868" width="6.42578125" style="433" bestFit="1" customWidth="1"/>
    <col min="14869" max="14871" width="7.5703125" style="433" bestFit="1" customWidth="1"/>
    <col min="14872" max="14874" width="6.42578125" style="433" bestFit="1" customWidth="1"/>
    <col min="14875" max="14877" width="7.5703125" style="433" bestFit="1" customWidth="1"/>
    <col min="14878" max="14880" width="6.42578125" style="433" bestFit="1" customWidth="1"/>
    <col min="14881" max="14883" width="7.5703125" style="433" bestFit="1" customWidth="1"/>
    <col min="14884" max="14884" width="9.42578125" style="433" customWidth="1"/>
    <col min="14885" max="14885" width="8.85546875" style="433" customWidth="1"/>
    <col min="14886" max="14886" width="6.5703125" style="433" customWidth="1"/>
    <col min="14887" max="14887" width="8.140625" style="433" customWidth="1"/>
    <col min="14888" max="14888" width="8.28515625" style="433" customWidth="1"/>
    <col min="14889" max="14889" width="5.140625" style="433" customWidth="1"/>
    <col min="14890" max="14890" width="12.7109375" style="433" customWidth="1"/>
    <col min="14891" max="14891" width="14.140625" style="433" customWidth="1"/>
    <col min="14892" max="14892" width="13.140625" style="433" customWidth="1"/>
    <col min="14893" max="14893" width="11.85546875" style="433" bestFit="1" customWidth="1"/>
    <col min="14894" max="14894" width="2.42578125" style="433" bestFit="1" customWidth="1"/>
    <col min="14895" max="14895" width="7.5703125" style="433" bestFit="1" customWidth="1"/>
    <col min="14896" max="14896" width="9.140625" style="433" bestFit="1" customWidth="1"/>
    <col min="14897" max="15104" width="11.42578125" style="433"/>
    <col min="15105" max="15105" width="5.140625" style="433" bestFit="1" customWidth="1"/>
    <col min="15106" max="15106" width="8.140625" style="433" bestFit="1" customWidth="1"/>
    <col min="15107" max="15107" width="16.5703125" style="433" bestFit="1" customWidth="1"/>
    <col min="15108" max="15108" width="24.5703125" style="433" customWidth="1"/>
    <col min="15109" max="15109" width="7.5703125" style="433" bestFit="1" customWidth="1"/>
    <col min="15110" max="15110" width="12.28515625" style="433" customWidth="1"/>
    <col min="15111" max="15111" width="25.28515625" style="433" customWidth="1"/>
    <col min="15112" max="15112" width="21.85546875" style="433" customWidth="1"/>
    <col min="15113" max="15113" width="11.140625" style="433" customWidth="1"/>
    <col min="15114" max="15114" width="12" style="433" customWidth="1"/>
    <col min="15115" max="15115" width="11.28515625" style="433" customWidth="1"/>
    <col min="15116" max="15118" width="6.42578125" style="433" bestFit="1" customWidth="1"/>
    <col min="15119" max="15119" width="7.5703125" style="433" bestFit="1" customWidth="1"/>
    <col min="15120" max="15120" width="8.85546875" style="433" bestFit="1" customWidth="1"/>
    <col min="15121" max="15121" width="7.5703125" style="433" bestFit="1" customWidth="1"/>
    <col min="15122" max="15124" width="6.42578125" style="433" bestFit="1" customWidth="1"/>
    <col min="15125" max="15127" width="7.5703125" style="433" bestFit="1" customWidth="1"/>
    <col min="15128" max="15130" width="6.42578125" style="433" bestFit="1" customWidth="1"/>
    <col min="15131" max="15133" width="7.5703125" style="433" bestFit="1" customWidth="1"/>
    <col min="15134" max="15136" width="6.42578125" style="433" bestFit="1" customWidth="1"/>
    <col min="15137" max="15139" width="7.5703125" style="433" bestFit="1" customWidth="1"/>
    <col min="15140" max="15140" width="9.42578125" style="433" customWidth="1"/>
    <col min="15141" max="15141" width="8.85546875" style="433" customWidth="1"/>
    <col min="15142" max="15142" width="6.5703125" style="433" customWidth="1"/>
    <col min="15143" max="15143" width="8.140625" style="433" customWidth="1"/>
    <col min="15144" max="15144" width="8.28515625" style="433" customWidth="1"/>
    <col min="15145" max="15145" width="5.140625" style="433" customWidth="1"/>
    <col min="15146" max="15146" width="12.7109375" style="433" customWidth="1"/>
    <col min="15147" max="15147" width="14.140625" style="433" customWidth="1"/>
    <col min="15148" max="15148" width="13.140625" style="433" customWidth="1"/>
    <col min="15149" max="15149" width="11.85546875" style="433" bestFit="1" customWidth="1"/>
    <col min="15150" max="15150" width="2.42578125" style="433" bestFit="1" customWidth="1"/>
    <col min="15151" max="15151" width="7.5703125" style="433" bestFit="1" customWidth="1"/>
    <col min="15152" max="15152" width="9.140625" style="433" bestFit="1" customWidth="1"/>
    <col min="15153" max="15360" width="11.42578125" style="433"/>
    <col min="15361" max="15361" width="5.140625" style="433" bestFit="1" customWidth="1"/>
    <col min="15362" max="15362" width="8.140625" style="433" bestFit="1" customWidth="1"/>
    <col min="15363" max="15363" width="16.5703125" style="433" bestFit="1" customWidth="1"/>
    <col min="15364" max="15364" width="24.5703125" style="433" customWidth="1"/>
    <col min="15365" max="15365" width="7.5703125" style="433" bestFit="1" customWidth="1"/>
    <col min="15366" max="15366" width="12.28515625" style="433" customWidth="1"/>
    <col min="15367" max="15367" width="25.28515625" style="433" customWidth="1"/>
    <col min="15368" max="15368" width="21.85546875" style="433" customWidth="1"/>
    <col min="15369" max="15369" width="11.140625" style="433" customWidth="1"/>
    <col min="15370" max="15370" width="12" style="433" customWidth="1"/>
    <col min="15371" max="15371" width="11.28515625" style="433" customWidth="1"/>
    <col min="15372" max="15374" width="6.42578125" style="433" bestFit="1" customWidth="1"/>
    <col min="15375" max="15375" width="7.5703125" style="433" bestFit="1" customWidth="1"/>
    <col min="15376" max="15376" width="8.85546875" style="433" bestFit="1" customWidth="1"/>
    <col min="15377" max="15377" width="7.5703125" style="433" bestFit="1" customWidth="1"/>
    <col min="15378" max="15380" width="6.42578125" style="433" bestFit="1" customWidth="1"/>
    <col min="15381" max="15383" width="7.5703125" style="433" bestFit="1" customWidth="1"/>
    <col min="15384" max="15386" width="6.42578125" style="433" bestFit="1" customWidth="1"/>
    <col min="15387" max="15389" width="7.5703125" style="433" bestFit="1" customWidth="1"/>
    <col min="15390" max="15392" width="6.42578125" style="433" bestFit="1" customWidth="1"/>
    <col min="15393" max="15395" width="7.5703125" style="433" bestFit="1" customWidth="1"/>
    <col min="15396" max="15396" width="9.42578125" style="433" customWidth="1"/>
    <col min="15397" max="15397" width="8.85546875" style="433" customWidth="1"/>
    <col min="15398" max="15398" width="6.5703125" style="433" customWidth="1"/>
    <col min="15399" max="15399" width="8.140625" style="433" customWidth="1"/>
    <col min="15400" max="15400" width="8.28515625" style="433" customWidth="1"/>
    <col min="15401" max="15401" width="5.140625" style="433" customWidth="1"/>
    <col min="15402" max="15402" width="12.7109375" style="433" customWidth="1"/>
    <col min="15403" max="15403" width="14.140625" style="433" customWidth="1"/>
    <col min="15404" max="15404" width="13.140625" style="433" customWidth="1"/>
    <col min="15405" max="15405" width="11.85546875" style="433" bestFit="1" customWidth="1"/>
    <col min="15406" max="15406" width="2.42578125" style="433" bestFit="1" customWidth="1"/>
    <col min="15407" max="15407" width="7.5703125" style="433" bestFit="1" customWidth="1"/>
    <col min="15408" max="15408" width="9.140625" style="433" bestFit="1" customWidth="1"/>
    <col min="15409" max="15616" width="11.42578125" style="433"/>
    <col min="15617" max="15617" width="5.140625" style="433" bestFit="1" customWidth="1"/>
    <col min="15618" max="15618" width="8.140625" style="433" bestFit="1" customWidth="1"/>
    <col min="15619" max="15619" width="16.5703125" style="433" bestFit="1" customWidth="1"/>
    <col min="15620" max="15620" width="24.5703125" style="433" customWidth="1"/>
    <col min="15621" max="15621" width="7.5703125" style="433" bestFit="1" customWidth="1"/>
    <col min="15622" max="15622" width="12.28515625" style="433" customWidth="1"/>
    <col min="15623" max="15623" width="25.28515625" style="433" customWidth="1"/>
    <col min="15624" max="15624" width="21.85546875" style="433" customWidth="1"/>
    <col min="15625" max="15625" width="11.140625" style="433" customWidth="1"/>
    <col min="15626" max="15626" width="12" style="433" customWidth="1"/>
    <col min="15627" max="15627" width="11.28515625" style="433" customWidth="1"/>
    <col min="15628" max="15630" width="6.42578125" style="433" bestFit="1" customWidth="1"/>
    <col min="15631" max="15631" width="7.5703125" style="433" bestFit="1" customWidth="1"/>
    <col min="15632" max="15632" width="8.85546875" style="433" bestFit="1" customWidth="1"/>
    <col min="15633" max="15633" width="7.5703125" style="433" bestFit="1" customWidth="1"/>
    <col min="15634" max="15636" width="6.42578125" style="433" bestFit="1" customWidth="1"/>
    <col min="15637" max="15639" width="7.5703125" style="433" bestFit="1" customWidth="1"/>
    <col min="15640" max="15642" width="6.42578125" style="433" bestFit="1" customWidth="1"/>
    <col min="15643" max="15645" width="7.5703125" style="433" bestFit="1" customWidth="1"/>
    <col min="15646" max="15648" width="6.42578125" style="433" bestFit="1" customWidth="1"/>
    <col min="15649" max="15651" width="7.5703125" style="433" bestFit="1" customWidth="1"/>
    <col min="15652" max="15652" width="9.42578125" style="433" customWidth="1"/>
    <col min="15653" max="15653" width="8.85546875" style="433" customWidth="1"/>
    <col min="15654" max="15654" width="6.5703125" style="433" customWidth="1"/>
    <col min="15655" max="15655" width="8.140625" style="433" customWidth="1"/>
    <col min="15656" max="15656" width="8.28515625" style="433" customWidth="1"/>
    <col min="15657" max="15657" width="5.140625" style="433" customWidth="1"/>
    <col min="15658" max="15658" width="12.7109375" style="433" customWidth="1"/>
    <col min="15659" max="15659" width="14.140625" style="433" customWidth="1"/>
    <col min="15660" max="15660" width="13.140625" style="433" customWidth="1"/>
    <col min="15661" max="15661" width="11.85546875" style="433" bestFit="1" customWidth="1"/>
    <col min="15662" max="15662" width="2.42578125" style="433" bestFit="1" customWidth="1"/>
    <col min="15663" max="15663" width="7.5703125" style="433" bestFit="1" customWidth="1"/>
    <col min="15664" max="15664" width="9.140625" style="433" bestFit="1" customWidth="1"/>
    <col min="15665" max="15872" width="11.42578125" style="433"/>
    <col min="15873" max="15873" width="5.140625" style="433" bestFit="1" customWidth="1"/>
    <col min="15874" max="15874" width="8.140625" style="433" bestFit="1" customWidth="1"/>
    <col min="15875" max="15875" width="16.5703125" style="433" bestFit="1" customWidth="1"/>
    <col min="15876" max="15876" width="24.5703125" style="433" customWidth="1"/>
    <col min="15877" max="15877" width="7.5703125" style="433" bestFit="1" customWidth="1"/>
    <col min="15878" max="15878" width="12.28515625" style="433" customWidth="1"/>
    <col min="15879" max="15879" width="25.28515625" style="433" customWidth="1"/>
    <col min="15880" max="15880" width="21.85546875" style="433" customWidth="1"/>
    <col min="15881" max="15881" width="11.140625" style="433" customWidth="1"/>
    <col min="15882" max="15882" width="12" style="433" customWidth="1"/>
    <col min="15883" max="15883" width="11.28515625" style="433" customWidth="1"/>
    <col min="15884" max="15886" width="6.42578125" style="433" bestFit="1" customWidth="1"/>
    <col min="15887" max="15887" width="7.5703125" style="433" bestFit="1" customWidth="1"/>
    <col min="15888" max="15888" width="8.85546875" style="433" bestFit="1" customWidth="1"/>
    <col min="15889" max="15889" width="7.5703125" style="433" bestFit="1" customWidth="1"/>
    <col min="15890" max="15892" width="6.42578125" style="433" bestFit="1" customWidth="1"/>
    <col min="15893" max="15895" width="7.5703125" style="433" bestFit="1" customWidth="1"/>
    <col min="15896" max="15898" width="6.42578125" style="433" bestFit="1" customWidth="1"/>
    <col min="15899" max="15901" width="7.5703125" style="433" bestFit="1" customWidth="1"/>
    <col min="15902" max="15904" width="6.42578125" style="433" bestFit="1" customWidth="1"/>
    <col min="15905" max="15907" width="7.5703125" style="433" bestFit="1" customWidth="1"/>
    <col min="15908" max="15908" width="9.42578125" style="433" customWidth="1"/>
    <col min="15909" max="15909" width="8.85546875" style="433" customWidth="1"/>
    <col min="15910" max="15910" width="6.5703125" style="433" customWidth="1"/>
    <col min="15911" max="15911" width="8.140625" style="433" customWidth="1"/>
    <col min="15912" max="15912" width="8.28515625" style="433" customWidth="1"/>
    <col min="15913" max="15913" width="5.140625" style="433" customWidth="1"/>
    <col min="15914" max="15914" width="12.7109375" style="433" customWidth="1"/>
    <col min="15915" max="15915" width="14.140625" style="433" customWidth="1"/>
    <col min="15916" max="15916" width="13.140625" style="433" customWidth="1"/>
    <col min="15917" max="15917" width="11.85546875" style="433" bestFit="1" customWidth="1"/>
    <col min="15918" max="15918" width="2.42578125" style="433" bestFit="1" customWidth="1"/>
    <col min="15919" max="15919" width="7.5703125" style="433" bestFit="1" customWidth="1"/>
    <col min="15920" max="15920" width="9.140625" style="433" bestFit="1" customWidth="1"/>
    <col min="15921" max="16128" width="11.42578125" style="433"/>
    <col min="16129" max="16129" width="5.140625" style="433" bestFit="1" customWidth="1"/>
    <col min="16130" max="16130" width="8.140625" style="433" bestFit="1" customWidth="1"/>
    <col min="16131" max="16131" width="16.5703125" style="433" bestFit="1" customWidth="1"/>
    <col min="16132" max="16132" width="24.5703125" style="433" customWidth="1"/>
    <col min="16133" max="16133" width="7.5703125" style="433" bestFit="1" customWidth="1"/>
    <col min="16134" max="16134" width="12.28515625" style="433" customWidth="1"/>
    <col min="16135" max="16135" width="25.28515625" style="433" customWidth="1"/>
    <col min="16136" max="16136" width="21.85546875" style="433" customWidth="1"/>
    <col min="16137" max="16137" width="11.140625" style="433" customWidth="1"/>
    <col min="16138" max="16138" width="12" style="433" customWidth="1"/>
    <col min="16139" max="16139" width="11.28515625" style="433" customWidth="1"/>
    <col min="16140" max="16142" width="6.42578125" style="433" bestFit="1" customWidth="1"/>
    <col min="16143" max="16143" width="7.5703125" style="433" bestFit="1" customWidth="1"/>
    <col min="16144" max="16144" width="8.85546875" style="433" bestFit="1" customWidth="1"/>
    <col min="16145" max="16145" width="7.5703125" style="433" bestFit="1" customWidth="1"/>
    <col min="16146" max="16148" width="6.42578125" style="433" bestFit="1" customWidth="1"/>
    <col min="16149" max="16151" width="7.5703125" style="433" bestFit="1" customWidth="1"/>
    <col min="16152" max="16154" width="6.42578125" style="433" bestFit="1" customWidth="1"/>
    <col min="16155" max="16157" width="7.5703125" style="433" bestFit="1" customWidth="1"/>
    <col min="16158" max="16160" width="6.42578125" style="433" bestFit="1" customWidth="1"/>
    <col min="16161" max="16163" width="7.5703125" style="433" bestFit="1" customWidth="1"/>
    <col min="16164" max="16164" width="9.42578125" style="433" customWidth="1"/>
    <col min="16165" max="16165" width="8.85546875" style="433" customWidth="1"/>
    <col min="16166" max="16166" width="6.5703125" style="433" customWidth="1"/>
    <col min="16167" max="16167" width="8.140625" style="433" customWidth="1"/>
    <col min="16168" max="16168" width="8.28515625" style="433" customWidth="1"/>
    <col min="16169" max="16169" width="5.140625" style="433" customWidth="1"/>
    <col min="16170" max="16170" width="12.7109375" style="433" customWidth="1"/>
    <col min="16171" max="16171" width="14.140625" style="433" customWidth="1"/>
    <col min="16172" max="16172" width="13.140625" style="433" customWidth="1"/>
    <col min="16173" max="16173" width="11.85546875" style="433" bestFit="1" customWidth="1"/>
    <col min="16174" max="16174" width="2.42578125" style="433" bestFit="1" customWidth="1"/>
    <col min="16175" max="16175" width="7.5703125" style="433" bestFit="1" customWidth="1"/>
    <col min="16176" max="16176" width="9.140625" style="433" bestFit="1" customWidth="1"/>
    <col min="16177" max="16384" width="11.42578125" style="433"/>
  </cols>
  <sheetData>
    <row r="1" spans="1:49">
      <c r="A1" s="871" t="s">
        <v>0</v>
      </c>
      <c r="B1" s="871"/>
      <c r="C1" s="871"/>
      <c r="D1" s="871"/>
      <c r="E1" s="871"/>
      <c r="F1" s="871"/>
      <c r="G1" s="871"/>
      <c r="H1" s="871"/>
      <c r="I1" s="871"/>
      <c r="J1" s="871"/>
      <c r="K1" s="871"/>
      <c r="L1" s="871"/>
      <c r="M1" s="871"/>
      <c r="N1" s="871"/>
      <c r="O1" s="871"/>
      <c r="P1" s="871"/>
      <c r="Q1" s="871"/>
      <c r="R1" s="871"/>
      <c r="S1" s="871"/>
      <c r="T1" s="871"/>
      <c r="U1" s="871"/>
      <c r="V1" s="871"/>
      <c r="W1" s="871"/>
      <c r="X1" s="871"/>
      <c r="Y1" s="871"/>
      <c r="Z1" s="871"/>
      <c r="AA1" s="871"/>
      <c r="AB1" s="871"/>
      <c r="AC1" s="871"/>
      <c r="AD1" s="871"/>
      <c r="AE1" s="871"/>
      <c r="AF1" s="871"/>
      <c r="AG1" s="871"/>
      <c r="AH1" s="871"/>
      <c r="AI1" s="871"/>
      <c r="AJ1" s="871"/>
      <c r="AK1" s="871"/>
      <c r="AL1" s="871"/>
      <c r="AM1" s="871"/>
      <c r="AN1" s="871"/>
      <c r="AO1" s="871"/>
      <c r="AP1" s="871"/>
      <c r="AQ1" s="871"/>
      <c r="AR1" s="871"/>
    </row>
    <row r="2" spans="1:49">
      <c r="A2" s="871" t="s">
        <v>1</v>
      </c>
      <c r="B2" s="871"/>
      <c r="C2" s="871"/>
      <c r="D2" s="871"/>
      <c r="E2" s="871"/>
      <c r="F2" s="871"/>
      <c r="G2" s="871"/>
      <c r="H2" s="871"/>
      <c r="I2" s="871"/>
      <c r="J2" s="871"/>
      <c r="K2" s="871"/>
      <c r="L2" s="871"/>
      <c r="M2" s="871"/>
      <c r="N2" s="871"/>
      <c r="O2" s="871"/>
      <c r="P2" s="871"/>
      <c r="Q2" s="871"/>
      <c r="R2" s="871"/>
      <c r="S2" s="871"/>
      <c r="T2" s="871"/>
      <c r="U2" s="871"/>
      <c r="V2" s="871"/>
      <c r="W2" s="871"/>
      <c r="X2" s="871"/>
      <c r="Y2" s="871"/>
      <c r="Z2" s="871"/>
      <c r="AA2" s="871"/>
      <c r="AB2" s="871"/>
      <c r="AC2" s="871"/>
      <c r="AD2" s="871"/>
      <c r="AE2" s="871"/>
      <c r="AF2" s="871"/>
      <c r="AG2" s="871"/>
      <c r="AH2" s="871"/>
      <c r="AI2" s="871"/>
      <c r="AJ2" s="871"/>
      <c r="AK2" s="871"/>
      <c r="AL2" s="871"/>
      <c r="AM2" s="871"/>
      <c r="AN2" s="871"/>
      <c r="AO2" s="871"/>
      <c r="AP2" s="871"/>
      <c r="AQ2" s="871"/>
      <c r="AR2" s="871"/>
    </row>
    <row r="3" spans="1:49" s="498" customFormat="1" ht="18" customHeight="1">
      <c r="A3" s="495"/>
      <c r="B3" s="495"/>
      <c r="C3" s="495"/>
      <c r="D3" s="496" t="s">
        <v>1512</v>
      </c>
      <c r="E3" s="496"/>
      <c r="F3" s="496"/>
      <c r="G3" s="495"/>
      <c r="H3" s="495"/>
      <c r="I3" s="495"/>
      <c r="J3" s="495"/>
      <c r="K3" s="495"/>
      <c r="L3" s="495"/>
      <c r="M3" s="495"/>
      <c r="N3" s="497"/>
      <c r="O3" s="497"/>
      <c r="P3" s="497"/>
      <c r="Q3" s="497"/>
      <c r="R3" s="497"/>
      <c r="S3" s="497"/>
      <c r="T3" s="497"/>
      <c r="U3" s="497"/>
      <c r="V3" s="497"/>
      <c r="W3" s="497"/>
      <c r="X3" s="495"/>
      <c r="Y3" s="495"/>
      <c r="Z3" s="495"/>
      <c r="AA3" s="495"/>
      <c r="AB3" s="495"/>
      <c r="AC3" s="495"/>
      <c r="AD3" s="495"/>
      <c r="AE3" s="495"/>
      <c r="AF3" s="495"/>
      <c r="AG3" s="495"/>
      <c r="AH3" s="495"/>
      <c r="AI3" s="495"/>
      <c r="AJ3" s="495"/>
      <c r="AK3" s="497"/>
      <c r="AL3" s="495"/>
      <c r="AM3" s="495"/>
      <c r="AN3" s="495"/>
      <c r="AO3" s="495"/>
      <c r="AP3" s="495"/>
      <c r="AQ3" s="902"/>
      <c r="AR3" s="902"/>
    </row>
    <row r="4" spans="1:49" s="498" customFormat="1" ht="18" customHeight="1">
      <c r="A4" s="495"/>
      <c r="B4" s="495"/>
      <c r="C4" s="495"/>
      <c r="D4" s="435" t="s">
        <v>1513</v>
      </c>
      <c r="E4" s="435"/>
      <c r="F4" s="435"/>
      <c r="G4" s="494"/>
      <c r="H4" s="494"/>
      <c r="I4" s="495"/>
      <c r="J4" s="495"/>
      <c r="K4" s="495"/>
      <c r="L4" s="495"/>
      <c r="M4" s="495"/>
      <c r="N4" s="497"/>
      <c r="O4" s="497"/>
      <c r="P4" s="497"/>
      <c r="Q4" s="497"/>
      <c r="R4" s="497"/>
      <c r="S4" s="497"/>
      <c r="T4" s="497"/>
      <c r="U4" s="497"/>
      <c r="V4" s="497"/>
      <c r="W4" s="497"/>
      <c r="X4" s="495"/>
      <c r="Y4" s="495"/>
      <c r="Z4" s="495"/>
      <c r="AA4" s="495"/>
      <c r="AB4" s="495"/>
      <c r="AC4" s="495"/>
      <c r="AD4" s="495"/>
      <c r="AE4" s="495"/>
      <c r="AF4" s="495"/>
      <c r="AG4" s="495"/>
      <c r="AH4" s="495"/>
      <c r="AI4" s="495"/>
      <c r="AJ4" s="495"/>
      <c r="AK4" s="497"/>
      <c r="AL4" s="495"/>
      <c r="AM4" s="495"/>
      <c r="AN4" s="495"/>
      <c r="AO4" s="495"/>
      <c r="AP4" s="495"/>
      <c r="AQ4" s="499"/>
      <c r="AR4" s="499"/>
    </row>
    <row r="5" spans="1:49" ht="20.25" customHeight="1">
      <c r="A5" s="494"/>
      <c r="B5" s="494"/>
      <c r="C5" s="494"/>
      <c r="D5" s="435" t="s">
        <v>1514</v>
      </c>
      <c r="I5" s="494"/>
      <c r="J5" s="494"/>
      <c r="K5" s="494"/>
      <c r="L5" s="494"/>
      <c r="M5" s="494"/>
      <c r="N5" s="500"/>
      <c r="O5" s="500"/>
      <c r="P5" s="500"/>
      <c r="Q5" s="500"/>
      <c r="R5" s="500"/>
      <c r="S5" s="500"/>
      <c r="T5" s="500"/>
      <c r="U5" s="500"/>
      <c r="V5" s="500"/>
      <c r="W5" s="500"/>
      <c r="X5" s="494"/>
      <c r="Y5" s="494"/>
      <c r="Z5" s="494"/>
      <c r="AA5" s="494"/>
      <c r="AB5" s="494"/>
      <c r="AC5" s="494"/>
      <c r="AD5" s="494"/>
      <c r="AE5" s="494"/>
      <c r="AF5" s="494"/>
      <c r="AG5" s="494"/>
      <c r="AH5" s="494"/>
      <c r="AI5" s="494"/>
      <c r="AJ5" s="494"/>
      <c r="AK5" s="500"/>
      <c r="AL5" s="494"/>
      <c r="AM5" s="494"/>
      <c r="AN5" s="494"/>
      <c r="AO5" s="494"/>
      <c r="AP5" s="494"/>
      <c r="AQ5" s="494"/>
      <c r="AR5" s="501"/>
    </row>
    <row r="6" spans="1:49" s="243" customFormat="1" ht="15.75" customHeight="1">
      <c r="A6" s="872" t="s">
        <v>5</v>
      </c>
      <c r="B6" s="872"/>
      <c r="C6" s="872"/>
      <c r="D6" s="873" t="s">
        <v>6</v>
      </c>
      <c r="E6" s="874" t="s">
        <v>7</v>
      </c>
      <c r="F6" s="872" t="s">
        <v>8</v>
      </c>
      <c r="G6" s="872" t="s">
        <v>9</v>
      </c>
      <c r="H6" s="872" t="s">
        <v>10</v>
      </c>
      <c r="I6" s="872" t="s">
        <v>11</v>
      </c>
      <c r="J6" s="872" t="s">
        <v>12</v>
      </c>
      <c r="K6" s="872" t="s">
        <v>13</v>
      </c>
      <c r="L6" s="876" t="s">
        <v>14</v>
      </c>
      <c r="M6" s="877"/>
      <c r="N6" s="877"/>
      <c r="O6" s="877"/>
      <c r="P6" s="877"/>
      <c r="Q6" s="877"/>
      <c r="R6" s="877"/>
      <c r="S6" s="877"/>
      <c r="T6" s="877"/>
      <c r="U6" s="877"/>
      <c r="V6" s="877"/>
      <c r="W6" s="877"/>
      <c r="X6" s="877"/>
      <c r="Y6" s="877"/>
      <c r="Z6" s="877"/>
      <c r="AA6" s="877"/>
      <c r="AB6" s="877"/>
      <c r="AC6" s="877"/>
      <c r="AD6" s="877"/>
      <c r="AE6" s="877"/>
      <c r="AF6" s="877"/>
      <c r="AG6" s="877"/>
      <c r="AH6" s="877"/>
      <c r="AI6" s="877"/>
      <c r="AJ6" s="878"/>
      <c r="AK6" s="872" t="s">
        <v>15</v>
      </c>
      <c r="AL6" s="872"/>
      <c r="AM6" s="872"/>
      <c r="AN6" s="872"/>
      <c r="AO6" s="872"/>
      <c r="AP6" s="872" t="s">
        <v>16</v>
      </c>
      <c r="AQ6" s="872" t="s">
        <v>17</v>
      </c>
      <c r="AR6" s="872" t="s">
        <v>18</v>
      </c>
    </row>
    <row r="7" spans="1:49" s="243" customFormat="1">
      <c r="A7" s="872" t="s">
        <v>20</v>
      </c>
      <c r="B7" s="872" t="s">
        <v>21</v>
      </c>
      <c r="C7" s="872" t="s">
        <v>22</v>
      </c>
      <c r="D7" s="873"/>
      <c r="E7" s="874"/>
      <c r="F7" s="872"/>
      <c r="G7" s="872"/>
      <c r="H7" s="872"/>
      <c r="I7" s="872"/>
      <c r="J7" s="872"/>
      <c r="K7" s="872"/>
      <c r="L7" s="875" t="s">
        <v>23</v>
      </c>
      <c r="M7" s="875"/>
      <c r="N7" s="875"/>
      <c r="O7" s="875"/>
      <c r="P7" s="875"/>
      <c r="Q7" s="875"/>
      <c r="R7" s="875" t="s">
        <v>24</v>
      </c>
      <c r="S7" s="875"/>
      <c r="T7" s="875"/>
      <c r="U7" s="875"/>
      <c r="V7" s="875"/>
      <c r="W7" s="875"/>
      <c r="X7" s="875" t="s">
        <v>25</v>
      </c>
      <c r="Y7" s="875"/>
      <c r="Z7" s="875"/>
      <c r="AA7" s="875"/>
      <c r="AB7" s="875"/>
      <c r="AC7" s="875"/>
      <c r="AD7" s="875" t="s">
        <v>26</v>
      </c>
      <c r="AE7" s="875"/>
      <c r="AF7" s="875"/>
      <c r="AG7" s="875"/>
      <c r="AH7" s="875"/>
      <c r="AI7" s="875"/>
      <c r="AJ7" s="874" t="s">
        <v>162</v>
      </c>
      <c r="AK7" s="872" t="s">
        <v>28</v>
      </c>
      <c r="AL7" s="872" t="s">
        <v>29</v>
      </c>
      <c r="AM7" s="872" t="s">
        <v>30</v>
      </c>
      <c r="AN7" s="872" t="s">
        <v>163</v>
      </c>
      <c r="AO7" s="872" t="s">
        <v>32</v>
      </c>
      <c r="AP7" s="872"/>
      <c r="AQ7" s="872"/>
      <c r="AR7" s="872"/>
    </row>
    <row r="8" spans="1:49" s="243" customFormat="1">
      <c r="A8" s="872"/>
      <c r="B8" s="872"/>
      <c r="C8" s="872"/>
      <c r="D8" s="873"/>
      <c r="E8" s="874"/>
      <c r="F8" s="872"/>
      <c r="G8" s="872"/>
      <c r="H8" s="872"/>
      <c r="I8" s="872"/>
      <c r="J8" s="872"/>
      <c r="K8" s="872"/>
      <c r="L8" s="875" t="s">
        <v>33</v>
      </c>
      <c r="M8" s="875"/>
      <c r="N8" s="875"/>
      <c r="O8" s="875" t="s">
        <v>34</v>
      </c>
      <c r="P8" s="875"/>
      <c r="Q8" s="875"/>
      <c r="R8" s="875" t="s">
        <v>33</v>
      </c>
      <c r="S8" s="875"/>
      <c r="T8" s="875"/>
      <c r="U8" s="875" t="s">
        <v>34</v>
      </c>
      <c r="V8" s="875"/>
      <c r="W8" s="875"/>
      <c r="X8" s="875" t="s">
        <v>33</v>
      </c>
      <c r="Y8" s="875"/>
      <c r="Z8" s="875"/>
      <c r="AA8" s="875" t="s">
        <v>34</v>
      </c>
      <c r="AB8" s="875"/>
      <c r="AC8" s="875"/>
      <c r="AD8" s="875" t="s">
        <v>33</v>
      </c>
      <c r="AE8" s="875"/>
      <c r="AF8" s="875"/>
      <c r="AG8" s="875" t="s">
        <v>34</v>
      </c>
      <c r="AH8" s="875"/>
      <c r="AI8" s="875"/>
      <c r="AJ8" s="874"/>
      <c r="AK8" s="872"/>
      <c r="AL8" s="872"/>
      <c r="AM8" s="872"/>
      <c r="AN8" s="872"/>
      <c r="AO8" s="872"/>
      <c r="AP8" s="872"/>
      <c r="AQ8" s="872"/>
      <c r="AR8" s="872"/>
    </row>
    <row r="9" spans="1:49" s="243" customFormat="1">
      <c r="A9" s="872"/>
      <c r="B9" s="872"/>
      <c r="C9" s="872"/>
      <c r="D9" s="873"/>
      <c r="E9" s="874"/>
      <c r="F9" s="872"/>
      <c r="G9" s="872"/>
      <c r="H9" s="872"/>
      <c r="I9" s="872"/>
      <c r="J9" s="872"/>
      <c r="K9" s="872"/>
      <c r="L9" s="244" t="s">
        <v>35</v>
      </c>
      <c r="M9" s="244" t="s">
        <v>36</v>
      </c>
      <c r="N9" s="244" t="s">
        <v>37</v>
      </c>
      <c r="O9" s="244" t="s">
        <v>35</v>
      </c>
      <c r="P9" s="244" t="s">
        <v>36</v>
      </c>
      <c r="Q9" s="244" t="s">
        <v>37</v>
      </c>
      <c r="R9" s="244" t="s">
        <v>38</v>
      </c>
      <c r="S9" s="244" t="s">
        <v>37</v>
      </c>
      <c r="T9" s="244" t="s">
        <v>39</v>
      </c>
      <c r="U9" s="244" t="s">
        <v>38</v>
      </c>
      <c r="V9" s="244" t="s">
        <v>37</v>
      </c>
      <c r="W9" s="244" t="s">
        <v>39</v>
      </c>
      <c r="X9" s="244" t="s">
        <v>39</v>
      </c>
      <c r="Y9" s="244" t="s">
        <v>38</v>
      </c>
      <c r="Z9" s="244" t="s">
        <v>40</v>
      </c>
      <c r="AA9" s="244" t="s">
        <v>39</v>
      </c>
      <c r="AB9" s="244" t="s">
        <v>38</v>
      </c>
      <c r="AC9" s="244" t="s">
        <v>40</v>
      </c>
      <c r="AD9" s="244" t="s">
        <v>41</v>
      </c>
      <c r="AE9" s="244" t="s">
        <v>42</v>
      </c>
      <c r="AF9" s="244" t="s">
        <v>43</v>
      </c>
      <c r="AG9" s="244" t="s">
        <v>41</v>
      </c>
      <c r="AH9" s="244" t="s">
        <v>42</v>
      </c>
      <c r="AI9" s="244" t="s">
        <v>43</v>
      </c>
      <c r="AJ9" s="874"/>
      <c r="AK9" s="872"/>
      <c r="AL9" s="872"/>
      <c r="AM9" s="872"/>
      <c r="AN9" s="872"/>
      <c r="AO9" s="872"/>
      <c r="AP9" s="872"/>
      <c r="AQ9" s="872"/>
      <c r="AR9" s="872"/>
    </row>
    <row r="10" spans="1:49" s="509" customFormat="1" ht="47.25">
      <c r="A10" s="439" t="s">
        <v>285</v>
      </c>
      <c r="B10" s="439" t="s">
        <v>2316</v>
      </c>
      <c r="C10" s="439" t="s">
        <v>2317</v>
      </c>
      <c r="D10" s="440" t="s">
        <v>1516</v>
      </c>
      <c r="E10" s="442"/>
      <c r="F10" s="442"/>
      <c r="G10" s="502"/>
      <c r="H10" s="444"/>
      <c r="I10" s="442">
        <f>AK10/AK26*100</f>
        <v>15.62321573209757</v>
      </c>
      <c r="J10" s="442">
        <f>0.3*100</f>
        <v>30</v>
      </c>
      <c r="K10" s="503"/>
      <c r="L10" s="504"/>
      <c r="M10" s="504"/>
      <c r="N10" s="504"/>
      <c r="O10" s="504">
        <f t="shared" ref="O10:AI10" si="0">O11+O12+O13+O14+O15+O16</f>
        <v>29425</v>
      </c>
      <c r="P10" s="504">
        <f t="shared" si="0"/>
        <v>5880</v>
      </c>
      <c r="Q10" s="504">
        <f t="shared" si="0"/>
        <v>5880</v>
      </c>
      <c r="R10" s="504"/>
      <c r="S10" s="504"/>
      <c r="T10" s="504"/>
      <c r="U10" s="504">
        <f t="shared" si="0"/>
        <v>5880</v>
      </c>
      <c r="V10" s="504">
        <f t="shared" si="0"/>
        <v>5880</v>
      </c>
      <c r="W10" s="504">
        <f t="shared" si="0"/>
        <v>5880</v>
      </c>
      <c r="X10" s="504"/>
      <c r="Y10" s="504"/>
      <c r="Z10" s="504"/>
      <c r="AA10" s="504">
        <f t="shared" si="0"/>
        <v>29425</v>
      </c>
      <c r="AB10" s="504">
        <f t="shared" si="0"/>
        <v>5880</v>
      </c>
      <c r="AC10" s="504">
        <f t="shared" si="0"/>
        <v>5880</v>
      </c>
      <c r="AD10" s="504"/>
      <c r="AE10" s="504"/>
      <c r="AF10" s="504"/>
      <c r="AG10" s="504">
        <f>AG11+AG12+AG13+AG14+AG15+AG16</f>
        <v>5880</v>
      </c>
      <c r="AH10" s="504">
        <f t="shared" si="0"/>
        <v>5880</v>
      </c>
      <c r="AI10" s="504">
        <f t="shared" si="0"/>
        <v>5890</v>
      </c>
      <c r="AJ10" s="504">
        <f>AJ11+AJ12+AJ13+AJ14+AJ15+AJ16</f>
        <v>117660</v>
      </c>
      <c r="AK10" s="504">
        <f>AK11+AK12+AK13+AK14+AK15+AK16</f>
        <v>117660</v>
      </c>
      <c r="AL10" s="505"/>
      <c r="AM10" s="505"/>
      <c r="AN10" s="505"/>
      <c r="AO10" s="505"/>
      <c r="AP10" s="440" t="s">
        <v>223</v>
      </c>
      <c r="AQ10" s="506" t="s">
        <v>1517</v>
      </c>
      <c r="AR10" s="507"/>
      <c r="AS10" s="508"/>
      <c r="AU10" s="508"/>
    </row>
    <row r="11" spans="1:49" s="509" customFormat="1" ht="94.5">
      <c r="A11" s="457" t="s">
        <v>285</v>
      </c>
      <c r="B11" s="457" t="s">
        <v>2316</v>
      </c>
      <c r="C11" s="457" t="s">
        <v>1518</v>
      </c>
      <c r="D11" s="510" t="s">
        <v>1519</v>
      </c>
      <c r="E11" s="451">
        <f t="shared" ref="E11:E16" si="1">+L11+M11+N11+R11+S11+T11+X11+Y11+Z11+AD11+AE11+AF11</f>
        <v>1</v>
      </c>
      <c r="F11" s="451" t="s">
        <v>171</v>
      </c>
      <c r="G11" s="449" t="s">
        <v>1520</v>
      </c>
      <c r="H11" s="449" t="s">
        <v>1521</v>
      </c>
      <c r="I11" s="451">
        <f>AK11/AK10*100</f>
        <v>20.01104878463369</v>
      </c>
      <c r="J11" s="511"/>
      <c r="K11" s="451">
        <f>0.2*100</f>
        <v>20</v>
      </c>
      <c r="L11" s="512"/>
      <c r="M11" s="512"/>
      <c r="N11" s="512"/>
      <c r="O11" s="512"/>
      <c r="P11" s="512"/>
      <c r="Q11" s="512"/>
      <c r="R11" s="512"/>
      <c r="S11" s="512"/>
      <c r="T11" s="512"/>
      <c r="U11" s="512"/>
      <c r="V11" s="512"/>
      <c r="W11" s="512"/>
      <c r="X11" s="513"/>
      <c r="Y11" s="513">
        <v>1</v>
      </c>
      <c r="Z11" s="512"/>
      <c r="AA11" s="513">
        <v>23545</v>
      </c>
      <c r="AB11" s="512"/>
      <c r="AC11" s="512"/>
      <c r="AD11" s="512"/>
      <c r="AE11" s="512"/>
      <c r="AF11" s="512"/>
      <c r="AG11" s="512"/>
      <c r="AH11" s="512"/>
      <c r="AI11" s="512"/>
      <c r="AJ11" s="513">
        <f t="shared" ref="AJ11:AJ16" si="2">O11+P11+Q11+U11+V11+W11+AA11+AB11+AC11+AG11+AH11+AI11</f>
        <v>23545</v>
      </c>
      <c r="AK11" s="513">
        <f t="shared" ref="AK11:AK16" si="3">+AJ11</f>
        <v>23545</v>
      </c>
      <c r="AL11" s="514"/>
      <c r="AM11" s="514"/>
      <c r="AN11" s="514"/>
      <c r="AO11" s="514"/>
      <c r="AP11" s="460" t="s">
        <v>223</v>
      </c>
      <c r="AQ11" s="449" t="s">
        <v>1522</v>
      </c>
      <c r="AR11" s="515"/>
      <c r="AS11" s="508"/>
      <c r="AU11" s="508"/>
    </row>
    <row r="12" spans="1:49" s="509" customFormat="1" ht="63">
      <c r="A12" s="457" t="s">
        <v>285</v>
      </c>
      <c r="B12" s="457" t="s">
        <v>2316</v>
      </c>
      <c r="C12" s="457" t="s">
        <v>1523</v>
      </c>
      <c r="D12" s="510" t="s">
        <v>1524</v>
      </c>
      <c r="E12" s="451">
        <f t="shared" si="1"/>
        <v>1</v>
      </c>
      <c r="F12" s="451" t="s">
        <v>171</v>
      </c>
      <c r="G12" s="449" t="s">
        <v>1525</v>
      </c>
      <c r="H12" s="449" t="s">
        <v>1526</v>
      </c>
      <c r="I12" s="451">
        <f>AK12/AK10*100</f>
        <v>20.01104878463369</v>
      </c>
      <c r="J12" s="511"/>
      <c r="K12" s="451">
        <f>0.2*100</f>
        <v>20</v>
      </c>
      <c r="L12" s="513">
        <v>1</v>
      </c>
      <c r="M12" s="513"/>
      <c r="N12" s="513"/>
      <c r="O12" s="513">
        <v>23545</v>
      </c>
      <c r="P12" s="513"/>
      <c r="Q12" s="513"/>
      <c r="R12" s="512"/>
      <c r="S12" s="512"/>
      <c r="T12" s="512"/>
      <c r="U12" s="513"/>
      <c r="V12" s="513"/>
      <c r="W12" s="513"/>
      <c r="X12" s="512"/>
      <c r="Y12" s="512"/>
      <c r="Z12" s="512"/>
      <c r="AA12" s="512"/>
      <c r="AB12" s="512"/>
      <c r="AC12" s="512"/>
      <c r="AD12" s="512"/>
      <c r="AE12" s="512"/>
      <c r="AF12" s="512"/>
      <c r="AG12" s="512"/>
      <c r="AH12" s="512"/>
      <c r="AI12" s="512"/>
      <c r="AJ12" s="513">
        <f t="shared" si="2"/>
        <v>23545</v>
      </c>
      <c r="AK12" s="513">
        <f t="shared" si="3"/>
        <v>23545</v>
      </c>
      <c r="AL12" s="514"/>
      <c r="AM12" s="514"/>
      <c r="AN12" s="514"/>
      <c r="AO12" s="514"/>
      <c r="AP12" s="460" t="s">
        <v>223</v>
      </c>
      <c r="AQ12" s="449" t="s">
        <v>1522</v>
      </c>
      <c r="AR12" s="515"/>
      <c r="AS12" s="508"/>
      <c r="AU12" s="508"/>
    </row>
    <row r="13" spans="1:49" s="509" customFormat="1" ht="47.25">
      <c r="A13" s="457" t="s">
        <v>285</v>
      </c>
      <c r="B13" s="457" t="s">
        <v>2316</v>
      </c>
      <c r="C13" s="457" t="s">
        <v>1527</v>
      </c>
      <c r="D13" s="510" t="s">
        <v>1528</v>
      </c>
      <c r="E13" s="451">
        <f t="shared" si="1"/>
        <v>12</v>
      </c>
      <c r="F13" s="451" t="s">
        <v>168</v>
      </c>
      <c r="G13" s="449" t="s">
        <v>1529</v>
      </c>
      <c r="H13" s="449" t="s">
        <v>1530</v>
      </c>
      <c r="I13" s="451">
        <v>15</v>
      </c>
      <c r="J13" s="511"/>
      <c r="K13" s="451">
        <v>15</v>
      </c>
      <c r="L13" s="513">
        <v>1</v>
      </c>
      <c r="M13" s="513">
        <v>1</v>
      </c>
      <c r="N13" s="513">
        <v>1</v>
      </c>
      <c r="O13" s="513">
        <f>2940/2</f>
        <v>1470</v>
      </c>
      <c r="P13" s="513">
        <f>2940/2</f>
        <v>1470</v>
      </c>
      <c r="Q13" s="513">
        <f>2940/2</f>
        <v>1470</v>
      </c>
      <c r="R13" s="513">
        <v>1</v>
      </c>
      <c r="S13" s="513">
        <v>1</v>
      </c>
      <c r="T13" s="513">
        <v>1</v>
      </c>
      <c r="U13" s="513">
        <f t="shared" ref="U13:W16" si="4">2940/2</f>
        <v>1470</v>
      </c>
      <c r="V13" s="513">
        <f t="shared" si="4"/>
        <v>1470</v>
      </c>
      <c r="W13" s="513">
        <f t="shared" si="4"/>
        <v>1470</v>
      </c>
      <c r="X13" s="513">
        <v>1</v>
      </c>
      <c r="Y13" s="513">
        <v>1</v>
      </c>
      <c r="Z13" s="513">
        <v>1</v>
      </c>
      <c r="AA13" s="513">
        <f t="shared" ref="AA13:AC16" si="5">2940/2</f>
        <v>1470</v>
      </c>
      <c r="AB13" s="513">
        <f t="shared" si="5"/>
        <v>1470</v>
      </c>
      <c r="AC13" s="513">
        <f t="shared" si="5"/>
        <v>1470</v>
      </c>
      <c r="AD13" s="513">
        <v>1</v>
      </c>
      <c r="AE13" s="513">
        <v>1</v>
      </c>
      <c r="AF13" s="513">
        <v>1</v>
      </c>
      <c r="AG13" s="513">
        <f t="shared" ref="AG13:AH16" si="6">2940/2</f>
        <v>1470</v>
      </c>
      <c r="AH13" s="513">
        <f t="shared" si="6"/>
        <v>1470</v>
      </c>
      <c r="AI13" s="513">
        <f>1470+5</f>
        <v>1475</v>
      </c>
      <c r="AJ13" s="513">
        <f t="shared" si="2"/>
        <v>17645</v>
      </c>
      <c r="AK13" s="513">
        <f t="shared" si="3"/>
        <v>17645</v>
      </c>
      <c r="AL13" s="514"/>
      <c r="AM13" s="514"/>
      <c r="AN13" s="514"/>
      <c r="AO13" s="514"/>
      <c r="AP13" s="460" t="s">
        <v>223</v>
      </c>
      <c r="AQ13" s="449" t="s">
        <v>1522</v>
      </c>
      <c r="AR13" s="515"/>
      <c r="AS13" s="508"/>
      <c r="AU13" s="508"/>
    </row>
    <row r="14" spans="1:49" s="509" customFormat="1" ht="63">
      <c r="A14" s="457" t="s">
        <v>285</v>
      </c>
      <c r="B14" s="457" t="s">
        <v>2316</v>
      </c>
      <c r="C14" s="457" t="s">
        <v>1535</v>
      </c>
      <c r="D14" s="510" t="s">
        <v>1532</v>
      </c>
      <c r="E14" s="451">
        <f t="shared" si="1"/>
        <v>43</v>
      </c>
      <c r="F14" s="451" t="s">
        <v>168</v>
      </c>
      <c r="G14" s="449" t="s">
        <v>1533</v>
      </c>
      <c r="H14" s="449" t="s">
        <v>1534</v>
      </c>
      <c r="I14" s="451">
        <v>15</v>
      </c>
      <c r="J14" s="511"/>
      <c r="K14" s="451">
        <v>15</v>
      </c>
      <c r="L14" s="513">
        <v>2</v>
      </c>
      <c r="M14" s="513">
        <v>4</v>
      </c>
      <c r="N14" s="513">
        <v>3</v>
      </c>
      <c r="O14" s="513">
        <f>2940/2</f>
        <v>1470</v>
      </c>
      <c r="P14" s="513">
        <f t="shared" ref="P14:Q16" si="7">2940/2</f>
        <v>1470</v>
      </c>
      <c r="Q14" s="513">
        <f t="shared" si="7"/>
        <v>1470</v>
      </c>
      <c r="R14" s="513">
        <v>4</v>
      </c>
      <c r="S14" s="513">
        <v>4</v>
      </c>
      <c r="T14" s="513">
        <v>4</v>
      </c>
      <c r="U14" s="513">
        <f t="shared" si="4"/>
        <v>1470</v>
      </c>
      <c r="V14" s="513">
        <f t="shared" si="4"/>
        <v>1470</v>
      </c>
      <c r="W14" s="513">
        <f t="shared" si="4"/>
        <v>1470</v>
      </c>
      <c r="X14" s="513">
        <v>4</v>
      </c>
      <c r="Y14" s="513">
        <v>3</v>
      </c>
      <c r="Z14" s="513">
        <v>4</v>
      </c>
      <c r="AA14" s="513">
        <f t="shared" si="5"/>
        <v>1470</v>
      </c>
      <c r="AB14" s="513">
        <f t="shared" si="5"/>
        <v>1470</v>
      </c>
      <c r="AC14" s="513">
        <f t="shared" si="5"/>
        <v>1470</v>
      </c>
      <c r="AD14" s="513">
        <v>4</v>
      </c>
      <c r="AE14" s="513">
        <v>4</v>
      </c>
      <c r="AF14" s="513">
        <v>3</v>
      </c>
      <c r="AG14" s="513">
        <f t="shared" si="6"/>
        <v>1470</v>
      </c>
      <c r="AH14" s="513">
        <f t="shared" si="6"/>
        <v>1470</v>
      </c>
      <c r="AI14" s="513">
        <f>2940/2</f>
        <v>1470</v>
      </c>
      <c r="AJ14" s="513">
        <f t="shared" si="2"/>
        <v>17640</v>
      </c>
      <c r="AK14" s="513">
        <f t="shared" si="3"/>
        <v>17640</v>
      </c>
      <c r="AL14" s="514"/>
      <c r="AM14" s="514"/>
      <c r="AN14" s="514"/>
      <c r="AO14" s="514"/>
      <c r="AP14" s="460" t="s">
        <v>223</v>
      </c>
      <c r="AQ14" s="449" t="s">
        <v>1522</v>
      </c>
      <c r="AR14" s="515"/>
      <c r="AS14" s="508"/>
      <c r="AU14" s="508"/>
      <c r="AW14" s="516"/>
    </row>
    <row r="15" spans="1:49" s="509" customFormat="1" ht="47.25">
      <c r="A15" s="457" t="s">
        <v>285</v>
      </c>
      <c r="B15" s="457" t="s">
        <v>2316</v>
      </c>
      <c r="C15" s="457" t="s">
        <v>1531</v>
      </c>
      <c r="D15" s="510" t="s">
        <v>1536</v>
      </c>
      <c r="E15" s="451">
        <f t="shared" si="1"/>
        <v>12</v>
      </c>
      <c r="F15" s="451" t="s">
        <v>168</v>
      </c>
      <c r="G15" s="449" t="s">
        <v>1537</v>
      </c>
      <c r="H15" s="449" t="s">
        <v>1530</v>
      </c>
      <c r="I15" s="451">
        <v>15</v>
      </c>
      <c r="J15" s="511"/>
      <c r="K15" s="451">
        <v>15</v>
      </c>
      <c r="L15" s="513">
        <v>1</v>
      </c>
      <c r="M15" s="513">
        <v>1</v>
      </c>
      <c r="N15" s="513">
        <v>1</v>
      </c>
      <c r="O15" s="513">
        <f>2940/2</f>
        <v>1470</v>
      </c>
      <c r="P15" s="513">
        <f t="shared" si="7"/>
        <v>1470</v>
      </c>
      <c r="Q15" s="513">
        <f t="shared" si="7"/>
        <v>1470</v>
      </c>
      <c r="R15" s="513">
        <v>1</v>
      </c>
      <c r="S15" s="513">
        <v>1</v>
      </c>
      <c r="T15" s="513">
        <v>1</v>
      </c>
      <c r="U15" s="513">
        <f>2940/2</f>
        <v>1470</v>
      </c>
      <c r="V15" s="513">
        <f t="shared" si="4"/>
        <v>1470</v>
      </c>
      <c r="W15" s="513">
        <f t="shared" si="4"/>
        <v>1470</v>
      </c>
      <c r="X15" s="513">
        <v>1</v>
      </c>
      <c r="Y15" s="513">
        <v>1</v>
      </c>
      <c r="Z15" s="513">
        <v>1</v>
      </c>
      <c r="AA15" s="513">
        <f>2940/2</f>
        <v>1470</v>
      </c>
      <c r="AB15" s="513">
        <f t="shared" si="5"/>
        <v>1470</v>
      </c>
      <c r="AC15" s="513">
        <f t="shared" si="5"/>
        <v>1470</v>
      </c>
      <c r="AD15" s="513">
        <v>1</v>
      </c>
      <c r="AE15" s="513">
        <v>1</v>
      </c>
      <c r="AF15" s="513">
        <v>1</v>
      </c>
      <c r="AG15" s="513">
        <f t="shared" si="6"/>
        <v>1470</v>
      </c>
      <c r="AH15" s="513">
        <f t="shared" si="6"/>
        <v>1470</v>
      </c>
      <c r="AI15" s="513">
        <f>1470+5</f>
        <v>1475</v>
      </c>
      <c r="AJ15" s="513">
        <f t="shared" si="2"/>
        <v>17645</v>
      </c>
      <c r="AK15" s="513">
        <f t="shared" si="3"/>
        <v>17645</v>
      </c>
      <c r="AL15" s="514"/>
      <c r="AM15" s="514"/>
      <c r="AN15" s="514"/>
      <c r="AO15" s="514"/>
      <c r="AP15" s="460" t="s">
        <v>223</v>
      </c>
      <c r="AQ15" s="449" t="s">
        <v>1522</v>
      </c>
      <c r="AR15" s="515"/>
      <c r="AS15" s="508"/>
      <c r="AU15" s="508"/>
      <c r="AW15" s="516"/>
    </row>
    <row r="16" spans="1:49" s="509" customFormat="1" ht="47.25">
      <c r="A16" s="457" t="s">
        <v>285</v>
      </c>
      <c r="B16" s="457" t="s">
        <v>2316</v>
      </c>
      <c r="C16" s="457" t="s">
        <v>1538</v>
      </c>
      <c r="D16" s="510" t="s">
        <v>1539</v>
      </c>
      <c r="E16" s="451">
        <f t="shared" si="1"/>
        <v>43</v>
      </c>
      <c r="F16" s="451" t="s">
        <v>168</v>
      </c>
      <c r="G16" s="449" t="s">
        <v>1540</v>
      </c>
      <c r="H16" s="449" t="s">
        <v>1534</v>
      </c>
      <c r="I16" s="451">
        <v>15</v>
      </c>
      <c r="J16" s="511"/>
      <c r="K16" s="451">
        <v>15</v>
      </c>
      <c r="L16" s="513">
        <v>2</v>
      </c>
      <c r="M16" s="513">
        <v>4</v>
      </c>
      <c r="N16" s="513">
        <v>3</v>
      </c>
      <c r="O16" s="513">
        <f>2940/2</f>
        <v>1470</v>
      </c>
      <c r="P16" s="513">
        <f t="shared" si="7"/>
        <v>1470</v>
      </c>
      <c r="Q16" s="513">
        <f t="shared" si="7"/>
        <v>1470</v>
      </c>
      <c r="R16" s="513">
        <v>4</v>
      </c>
      <c r="S16" s="513">
        <v>4</v>
      </c>
      <c r="T16" s="513">
        <v>4</v>
      </c>
      <c r="U16" s="513">
        <f>2940/2</f>
        <v>1470</v>
      </c>
      <c r="V16" s="513">
        <f t="shared" si="4"/>
        <v>1470</v>
      </c>
      <c r="W16" s="513">
        <f t="shared" si="4"/>
        <v>1470</v>
      </c>
      <c r="X16" s="513">
        <v>4</v>
      </c>
      <c r="Y16" s="513">
        <v>3</v>
      </c>
      <c r="Z16" s="513">
        <v>4</v>
      </c>
      <c r="AA16" s="513">
        <f>2940/2</f>
        <v>1470</v>
      </c>
      <c r="AB16" s="513">
        <f t="shared" si="5"/>
        <v>1470</v>
      </c>
      <c r="AC16" s="513">
        <f t="shared" si="5"/>
        <v>1470</v>
      </c>
      <c r="AD16" s="513">
        <v>4</v>
      </c>
      <c r="AE16" s="513">
        <v>4</v>
      </c>
      <c r="AF16" s="513">
        <v>3</v>
      </c>
      <c r="AG16" s="513">
        <f t="shared" si="6"/>
        <v>1470</v>
      </c>
      <c r="AH16" s="513">
        <f t="shared" si="6"/>
        <v>1470</v>
      </c>
      <c r="AI16" s="513">
        <f>2940/2</f>
        <v>1470</v>
      </c>
      <c r="AJ16" s="513">
        <f t="shared" si="2"/>
        <v>17640</v>
      </c>
      <c r="AK16" s="513">
        <f t="shared" si="3"/>
        <v>17640</v>
      </c>
      <c r="AL16" s="514"/>
      <c r="AM16" s="514"/>
      <c r="AN16" s="514"/>
      <c r="AO16" s="514"/>
      <c r="AP16" s="460" t="s">
        <v>223</v>
      </c>
      <c r="AQ16" s="449" t="s">
        <v>1522</v>
      </c>
      <c r="AR16" s="515"/>
      <c r="AS16" s="508"/>
      <c r="AU16" s="508"/>
      <c r="AW16" s="516"/>
    </row>
    <row r="17" spans="1:49" s="509" customFormat="1" ht="47.25">
      <c r="A17" s="439" t="s">
        <v>285</v>
      </c>
      <c r="B17" s="439" t="s">
        <v>2313</v>
      </c>
      <c r="C17" s="439" t="s">
        <v>2314</v>
      </c>
      <c r="D17" s="440" t="s">
        <v>1541</v>
      </c>
      <c r="E17" s="442"/>
      <c r="F17" s="442"/>
      <c r="G17" s="502"/>
      <c r="H17" s="444"/>
      <c r="I17" s="442">
        <f>AK17/AK26*100</f>
        <v>58.294936994595744</v>
      </c>
      <c r="J17" s="442">
        <f>0.4*100</f>
        <v>40</v>
      </c>
      <c r="K17" s="503"/>
      <c r="L17" s="504"/>
      <c r="M17" s="504"/>
      <c r="N17" s="504"/>
      <c r="O17" s="504">
        <f t="shared" ref="O17:AK17" si="8">O18+O19+O20</f>
        <v>36585</v>
      </c>
      <c r="P17" s="504">
        <f t="shared" si="8"/>
        <v>36585</v>
      </c>
      <c r="Q17" s="504">
        <f t="shared" si="8"/>
        <v>36585</v>
      </c>
      <c r="R17" s="504"/>
      <c r="S17" s="504"/>
      <c r="T17" s="504"/>
      <c r="U17" s="504">
        <f t="shared" si="8"/>
        <v>36585</v>
      </c>
      <c r="V17" s="504">
        <f t="shared" si="8"/>
        <v>36585</v>
      </c>
      <c r="W17" s="504">
        <f t="shared" si="8"/>
        <v>36585</v>
      </c>
      <c r="X17" s="504"/>
      <c r="Y17" s="504"/>
      <c r="Z17" s="504"/>
      <c r="AA17" s="504">
        <f t="shared" si="8"/>
        <v>36585</v>
      </c>
      <c r="AB17" s="504">
        <f t="shared" si="8"/>
        <v>36585</v>
      </c>
      <c r="AC17" s="504">
        <f t="shared" si="8"/>
        <v>36585</v>
      </c>
      <c r="AD17" s="504"/>
      <c r="AE17" s="504"/>
      <c r="AF17" s="504"/>
      <c r="AG17" s="504">
        <f t="shared" si="8"/>
        <v>36585</v>
      </c>
      <c r="AH17" s="504">
        <f t="shared" si="8"/>
        <v>36585</v>
      </c>
      <c r="AI17" s="504">
        <f t="shared" si="8"/>
        <v>36590</v>
      </c>
      <c r="AJ17" s="504">
        <f t="shared" si="8"/>
        <v>439025</v>
      </c>
      <c r="AK17" s="504">
        <f t="shared" si="8"/>
        <v>439025</v>
      </c>
      <c r="AL17" s="505"/>
      <c r="AM17" s="505"/>
      <c r="AN17" s="505"/>
      <c r="AO17" s="505"/>
      <c r="AP17" s="440" t="s">
        <v>1542</v>
      </c>
      <c r="AQ17" s="506" t="s">
        <v>1517</v>
      </c>
      <c r="AR17" s="507"/>
      <c r="AS17" s="508"/>
      <c r="AU17" s="508"/>
    </row>
    <row r="18" spans="1:49" ht="31.5">
      <c r="A18" s="457" t="s">
        <v>285</v>
      </c>
      <c r="B18" s="457" t="s">
        <v>2313</v>
      </c>
      <c r="C18" s="457" t="s">
        <v>1543</v>
      </c>
      <c r="D18" s="510" t="s">
        <v>1544</v>
      </c>
      <c r="E18" s="451">
        <f>+L18+M18+N18+R18+S18+T18+X18+Y18+Z18+AD18+AE18+AF18</f>
        <v>12</v>
      </c>
      <c r="F18" s="451" t="s">
        <v>168</v>
      </c>
      <c r="G18" s="510" t="s">
        <v>1019</v>
      </c>
      <c r="H18" s="449" t="s">
        <v>168</v>
      </c>
      <c r="I18" s="451">
        <v>5</v>
      </c>
      <c r="J18" s="451"/>
      <c r="K18" s="451">
        <v>5</v>
      </c>
      <c r="L18" s="513">
        <v>1</v>
      </c>
      <c r="M18" s="513">
        <v>1</v>
      </c>
      <c r="N18" s="513">
        <v>1</v>
      </c>
      <c r="O18" s="513">
        <v>1830</v>
      </c>
      <c r="P18" s="513">
        <v>1830</v>
      </c>
      <c r="Q18" s="513">
        <v>1830</v>
      </c>
      <c r="R18" s="513">
        <v>1</v>
      </c>
      <c r="S18" s="513">
        <v>1</v>
      </c>
      <c r="T18" s="513">
        <v>1</v>
      </c>
      <c r="U18" s="513">
        <v>1830</v>
      </c>
      <c r="V18" s="513">
        <v>1830</v>
      </c>
      <c r="W18" s="513">
        <v>1830</v>
      </c>
      <c r="X18" s="513">
        <v>1</v>
      </c>
      <c r="Y18" s="513">
        <v>1</v>
      </c>
      <c r="Z18" s="513">
        <v>1</v>
      </c>
      <c r="AA18" s="513">
        <v>1830</v>
      </c>
      <c r="AB18" s="513">
        <v>1830</v>
      </c>
      <c r="AC18" s="513">
        <v>1830</v>
      </c>
      <c r="AD18" s="513">
        <v>1</v>
      </c>
      <c r="AE18" s="513">
        <v>1</v>
      </c>
      <c r="AF18" s="513">
        <v>1</v>
      </c>
      <c r="AG18" s="513">
        <v>1830</v>
      </c>
      <c r="AH18" s="513">
        <v>1830</v>
      </c>
      <c r="AI18" s="513">
        <v>1825</v>
      </c>
      <c r="AJ18" s="513">
        <f>O18+P18+Q18+U18+V18+W18+AA18+AB18+AC18+AG18+AH18+AI18</f>
        <v>21955</v>
      </c>
      <c r="AK18" s="513">
        <f>+AJ18</f>
        <v>21955</v>
      </c>
      <c r="AL18" s="517"/>
      <c r="AM18" s="517"/>
      <c r="AN18" s="517"/>
      <c r="AO18" s="517"/>
      <c r="AP18" s="460" t="s">
        <v>223</v>
      </c>
      <c r="AQ18" s="449" t="s">
        <v>1545</v>
      </c>
      <c r="AR18" s="515"/>
      <c r="AS18" s="508"/>
      <c r="AT18" s="509"/>
      <c r="AU18" s="508"/>
      <c r="AV18" s="509"/>
    </row>
    <row r="19" spans="1:49" s="523" customFormat="1" ht="47.25">
      <c r="A19" s="457" t="s">
        <v>285</v>
      </c>
      <c r="B19" s="457" t="s">
        <v>2313</v>
      </c>
      <c r="C19" s="448" t="s">
        <v>1546</v>
      </c>
      <c r="D19" s="518" t="s">
        <v>1547</v>
      </c>
      <c r="E19" s="458">
        <f>+L19+M19+N19+R19+S19+T19+X19+Y19+Z19+AD19+AE19+AF19</f>
        <v>18338</v>
      </c>
      <c r="F19" s="458" t="s">
        <v>1548</v>
      </c>
      <c r="G19" s="518" t="s">
        <v>1549</v>
      </c>
      <c r="H19" s="519" t="s">
        <v>1548</v>
      </c>
      <c r="I19" s="458">
        <v>25</v>
      </c>
      <c r="J19" s="458"/>
      <c r="K19" s="458">
        <v>25</v>
      </c>
      <c r="L19" s="520">
        <v>1349</v>
      </c>
      <c r="M19" s="520">
        <v>1017</v>
      </c>
      <c r="N19" s="520">
        <v>1003</v>
      </c>
      <c r="O19" s="520">
        <v>9145</v>
      </c>
      <c r="P19" s="520">
        <v>9145</v>
      </c>
      <c r="Q19" s="520">
        <v>9145</v>
      </c>
      <c r="R19" s="520">
        <v>1280</v>
      </c>
      <c r="S19" s="520">
        <v>1285</v>
      </c>
      <c r="T19" s="520">
        <v>1557</v>
      </c>
      <c r="U19" s="520">
        <v>9145</v>
      </c>
      <c r="V19" s="520">
        <v>9145</v>
      </c>
      <c r="W19" s="520">
        <v>9145</v>
      </c>
      <c r="X19" s="520">
        <v>1297</v>
      </c>
      <c r="Y19" s="520">
        <v>1355</v>
      </c>
      <c r="Z19" s="520">
        <v>2041</v>
      </c>
      <c r="AA19" s="520">
        <v>9145</v>
      </c>
      <c r="AB19" s="520">
        <v>9145</v>
      </c>
      <c r="AC19" s="520">
        <v>9145</v>
      </c>
      <c r="AD19" s="520">
        <v>1656</v>
      </c>
      <c r="AE19" s="520">
        <v>1959</v>
      </c>
      <c r="AF19" s="520">
        <v>2539</v>
      </c>
      <c r="AG19" s="520">
        <v>9145</v>
      </c>
      <c r="AH19" s="520">
        <v>9145</v>
      </c>
      <c r="AI19" s="520">
        <v>9145</v>
      </c>
      <c r="AJ19" s="520">
        <f>O19+P19+Q19+U19+V19+W19+AA19+AB19+AC19+AG19+AH19+AI19</f>
        <v>109740</v>
      </c>
      <c r="AK19" s="520">
        <f>+AJ19</f>
        <v>109740</v>
      </c>
      <c r="AL19" s="521"/>
      <c r="AM19" s="521"/>
      <c r="AN19" s="521"/>
      <c r="AO19" s="521"/>
      <c r="AP19" s="460" t="s">
        <v>223</v>
      </c>
      <c r="AQ19" s="449" t="s">
        <v>1545</v>
      </c>
      <c r="AR19" s="522"/>
      <c r="AS19" s="508"/>
      <c r="AT19" s="509"/>
      <c r="AU19" s="508"/>
    </row>
    <row r="20" spans="1:49" ht="47.25">
      <c r="A20" s="457" t="s">
        <v>285</v>
      </c>
      <c r="B20" s="457" t="s">
        <v>2313</v>
      </c>
      <c r="C20" s="457" t="s">
        <v>1550</v>
      </c>
      <c r="D20" s="510" t="s">
        <v>1551</v>
      </c>
      <c r="E20" s="458">
        <f>+L20+M20+N20+R20+S20+T20+X20+Y20+Z20+AD20+AE20+AF20</f>
        <v>1386</v>
      </c>
      <c r="F20" s="451" t="s">
        <v>168</v>
      </c>
      <c r="G20" s="510" t="s">
        <v>1019</v>
      </c>
      <c r="H20" s="449" t="s">
        <v>168</v>
      </c>
      <c r="I20" s="451">
        <f>AK20/AK17*100</f>
        <v>70.002847218267746</v>
      </c>
      <c r="J20" s="451"/>
      <c r="K20" s="451">
        <f>0.7*100</f>
        <v>70</v>
      </c>
      <c r="L20" s="513">
        <v>57</v>
      </c>
      <c r="M20" s="513">
        <v>93</v>
      </c>
      <c r="N20" s="513">
        <v>91</v>
      </c>
      <c r="O20" s="513">
        <v>25610</v>
      </c>
      <c r="P20" s="513">
        <v>25610</v>
      </c>
      <c r="Q20" s="513">
        <v>25610</v>
      </c>
      <c r="R20" s="513">
        <v>124</v>
      </c>
      <c r="S20" s="513">
        <v>107</v>
      </c>
      <c r="T20" s="513">
        <v>121</v>
      </c>
      <c r="U20" s="513">
        <v>25610</v>
      </c>
      <c r="V20" s="513">
        <v>25610</v>
      </c>
      <c r="W20" s="513">
        <v>25610</v>
      </c>
      <c r="X20" s="513">
        <v>139</v>
      </c>
      <c r="Y20" s="513">
        <v>106</v>
      </c>
      <c r="Z20" s="513">
        <v>117</v>
      </c>
      <c r="AA20" s="513">
        <v>25610</v>
      </c>
      <c r="AB20" s="513">
        <v>25610</v>
      </c>
      <c r="AC20" s="513">
        <v>25610</v>
      </c>
      <c r="AD20" s="513">
        <v>117</v>
      </c>
      <c r="AE20" s="513">
        <v>164</v>
      </c>
      <c r="AF20" s="513">
        <v>150</v>
      </c>
      <c r="AG20" s="513">
        <v>25610</v>
      </c>
      <c r="AH20" s="513">
        <v>25610</v>
      </c>
      <c r="AI20" s="513">
        <v>25620</v>
      </c>
      <c r="AJ20" s="513">
        <f>O20+P20+Q20+U20+V20+W20+AA20+AB20+AC20+AG20+AH20+AI20</f>
        <v>307330</v>
      </c>
      <c r="AK20" s="513">
        <f>+AJ20</f>
        <v>307330</v>
      </c>
      <c r="AL20" s="517"/>
      <c r="AM20" s="517"/>
      <c r="AN20" s="517"/>
      <c r="AO20" s="517"/>
      <c r="AP20" s="460" t="s">
        <v>223</v>
      </c>
      <c r="AQ20" s="449" t="s">
        <v>1545</v>
      </c>
      <c r="AR20" s="515"/>
      <c r="AS20" s="508"/>
      <c r="AT20" s="509"/>
      <c r="AU20" s="508"/>
      <c r="AV20" s="509"/>
    </row>
    <row r="21" spans="1:49" s="509" customFormat="1" ht="78.75">
      <c r="A21" s="439" t="s">
        <v>285</v>
      </c>
      <c r="B21" s="439" t="s">
        <v>2312</v>
      </c>
      <c r="C21" s="439" t="s">
        <v>2315</v>
      </c>
      <c r="D21" s="440" t="s">
        <v>1552</v>
      </c>
      <c r="E21" s="442"/>
      <c r="F21" s="442"/>
      <c r="G21" s="502"/>
      <c r="H21" s="444"/>
      <c r="I21" s="442">
        <f>AK21/AK26*100</f>
        <v>26.081847273306693</v>
      </c>
      <c r="J21" s="442">
        <f>0.3*100</f>
        <v>30</v>
      </c>
      <c r="K21" s="503"/>
      <c r="L21" s="504"/>
      <c r="M21" s="504"/>
      <c r="N21" s="504"/>
      <c r="O21" s="504">
        <f>O22+O23+O24+O25</f>
        <v>10635</v>
      </c>
      <c r="P21" s="504">
        <f>P22+P23+P24+P25</f>
        <v>79380</v>
      </c>
      <c r="Q21" s="504">
        <f t="shared" ref="Q21:AK21" si="9">Q22+Q23+Q24+Q25</f>
        <v>10635</v>
      </c>
      <c r="R21" s="504"/>
      <c r="S21" s="504"/>
      <c r="T21" s="504"/>
      <c r="U21" s="504">
        <f t="shared" si="9"/>
        <v>10635</v>
      </c>
      <c r="V21" s="504">
        <f t="shared" si="9"/>
        <v>10635</v>
      </c>
      <c r="W21" s="504">
        <f t="shared" si="9"/>
        <v>10635</v>
      </c>
      <c r="X21" s="504"/>
      <c r="Y21" s="504"/>
      <c r="Z21" s="504"/>
      <c r="AA21" s="504">
        <f t="shared" si="9"/>
        <v>10635</v>
      </c>
      <c r="AB21" s="504">
        <f t="shared" si="9"/>
        <v>10635</v>
      </c>
      <c r="AC21" s="504">
        <f t="shared" si="9"/>
        <v>10635</v>
      </c>
      <c r="AD21" s="504"/>
      <c r="AE21" s="504"/>
      <c r="AF21" s="504"/>
      <c r="AG21" s="504">
        <f t="shared" si="9"/>
        <v>10635</v>
      </c>
      <c r="AH21" s="504">
        <f t="shared" si="9"/>
        <v>10635</v>
      </c>
      <c r="AI21" s="504">
        <f t="shared" si="9"/>
        <v>10695</v>
      </c>
      <c r="AJ21" s="504">
        <f t="shared" si="9"/>
        <v>196425</v>
      </c>
      <c r="AK21" s="504">
        <f t="shared" si="9"/>
        <v>196425</v>
      </c>
      <c r="AL21" s="505"/>
      <c r="AM21" s="505"/>
      <c r="AN21" s="505"/>
      <c r="AO21" s="505"/>
      <c r="AP21" s="440" t="s">
        <v>223</v>
      </c>
      <c r="AQ21" s="506" t="s">
        <v>1517</v>
      </c>
      <c r="AR21" s="507"/>
      <c r="AS21" s="508"/>
      <c r="AU21" s="508"/>
    </row>
    <row r="22" spans="1:49" s="509" customFormat="1" ht="31.5">
      <c r="A22" s="457" t="s">
        <v>285</v>
      </c>
      <c r="B22" s="457" t="s">
        <v>2312</v>
      </c>
      <c r="C22" s="457" t="s">
        <v>2308</v>
      </c>
      <c r="D22" s="524" t="s">
        <v>1553</v>
      </c>
      <c r="E22" s="451">
        <f>+L22+M22+N22+R22+S22+T22+X22+Y22+Z22+AD22+AE22+AF22</f>
        <v>23100</v>
      </c>
      <c r="F22" s="451" t="s">
        <v>168</v>
      </c>
      <c r="G22" s="449" t="s">
        <v>1554</v>
      </c>
      <c r="H22" s="449" t="s">
        <v>1555</v>
      </c>
      <c r="I22" s="451">
        <f>AK22/AK21*100</f>
        <v>25.001909125620465</v>
      </c>
      <c r="J22" s="451"/>
      <c r="K22" s="451">
        <f>0.25*100</f>
        <v>25</v>
      </c>
      <c r="L22" s="513">
        <v>1600</v>
      </c>
      <c r="M22" s="513">
        <v>1400</v>
      </c>
      <c r="N22" s="513">
        <v>1500</v>
      </c>
      <c r="O22" s="513">
        <v>4090</v>
      </c>
      <c r="P22" s="513">
        <v>4090</v>
      </c>
      <c r="Q22" s="513">
        <v>4090</v>
      </c>
      <c r="R22" s="513">
        <v>1600</v>
      </c>
      <c r="S22" s="513">
        <v>1800</v>
      </c>
      <c r="T22" s="513">
        <v>2000</v>
      </c>
      <c r="U22" s="513">
        <v>4090</v>
      </c>
      <c r="V22" s="513">
        <v>4090</v>
      </c>
      <c r="W22" s="513">
        <v>4090</v>
      </c>
      <c r="X22" s="513">
        <v>1800</v>
      </c>
      <c r="Y22" s="513">
        <v>1800</v>
      </c>
      <c r="Z22" s="513">
        <v>1900</v>
      </c>
      <c r="AA22" s="513">
        <v>4090</v>
      </c>
      <c r="AB22" s="513">
        <v>4090</v>
      </c>
      <c r="AC22" s="513">
        <v>4090</v>
      </c>
      <c r="AD22" s="513">
        <v>2000</v>
      </c>
      <c r="AE22" s="513">
        <v>2200</v>
      </c>
      <c r="AF22" s="513">
        <v>3500</v>
      </c>
      <c r="AG22" s="513">
        <v>4090</v>
      </c>
      <c r="AH22" s="513">
        <v>4090</v>
      </c>
      <c r="AI22" s="513">
        <v>4120</v>
      </c>
      <c r="AJ22" s="513">
        <f>O22+P22+Q22+U22+V22+W22+AA22+AB22+AC22+AG22+AH22+AI22</f>
        <v>49110</v>
      </c>
      <c r="AK22" s="513">
        <f>+AJ22</f>
        <v>49110</v>
      </c>
      <c r="AL22" s="514"/>
      <c r="AM22" s="514"/>
      <c r="AN22" s="514"/>
      <c r="AO22" s="514"/>
      <c r="AP22" s="460" t="s">
        <v>223</v>
      </c>
      <c r="AQ22" s="449" t="s">
        <v>1556</v>
      </c>
      <c r="AR22" s="515"/>
      <c r="AS22" s="508"/>
      <c r="AU22" s="508"/>
      <c r="AW22" s="525"/>
    </row>
    <row r="23" spans="1:49" s="509" customFormat="1" ht="110.25">
      <c r="A23" s="457" t="s">
        <v>285</v>
      </c>
      <c r="B23" s="457" t="s">
        <v>2312</v>
      </c>
      <c r="C23" s="457" t="s">
        <v>2309</v>
      </c>
      <c r="D23" s="524" t="s">
        <v>1557</v>
      </c>
      <c r="E23" s="451">
        <f>+L23+M23+N23+R23+S23+T23+X23+Y23+Z23+AD23+AE23+AF23</f>
        <v>96</v>
      </c>
      <c r="F23" s="451" t="s">
        <v>171</v>
      </c>
      <c r="G23" s="449" t="s">
        <v>1558</v>
      </c>
      <c r="H23" s="449" t="s">
        <v>1559</v>
      </c>
      <c r="I23" s="451">
        <f>AK23/AK21*100</f>
        <v>40</v>
      </c>
      <c r="J23" s="451"/>
      <c r="K23" s="451">
        <f>0.4*100</f>
        <v>40</v>
      </c>
      <c r="L23" s="513">
        <v>8</v>
      </c>
      <c r="M23" s="513">
        <v>8</v>
      </c>
      <c r="N23" s="513">
        <v>8</v>
      </c>
      <c r="O23" s="513">
        <v>6545</v>
      </c>
      <c r="P23" s="513">
        <v>6545</v>
      </c>
      <c r="Q23" s="513">
        <v>6545</v>
      </c>
      <c r="R23" s="513">
        <v>8</v>
      </c>
      <c r="S23" s="513">
        <v>8</v>
      </c>
      <c r="T23" s="513">
        <v>8</v>
      </c>
      <c r="U23" s="513">
        <v>6545</v>
      </c>
      <c r="V23" s="513">
        <v>6545</v>
      </c>
      <c r="W23" s="513">
        <v>6545</v>
      </c>
      <c r="X23" s="513">
        <v>8</v>
      </c>
      <c r="Y23" s="513">
        <v>8</v>
      </c>
      <c r="Z23" s="513">
        <v>8</v>
      </c>
      <c r="AA23" s="513">
        <v>6545</v>
      </c>
      <c r="AB23" s="513">
        <v>6545</v>
      </c>
      <c r="AC23" s="513">
        <v>6545</v>
      </c>
      <c r="AD23" s="513">
        <v>8</v>
      </c>
      <c r="AE23" s="513">
        <v>8</v>
      </c>
      <c r="AF23" s="513">
        <v>8</v>
      </c>
      <c r="AG23" s="513">
        <v>6545</v>
      </c>
      <c r="AH23" s="513">
        <v>6545</v>
      </c>
      <c r="AI23" s="513">
        <v>6575</v>
      </c>
      <c r="AJ23" s="513">
        <f>O23+P23+Q23+U23+V23+W23+AA23+AB23+AC23+AG23+AH23+AI23</f>
        <v>78570</v>
      </c>
      <c r="AK23" s="513">
        <f>+AJ23</f>
        <v>78570</v>
      </c>
      <c r="AL23" s="517"/>
      <c r="AM23" s="517"/>
      <c r="AN23" s="517"/>
      <c r="AO23" s="517"/>
      <c r="AP23" s="460" t="s">
        <v>223</v>
      </c>
      <c r="AQ23" s="449" t="s">
        <v>1556</v>
      </c>
      <c r="AR23" s="515"/>
      <c r="AS23" s="508"/>
      <c r="AU23" s="508"/>
    </row>
    <row r="24" spans="1:49" ht="110.25">
      <c r="A24" s="457" t="s">
        <v>285</v>
      </c>
      <c r="B24" s="457" t="s">
        <v>2312</v>
      </c>
      <c r="C24" s="457" t="s">
        <v>2310</v>
      </c>
      <c r="D24" s="524" t="s">
        <v>1560</v>
      </c>
      <c r="E24" s="451">
        <f>+L24+M24+N24+R24+S24+T24+X24+Y24+Z24+AD24+AE24+AF24</f>
        <v>1</v>
      </c>
      <c r="F24" s="451" t="s">
        <v>168</v>
      </c>
      <c r="G24" s="449" t="s">
        <v>1561</v>
      </c>
      <c r="H24" s="449" t="s">
        <v>1562</v>
      </c>
      <c r="I24" s="451">
        <v>10</v>
      </c>
      <c r="J24" s="451"/>
      <c r="K24" s="451">
        <v>10</v>
      </c>
      <c r="L24" s="513"/>
      <c r="M24" s="513">
        <v>1</v>
      </c>
      <c r="N24" s="513"/>
      <c r="O24" s="513"/>
      <c r="P24" s="513">
        <v>19640</v>
      </c>
      <c r="Q24" s="513"/>
      <c r="R24" s="513"/>
      <c r="S24" s="513"/>
      <c r="T24" s="513"/>
      <c r="U24" s="513"/>
      <c r="V24" s="513"/>
      <c r="W24" s="513"/>
      <c r="X24" s="513"/>
      <c r="Y24" s="513"/>
      <c r="Z24" s="513"/>
      <c r="AA24" s="513"/>
      <c r="AB24" s="513"/>
      <c r="AC24" s="513"/>
      <c r="AD24" s="513"/>
      <c r="AE24" s="513"/>
      <c r="AF24" s="513"/>
      <c r="AG24" s="513"/>
      <c r="AH24" s="513"/>
      <c r="AI24" s="513"/>
      <c r="AJ24" s="513">
        <f>O24+P24+Q24+U24+V24+W24+AA24+AB24+AC24+AG24+AH24+AI24</f>
        <v>19640</v>
      </c>
      <c r="AK24" s="513">
        <f>+AJ24</f>
        <v>19640</v>
      </c>
      <c r="AL24" s="514"/>
      <c r="AM24" s="514"/>
      <c r="AN24" s="514"/>
      <c r="AO24" s="514"/>
      <c r="AP24" s="460" t="s">
        <v>223</v>
      </c>
      <c r="AQ24" s="449" t="s">
        <v>1556</v>
      </c>
      <c r="AR24" s="515"/>
      <c r="AS24" s="508"/>
      <c r="AT24" s="509"/>
      <c r="AU24" s="508"/>
      <c r="AV24" s="509"/>
    </row>
    <row r="25" spans="1:49" ht="110.25">
      <c r="A25" s="457" t="s">
        <v>285</v>
      </c>
      <c r="B25" s="457" t="s">
        <v>2312</v>
      </c>
      <c r="C25" s="457" t="s">
        <v>2311</v>
      </c>
      <c r="D25" s="524" t="s">
        <v>1563</v>
      </c>
      <c r="E25" s="451">
        <f>+L25+M25+N25+R25+S25+T25+X25+Y25+Z25+AD25+AE25+AF25</f>
        <v>16</v>
      </c>
      <c r="F25" s="451" t="s">
        <v>168</v>
      </c>
      <c r="G25" s="449" t="s">
        <v>1561</v>
      </c>
      <c r="H25" s="449" t="s">
        <v>1562</v>
      </c>
      <c r="I25" s="451">
        <v>25</v>
      </c>
      <c r="J25" s="451"/>
      <c r="K25" s="451">
        <v>25</v>
      </c>
      <c r="L25" s="513"/>
      <c r="M25" s="513">
        <v>16</v>
      </c>
      <c r="N25" s="513"/>
      <c r="O25" s="513"/>
      <c r="P25" s="513">
        <v>49105</v>
      </c>
      <c r="Q25" s="513"/>
      <c r="R25" s="513"/>
      <c r="S25" s="513"/>
      <c r="T25" s="513"/>
      <c r="U25" s="513"/>
      <c r="V25" s="513"/>
      <c r="W25" s="513"/>
      <c r="X25" s="513"/>
      <c r="Y25" s="513"/>
      <c r="Z25" s="513"/>
      <c r="AA25" s="513"/>
      <c r="AB25" s="513"/>
      <c r="AC25" s="513"/>
      <c r="AD25" s="513"/>
      <c r="AE25" s="513"/>
      <c r="AF25" s="513"/>
      <c r="AG25" s="513"/>
      <c r="AH25" s="513"/>
      <c r="AI25" s="513"/>
      <c r="AJ25" s="513">
        <f>O25+P25+Q25+U25+V25+W25+AA25+AB25+AC25+AG25+AH25+AI25</f>
        <v>49105</v>
      </c>
      <c r="AK25" s="513">
        <f>+AJ25</f>
        <v>49105</v>
      </c>
      <c r="AL25" s="514"/>
      <c r="AM25" s="514"/>
      <c r="AN25" s="514"/>
      <c r="AO25" s="514"/>
      <c r="AP25" s="460" t="s">
        <v>223</v>
      </c>
      <c r="AQ25" s="449" t="s">
        <v>1556</v>
      </c>
      <c r="AR25" s="515"/>
      <c r="AS25" s="508"/>
      <c r="AT25" s="509"/>
      <c r="AU25" s="508"/>
      <c r="AV25" s="509"/>
    </row>
    <row r="26" spans="1:49">
      <c r="A26" s="488"/>
      <c r="B26" s="488"/>
      <c r="C26" s="488"/>
      <c r="D26" s="489"/>
      <c r="E26" s="488"/>
      <c r="F26" s="488"/>
      <c r="G26" s="488"/>
      <c r="H26" s="488"/>
      <c r="I26" s="490">
        <f>I21+I17+I10</f>
        <v>100</v>
      </c>
      <c r="J26" s="490">
        <f>J21+J17+J10</f>
        <v>100</v>
      </c>
      <c r="K26" s="488"/>
      <c r="L26" s="491"/>
      <c r="M26" s="491"/>
      <c r="N26" s="491"/>
      <c r="O26" s="492">
        <f>O21+O17+O10</f>
        <v>76645</v>
      </c>
      <c r="P26" s="492">
        <f>P21+P17+P10</f>
        <v>121845</v>
      </c>
      <c r="Q26" s="492">
        <f>Q21+Q17+Q10</f>
        <v>53100</v>
      </c>
      <c r="R26" s="493"/>
      <c r="S26" s="493"/>
      <c r="T26" s="493"/>
      <c r="U26" s="492">
        <f>U21+U17+U10</f>
        <v>53100</v>
      </c>
      <c r="V26" s="492">
        <f>V21+V17+V10</f>
        <v>53100</v>
      </c>
      <c r="W26" s="492">
        <f>W21+W17+W10</f>
        <v>53100</v>
      </c>
      <c r="X26" s="491"/>
      <c r="Y26" s="491"/>
      <c r="Z26" s="491"/>
      <c r="AA26" s="492">
        <f>AA21+AA17+AA10</f>
        <v>76645</v>
      </c>
      <c r="AB26" s="492">
        <f>AB21+AB17+AB10</f>
        <v>53100</v>
      </c>
      <c r="AC26" s="492">
        <f>AC21+AC17+AC10</f>
        <v>53100</v>
      </c>
      <c r="AD26" s="491"/>
      <c r="AE26" s="491"/>
      <c r="AF26" s="491"/>
      <c r="AG26" s="492">
        <f>AG21+AG17+AG10</f>
        <v>53100</v>
      </c>
      <c r="AH26" s="492">
        <f>AH21+AH17+AH10</f>
        <v>53100</v>
      </c>
      <c r="AI26" s="492">
        <f>AI21+AI17+AI10</f>
        <v>53175</v>
      </c>
      <c r="AJ26" s="492">
        <f>+O26+P26+Q26+U26+V26+W26+AA26+AB26+AC26+AG26+AH26+AI26</f>
        <v>753110</v>
      </c>
      <c r="AK26" s="492">
        <f>AK21+AK17+AK10</f>
        <v>753110</v>
      </c>
      <c r="AL26" s="491"/>
      <c r="AM26" s="491"/>
      <c r="AN26" s="491"/>
      <c r="AO26" s="491"/>
      <c r="AP26" s="488"/>
      <c r="AQ26" s="488"/>
      <c r="AR26" s="488"/>
    </row>
    <row r="27" spans="1:49">
      <c r="A27" s="526"/>
      <c r="B27" s="526"/>
      <c r="C27" s="527"/>
      <c r="D27" s="527"/>
      <c r="E27" s="528"/>
      <c r="F27" s="528"/>
      <c r="G27" s="529"/>
      <c r="H27" s="529"/>
      <c r="I27" s="530"/>
      <c r="J27" s="530"/>
      <c r="K27" s="530"/>
      <c r="L27" s="531"/>
      <c r="M27" s="531"/>
      <c r="N27" s="531"/>
      <c r="O27" s="531"/>
      <c r="P27" s="531"/>
      <c r="Q27" s="531"/>
      <c r="R27" s="531"/>
      <c r="S27" s="531"/>
      <c r="T27" s="531"/>
      <c r="U27" s="531"/>
      <c r="V27" s="531"/>
      <c r="W27" s="531"/>
      <c r="X27" s="531"/>
      <c r="Y27" s="531"/>
      <c r="Z27" s="531"/>
      <c r="AA27" s="531"/>
      <c r="AB27" s="531"/>
      <c r="AC27" s="531"/>
      <c r="AD27" s="531"/>
      <c r="AE27" s="531"/>
      <c r="AF27" s="531"/>
      <c r="AG27" s="531"/>
      <c r="AH27" s="531"/>
      <c r="AI27" s="531"/>
      <c r="AJ27" s="531"/>
      <c r="AK27" s="532"/>
      <c r="AL27" s="533"/>
      <c r="AM27" s="533"/>
      <c r="AN27" s="533"/>
      <c r="AO27" s="533"/>
      <c r="AP27" s="533"/>
      <c r="AQ27" s="527"/>
      <c r="AR27" s="527"/>
    </row>
    <row r="28" spans="1:49">
      <c r="AJ28" s="534"/>
    </row>
  </sheetData>
  <mergeCells count="38">
    <mergeCell ref="A2:AR2"/>
    <mergeCell ref="AM7:AM9"/>
    <mergeCell ref="AN7:AN9"/>
    <mergeCell ref="AO7:AO9"/>
    <mergeCell ref="L8:N8"/>
    <mergeCell ref="O8:Q8"/>
    <mergeCell ref="R8:T8"/>
    <mergeCell ref="U8:W8"/>
    <mergeCell ref="X8:Z8"/>
    <mergeCell ref="AA8:AC8"/>
    <mergeCell ref="AD8:AF8"/>
    <mergeCell ref="A7:A9"/>
    <mergeCell ref="B7:B9"/>
    <mergeCell ref="C7:C9"/>
    <mergeCell ref="L7:Q7"/>
    <mergeCell ref="AL7:AL9"/>
    <mergeCell ref="R7:W7"/>
    <mergeCell ref="X7:AC7"/>
    <mergeCell ref="K6:K9"/>
    <mergeCell ref="L6:AJ6"/>
    <mergeCell ref="AK6:AO6"/>
    <mergeCell ref="AG8:AI8"/>
    <mergeCell ref="A1:AR1"/>
    <mergeCell ref="AQ3:AR3"/>
    <mergeCell ref="A6:C6"/>
    <mergeCell ref="D6:D9"/>
    <mergeCell ref="E6:E9"/>
    <mergeCell ref="F6:F9"/>
    <mergeCell ref="G6:G9"/>
    <mergeCell ref="H6:H9"/>
    <mergeCell ref="I6:I9"/>
    <mergeCell ref="J6:J9"/>
    <mergeCell ref="AP6:AP9"/>
    <mergeCell ref="AQ6:AQ9"/>
    <mergeCell ref="AR6:AR9"/>
    <mergeCell ref="AD7:AI7"/>
    <mergeCell ref="AJ7:AJ9"/>
    <mergeCell ref="AK7:AK9"/>
  </mergeCells>
  <conditionalFormatting sqref="AU10:AU25">
    <cfRule type="containsText" dxfId="1" priority="2" stopIfTrue="1" operator="containsText" text="NO">
      <formula>NOT(ISERROR(SEARCH("NO",AU10)))</formula>
    </cfRule>
  </conditionalFormatting>
  <conditionalFormatting sqref="AU10:AU25">
    <cfRule type="containsText" dxfId="0" priority="1" stopIfTrue="1" operator="containsText" text="NO">
      <formula>NOT(ISERROR(SEARCH("NO",AU10)))</formula>
    </cfRule>
  </conditionalFormatting>
  <printOptions horizontalCentered="1"/>
  <pageMargins left="0.98425196850393704" right="0.78740157480314965" top="0.98425196850393704" bottom="0.78740157480314965" header="0" footer="0"/>
  <pageSetup paperSize="5" scale="38" fitToHeight="2" orientation="landscape" r:id="rId1"/>
  <headerFooter alignWithMargins="0">
    <oddFooter>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A1:BI80"/>
  <sheetViews>
    <sheetView view="pageBreakPreview" topLeftCell="A4" zoomScale="88" zoomScaleNormal="100" zoomScaleSheetLayoutView="88" workbookViewId="0">
      <selection activeCell="F4" sqref="F4"/>
    </sheetView>
  </sheetViews>
  <sheetFormatPr baseColWidth="10" defaultRowHeight="15.75"/>
  <cols>
    <col min="1" max="1" width="5.28515625" style="568" bestFit="1" customWidth="1"/>
    <col min="2" max="2" width="11" style="568" bestFit="1" customWidth="1"/>
    <col min="3" max="3" width="19.140625" style="568" bestFit="1" customWidth="1"/>
    <col min="4" max="4" width="22.42578125" style="568" customWidth="1"/>
    <col min="5" max="5" width="6.7109375" style="568" bestFit="1" customWidth="1"/>
    <col min="6" max="6" width="14.5703125" style="568" customWidth="1"/>
    <col min="7" max="7" width="22.42578125" style="568" customWidth="1"/>
    <col min="8" max="8" width="20.42578125" style="568" customWidth="1"/>
    <col min="9" max="9" width="12.42578125" style="568" customWidth="1"/>
    <col min="10" max="10" width="12" style="568" bestFit="1" customWidth="1"/>
    <col min="11" max="11" width="12.140625" style="568" customWidth="1"/>
    <col min="12" max="14" width="4.5703125" style="568" bestFit="1" customWidth="1"/>
    <col min="15" max="17" width="8.7109375" style="787" bestFit="1" customWidth="1"/>
    <col min="18" max="20" width="4.5703125" style="787" bestFit="1" customWidth="1"/>
    <col min="21" max="22" width="8.5703125" style="787" bestFit="1" customWidth="1"/>
    <col min="23" max="23" width="8.7109375" style="568" bestFit="1" customWidth="1"/>
    <col min="24" max="26" width="4.5703125" style="568" bestFit="1" customWidth="1"/>
    <col min="27" max="28" width="8.7109375" style="568" bestFit="1" customWidth="1"/>
    <col min="29" max="29" width="8.5703125" style="568" customWidth="1"/>
    <col min="30" max="32" width="4.5703125" style="568" bestFit="1" customWidth="1"/>
    <col min="33" max="35" width="8.5703125" style="568" bestFit="1" customWidth="1"/>
    <col min="36" max="36" width="9.85546875" style="568" customWidth="1"/>
    <col min="37" max="37" width="9.85546875" style="787" bestFit="1" customWidth="1"/>
    <col min="38" max="38" width="7.28515625" style="568" customWidth="1"/>
    <col min="39" max="39" width="6.7109375" style="568" customWidth="1"/>
    <col min="40" max="40" width="8.140625" style="568" customWidth="1"/>
    <col min="41" max="41" width="4.85546875" style="568" customWidth="1"/>
    <col min="42" max="42" width="11.5703125" style="568" customWidth="1"/>
    <col min="43" max="43" width="13.42578125" style="568" customWidth="1"/>
    <col min="44" max="44" width="13.28515625" style="568" customWidth="1"/>
    <col min="45" max="249" width="11.42578125" style="568"/>
    <col min="250" max="250" width="0" style="568" hidden="1" customWidth="1"/>
    <col min="251" max="251" width="0.28515625" style="568" customWidth="1"/>
    <col min="252" max="252" width="5" style="568" customWidth="1"/>
    <col min="253" max="253" width="8.140625" style="568" bestFit="1" customWidth="1"/>
    <col min="254" max="254" width="14.140625" style="568" bestFit="1" customWidth="1"/>
    <col min="255" max="255" width="22.42578125" style="568" customWidth="1"/>
    <col min="256" max="256" width="7" style="568" bestFit="1" customWidth="1"/>
    <col min="257" max="257" width="13.7109375" style="568" customWidth="1"/>
    <col min="258" max="258" width="22.42578125" style="568" customWidth="1"/>
    <col min="259" max="259" width="20.42578125" style="568" customWidth="1"/>
    <col min="260" max="261" width="8.42578125" style="568" customWidth="1"/>
    <col min="262" max="262" width="8" style="568" customWidth="1"/>
    <col min="263" max="264" width="5" style="568" customWidth="1"/>
    <col min="265" max="265" width="5.140625" style="568" customWidth="1"/>
    <col min="266" max="266" width="6.42578125" style="568" customWidth="1"/>
    <col min="267" max="268" width="6.5703125" style="568" bestFit="1" customWidth="1"/>
    <col min="269" max="270" width="5.28515625" style="568" customWidth="1"/>
    <col min="271" max="271" width="5" style="568" customWidth="1"/>
    <col min="272" max="272" width="7.7109375" style="568" customWidth="1"/>
    <col min="273" max="273" width="6.85546875" style="568" customWidth="1"/>
    <col min="274" max="274" width="6.5703125" style="568" bestFit="1" customWidth="1"/>
    <col min="275" max="275" width="5.42578125" style="568" customWidth="1"/>
    <col min="276" max="276" width="5.28515625" style="568" customWidth="1"/>
    <col min="277" max="277" width="5.42578125" style="568" customWidth="1"/>
    <col min="278" max="278" width="7.42578125" style="568" customWidth="1"/>
    <col min="279" max="279" width="7.140625" style="568" customWidth="1"/>
    <col min="280" max="280" width="7.7109375" style="568" customWidth="1"/>
    <col min="281" max="281" width="5.5703125" style="568" customWidth="1"/>
    <col min="282" max="282" width="5.42578125" style="568" customWidth="1"/>
    <col min="283" max="283" width="5.140625" style="568" customWidth="1"/>
    <col min="284" max="284" width="7.42578125" style="568" customWidth="1"/>
    <col min="285" max="285" width="7.140625" style="568" customWidth="1"/>
    <col min="286" max="286" width="6.5703125" style="568" bestFit="1" customWidth="1"/>
    <col min="287" max="287" width="9.140625" style="568" bestFit="1" customWidth="1"/>
    <col min="288" max="288" width="8.140625" style="568" bestFit="1" customWidth="1"/>
    <col min="289" max="290" width="5.42578125" style="568" customWidth="1"/>
    <col min="291" max="291" width="9.85546875" style="568" customWidth="1"/>
    <col min="292" max="292" width="4.85546875" style="568" customWidth="1"/>
    <col min="293" max="293" width="10" style="568" customWidth="1"/>
    <col min="294" max="294" width="13.42578125" style="568" customWidth="1"/>
    <col min="295" max="505" width="11.42578125" style="568"/>
    <col min="506" max="506" width="0" style="568" hidden="1" customWidth="1"/>
    <col min="507" max="507" width="0.28515625" style="568" customWidth="1"/>
    <col min="508" max="508" width="5" style="568" customWidth="1"/>
    <col min="509" max="509" width="8.140625" style="568" bestFit="1" customWidth="1"/>
    <col min="510" max="510" width="14.140625" style="568" bestFit="1" customWidth="1"/>
    <col min="511" max="511" width="22.42578125" style="568" customWidth="1"/>
    <col min="512" max="512" width="7" style="568" bestFit="1" customWidth="1"/>
    <col min="513" max="513" width="13.7109375" style="568" customWidth="1"/>
    <col min="514" max="514" width="22.42578125" style="568" customWidth="1"/>
    <col min="515" max="515" width="20.42578125" style="568" customWidth="1"/>
    <col min="516" max="517" width="8.42578125" style="568" customWidth="1"/>
    <col min="518" max="518" width="8" style="568" customWidth="1"/>
    <col min="519" max="520" width="5" style="568" customWidth="1"/>
    <col min="521" max="521" width="5.140625" style="568" customWidth="1"/>
    <col min="522" max="522" width="6.42578125" style="568" customWidth="1"/>
    <col min="523" max="524" width="6.5703125" style="568" bestFit="1" customWidth="1"/>
    <col min="525" max="526" width="5.28515625" style="568" customWidth="1"/>
    <col min="527" max="527" width="5" style="568" customWidth="1"/>
    <col min="528" max="528" width="7.7109375" style="568" customWidth="1"/>
    <col min="529" max="529" width="6.85546875" style="568" customWidth="1"/>
    <col min="530" max="530" width="6.5703125" style="568" bestFit="1" customWidth="1"/>
    <col min="531" max="531" width="5.42578125" style="568" customWidth="1"/>
    <col min="532" max="532" width="5.28515625" style="568" customWidth="1"/>
    <col min="533" max="533" width="5.42578125" style="568" customWidth="1"/>
    <col min="534" max="534" width="7.42578125" style="568" customWidth="1"/>
    <col min="535" max="535" width="7.140625" style="568" customWidth="1"/>
    <col min="536" max="536" width="7.7109375" style="568" customWidth="1"/>
    <col min="537" max="537" width="5.5703125" style="568" customWidth="1"/>
    <col min="538" max="538" width="5.42578125" style="568" customWidth="1"/>
    <col min="539" max="539" width="5.140625" style="568" customWidth="1"/>
    <col min="540" max="540" width="7.42578125" style="568" customWidth="1"/>
    <col min="541" max="541" width="7.140625" style="568" customWidth="1"/>
    <col min="542" max="542" width="6.5703125" style="568" bestFit="1" customWidth="1"/>
    <col min="543" max="543" width="9.140625" style="568" bestFit="1" customWidth="1"/>
    <col min="544" max="544" width="8.140625" style="568" bestFit="1" customWidth="1"/>
    <col min="545" max="546" width="5.42578125" style="568" customWidth="1"/>
    <col min="547" max="547" width="9.85546875" style="568" customWidth="1"/>
    <col min="548" max="548" width="4.85546875" style="568" customWidth="1"/>
    <col min="549" max="549" width="10" style="568" customWidth="1"/>
    <col min="550" max="550" width="13.42578125" style="568" customWidth="1"/>
    <col min="551" max="761" width="11.42578125" style="568"/>
    <col min="762" max="762" width="0" style="568" hidden="1" customWidth="1"/>
    <col min="763" max="763" width="0.28515625" style="568" customWidth="1"/>
    <col min="764" max="764" width="5" style="568" customWidth="1"/>
    <col min="765" max="765" width="8.140625" style="568" bestFit="1" customWidth="1"/>
    <col min="766" max="766" width="14.140625" style="568" bestFit="1" customWidth="1"/>
    <col min="767" max="767" width="22.42578125" style="568" customWidth="1"/>
    <col min="768" max="768" width="7" style="568" bestFit="1" customWidth="1"/>
    <col min="769" max="769" width="13.7109375" style="568" customWidth="1"/>
    <col min="770" max="770" width="22.42578125" style="568" customWidth="1"/>
    <col min="771" max="771" width="20.42578125" style="568" customWidth="1"/>
    <col min="772" max="773" width="8.42578125" style="568" customWidth="1"/>
    <col min="774" max="774" width="8" style="568" customWidth="1"/>
    <col min="775" max="776" width="5" style="568" customWidth="1"/>
    <col min="777" max="777" width="5.140625" style="568" customWidth="1"/>
    <col min="778" max="778" width="6.42578125" style="568" customWidth="1"/>
    <col min="779" max="780" width="6.5703125" style="568" bestFit="1" customWidth="1"/>
    <col min="781" max="782" width="5.28515625" style="568" customWidth="1"/>
    <col min="783" max="783" width="5" style="568" customWidth="1"/>
    <col min="784" max="784" width="7.7109375" style="568" customWidth="1"/>
    <col min="785" max="785" width="6.85546875" style="568" customWidth="1"/>
    <col min="786" max="786" width="6.5703125" style="568" bestFit="1" customWidth="1"/>
    <col min="787" max="787" width="5.42578125" style="568" customWidth="1"/>
    <col min="788" max="788" width="5.28515625" style="568" customWidth="1"/>
    <col min="789" max="789" width="5.42578125" style="568" customWidth="1"/>
    <col min="790" max="790" width="7.42578125" style="568" customWidth="1"/>
    <col min="791" max="791" width="7.140625" style="568" customWidth="1"/>
    <col min="792" max="792" width="7.7109375" style="568" customWidth="1"/>
    <col min="793" max="793" width="5.5703125" style="568" customWidth="1"/>
    <col min="794" max="794" width="5.42578125" style="568" customWidth="1"/>
    <col min="795" max="795" width="5.140625" style="568" customWidth="1"/>
    <col min="796" max="796" width="7.42578125" style="568" customWidth="1"/>
    <col min="797" max="797" width="7.140625" style="568" customWidth="1"/>
    <col min="798" max="798" width="6.5703125" style="568" bestFit="1" customWidth="1"/>
    <col min="799" max="799" width="9.140625" style="568" bestFit="1" customWidth="1"/>
    <col min="800" max="800" width="8.140625" style="568" bestFit="1" customWidth="1"/>
    <col min="801" max="802" width="5.42578125" style="568" customWidth="1"/>
    <col min="803" max="803" width="9.85546875" style="568" customWidth="1"/>
    <col min="804" max="804" width="4.85546875" style="568" customWidth="1"/>
    <col min="805" max="805" width="10" style="568" customWidth="1"/>
    <col min="806" max="806" width="13.42578125" style="568" customWidth="1"/>
    <col min="807" max="1017" width="11.42578125" style="568"/>
    <col min="1018" max="1018" width="0" style="568" hidden="1" customWidth="1"/>
    <col min="1019" max="1019" width="0.28515625" style="568" customWidth="1"/>
    <col min="1020" max="1020" width="5" style="568" customWidth="1"/>
    <col min="1021" max="1021" width="8.140625" style="568" bestFit="1" customWidth="1"/>
    <col min="1022" max="1022" width="14.140625" style="568" bestFit="1" customWidth="1"/>
    <col min="1023" max="1023" width="22.42578125" style="568" customWidth="1"/>
    <col min="1024" max="1024" width="7" style="568" bestFit="1" customWidth="1"/>
    <col min="1025" max="1025" width="13.7109375" style="568" customWidth="1"/>
    <col min="1026" max="1026" width="22.42578125" style="568" customWidth="1"/>
    <col min="1027" max="1027" width="20.42578125" style="568" customWidth="1"/>
    <col min="1028" max="1029" width="8.42578125" style="568" customWidth="1"/>
    <col min="1030" max="1030" width="8" style="568" customWidth="1"/>
    <col min="1031" max="1032" width="5" style="568" customWidth="1"/>
    <col min="1033" max="1033" width="5.140625" style="568" customWidth="1"/>
    <col min="1034" max="1034" width="6.42578125" style="568" customWidth="1"/>
    <col min="1035" max="1036" width="6.5703125" style="568" bestFit="1" customWidth="1"/>
    <col min="1037" max="1038" width="5.28515625" style="568" customWidth="1"/>
    <col min="1039" max="1039" width="5" style="568" customWidth="1"/>
    <col min="1040" max="1040" width="7.7109375" style="568" customWidth="1"/>
    <col min="1041" max="1041" width="6.85546875" style="568" customWidth="1"/>
    <col min="1042" max="1042" width="6.5703125" style="568" bestFit="1" customWidth="1"/>
    <col min="1043" max="1043" width="5.42578125" style="568" customWidth="1"/>
    <col min="1044" max="1044" width="5.28515625" style="568" customWidth="1"/>
    <col min="1045" max="1045" width="5.42578125" style="568" customWidth="1"/>
    <col min="1046" max="1046" width="7.42578125" style="568" customWidth="1"/>
    <col min="1047" max="1047" width="7.140625" style="568" customWidth="1"/>
    <col min="1048" max="1048" width="7.7109375" style="568" customWidth="1"/>
    <col min="1049" max="1049" width="5.5703125" style="568" customWidth="1"/>
    <col min="1050" max="1050" width="5.42578125" style="568" customWidth="1"/>
    <col min="1051" max="1051" width="5.140625" style="568" customWidth="1"/>
    <col min="1052" max="1052" width="7.42578125" style="568" customWidth="1"/>
    <col min="1053" max="1053" width="7.140625" style="568" customWidth="1"/>
    <col min="1054" max="1054" width="6.5703125" style="568" bestFit="1" customWidth="1"/>
    <col min="1055" max="1055" width="9.140625" style="568" bestFit="1" customWidth="1"/>
    <col min="1056" max="1056" width="8.140625" style="568" bestFit="1" customWidth="1"/>
    <col min="1057" max="1058" width="5.42578125" style="568" customWidth="1"/>
    <col min="1059" max="1059" width="9.85546875" style="568" customWidth="1"/>
    <col min="1060" max="1060" width="4.85546875" style="568" customWidth="1"/>
    <col min="1061" max="1061" width="10" style="568" customWidth="1"/>
    <col min="1062" max="1062" width="13.42578125" style="568" customWidth="1"/>
    <col min="1063" max="1273" width="11.42578125" style="568"/>
    <col min="1274" max="1274" width="0" style="568" hidden="1" customWidth="1"/>
    <col min="1275" max="1275" width="0.28515625" style="568" customWidth="1"/>
    <col min="1276" max="1276" width="5" style="568" customWidth="1"/>
    <col min="1277" max="1277" width="8.140625" style="568" bestFit="1" customWidth="1"/>
    <col min="1278" max="1278" width="14.140625" style="568" bestFit="1" customWidth="1"/>
    <col min="1279" max="1279" width="22.42578125" style="568" customWidth="1"/>
    <col min="1280" max="1280" width="7" style="568" bestFit="1" customWidth="1"/>
    <col min="1281" max="1281" width="13.7109375" style="568" customWidth="1"/>
    <col min="1282" max="1282" width="22.42578125" style="568" customWidth="1"/>
    <col min="1283" max="1283" width="20.42578125" style="568" customWidth="1"/>
    <col min="1284" max="1285" width="8.42578125" style="568" customWidth="1"/>
    <col min="1286" max="1286" width="8" style="568" customWidth="1"/>
    <col min="1287" max="1288" width="5" style="568" customWidth="1"/>
    <col min="1289" max="1289" width="5.140625" style="568" customWidth="1"/>
    <col min="1290" max="1290" width="6.42578125" style="568" customWidth="1"/>
    <col min="1291" max="1292" width="6.5703125" style="568" bestFit="1" customWidth="1"/>
    <col min="1293" max="1294" width="5.28515625" style="568" customWidth="1"/>
    <col min="1295" max="1295" width="5" style="568" customWidth="1"/>
    <col min="1296" max="1296" width="7.7109375" style="568" customWidth="1"/>
    <col min="1297" max="1297" width="6.85546875" style="568" customWidth="1"/>
    <col min="1298" max="1298" width="6.5703125" style="568" bestFit="1" customWidth="1"/>
    <col min="1299" max="1299" width="5.42578125" style="568" customWidth="1"/>
    <col min="1300" max="1300" width="5.28515625" style="568" customWidth="1"/>
    <col min="1301" max="1301" width="5.42578125" style="568" customWidth="1"/>
    <col min="1302" max="1302" width="7.42578125" style="568" customWidth="1"/>
    <col min="1303" max="1303" width="7.140625" style="568" customWidth="1"/>
    <col min="1304" max="1304" width="7.7109375" style="568" customWidth="1"/>
    <col min="1305" max="1305" width="5.5703125" style="568" customWidth="1"/>
    <col min="1306" max="1306" width="5.42578125" style="568" customWidth="1"/>
    <col min="1307" max="1307" width="5.140625" style="568" customWidth="1"/>
    <col min="1308" max="1308" width="7.42578125" style="568" customWidth="1"/>
    <col min="1309" max="1309" width="7.140625" style="568" customWidth="1"/>
    <col min="1310" max="1310" width="6.5703125" style="568" bestFit="1" customWidth="1"/>
    <col min="1311" max="1311" width="9.140625" style="568" bestFit="1" customWidth="1"/>
    <col min="1312" max="1312" width="8.140625" style="568" bestFit="1" customWidth="1"/>
    <col min="1313" max="1314" width="5.42578125" style="568" customWidth="1"/>
    <col min="1315" max="1315" width="9.85546875" style="568" customWidth="1"/>
    <col min="1316" max="1316" width="4.85546875" style="568" customWidth="1"/>
    <col min="1317" max="1317" width="10" style="568" customWidth="1"/>
    <col min="1318" max="1318" width="13.42578125" style="568" customWidth="1"/>
    <col min="1319" max="1529" width="11.42578125" style="568"/>
    <col min="1530" max="1530" width="0" style="568" hidden="1" customWidth="1"/>
    <col min="1531" max="1531" width="0.28515625" style="568" customWidth="1"/>
    <col min="1532" max="1532" width="5" style="568" customWidth="1"/>
    <col min="1533" max="1533" width="8.140625" style="568" bestFit="1" customWidth="1"/>
    <col min="1534" max="1534" width="14.140625" style="568" bestFit="1" customWidth="1"/>
    <col min="1535" max="1535" width="22.42578125" style="568" customWidth="1"/>
    <col min="1536" max="1536" width="7" style="568" bestFit="1" customWidth="1"/>
    <col min="1537" max="1537" width="13.7109375" style="568" customWidth="1"/>
    <col min="1538" max="1538" width="22.42578125" style="568" customWidth="1"/>
    <col min="1539" max="1539" width="20.42578125" style="568" customWidth="1"/>
    <col min="1540" max="1541" width="8.42578125" style="568" customWidth="1"/>
    <col min="1542" max="1542" width="8" style="568" customWidth="1"/>
    <col min="1543" max="1544" width="5" style="568" customWidth="1"/>
    <col min="1545" max="1545" width="5.140625" style="568" customWidth="1"/>
    <col min="1546" max="1546" width="6.42578125" style="568" customWidth="1"/>
    <col min="1547" max="1548" width="6.5703125" style="568" bestFit="1" customWidth="1"/>
    <col min="1549" max="1550" width="5.28515625" style="568" customWidth="1"/>
    <col min="1551" max="1551" width="5" style="568" customWidth="1"/>
    <col min="1552" max="1552" width="7.7109375" style="568" customWidth="1"/>
    <col min="1553" max="1553" width="6.85546875" style="568" customWidth="1"/>
    <col min="1554" max="1554" width="6.5703125" style="568" bestFit="1" customWidth="1"/>
    <col min="1555" max="1555" width="5.42578125" style="568" customWidth="1"/>
    <col min="1556" max="1556" width="5.28515625" style="568" customWidth="1"/>
    <col min="1557" max="1557" width="5.42578125" style="568" customWidth="1"/>
    <col min="1558" max="1558" width="7.42578125" style="568" customWidth="1"/>
    <col min="1559" max="1559" width="7.140625" style="568" customWidth="1"/>
    <col min="1560" max="1560" width="7.7109375" style="568" customWidth="1"/>
    <col min="1561" max="1561" width="5.5703125" style="568" customWidth="1"/>
    <col min="1562" max="1562" width="5.42578125" style="568" customWidth="1"/>
    <col min="1563" max="1563" width="5.140625" style="568" customWidth="1"/>
    <col min="1564" max="1564" width="7.42578125" style="568" customWidth="1"/>
    <col min="1565" max="1565" width="7.140625" style="568" customWidth="1"/>
    <col min="1566" max="1566" width="6.5703125" style="568" bestFit="1" customWidth="1"/>
    <col min="1567" max="1567" width="9.140625" style="568" bestFit="1" customWidth="1"/>
    <col min="1568" max="1568" width="8.140625" style="568" bestFit="1" customWidth="1"/>
    <col min="1569" max="1570" width="5.42578125" style="568" customWidth="1"/>
    <col min="1571" max="1571" width="9.85546875" style="568" customWidth="1"/>
    <col min="1572" max="1572" width="4.85546875" style="568" customWidth="1"/>
    <col min="1573" max="1573" width="10" style="568" customWidth="1"/>
    <col min="1574" max="1574" width="13.42578125" style="568" customWidth="1"/>
    <col min="1575" max="1785" width="11.42578125" style="568"/>
    <col min="1786" max="1786" width="0" style="568" hidden="1" customWidth="1"/>
    <col min="1787" max="1787" width="0.28515625" style="568" customWidth="1"/>
    <col min="1788" max="1788" width="5" style="568" customWidth="1"/>
    <col min="1789" max="1789" width="8.140625" style="568" bestFit="1" customWidth="1"/>
    <col min="1790" max="1790" width="14.140625" style="568" bestFit="1" customWidth="1"/>
    <col min="1791" max="1791" width="22.42578125" style="568" customWidth="1"/>
    <col min="1792" max="1792" width="7" style="568" bestFit="1" customWidth="1"/>
    <col min="1793" max="1793" width="13.7109375" style="568" customWidth="1"/>
    <col min="1794" max="1794" width="22.42578125" style="568" customWidth="1"/>
    <col min="1795" max="1795" width="20.42578125" style="568" customWidth="1"/>
    <col min="1796" max="1797" width="8.42578125" style="568" customWidth="1"/>
    <col min="1798" max="1798" width="8" style="568" customWidth="1"/>
    <col min="1799" max="1800" width="5" style="568" customWidth="1"/>
    <col min="1801" max="1801" width="5.140625" style="568" customWidth="1"/>
    <col min="1802" max="1802" width="6.42578125" style="568" customWidth="1"/>
    <col min="1803" max="1804" width="6.5703125" style="568" bestFit="1" customWidth="1"/>
    <col min="1805" max="1806" width="5.28515625" style="568" customWidth="1"/>
    <col min="1807" max="1807" width="5" style="568" customWidth="1"/>
    <col min="1808" max="1808" width="7.7109375" style="568" customWidth="1"/>
    <col min="1809" max="1809" width="6.85546875" style="568" customWidth="1"/>
    <col min="1810" max="1810" width="6.5703125" style="568" bestFit="1" customWidth="1"/>
    <col min="1811" max="1811" width="5.42578125" style="568" customWidth="1"/>
    <col min="1812" max="1812" width="5.28515625" style="568" customWidth="1"/>
    <col min="1813" max="1813" width="5.42578125" style="568" customWidth="1"/>
    <col min="1814" max="1814" width="7.42578125" style="568" customWidth="1"/>
    <col min="1815" max="1815" width="7.140625" style="568" customWidth="1"/>
    <col min="1816" max="1816" width="7.7109375" style="568" customWidth="1"/>
    <col min="1817" max="1817" width="5.5703125" style="568" customWidth="1"/>
    <col min="1818" max="1818" width="5.42578125" style="568" customWidth="1"/>
    <col min="1819" max="1819" width="5.140625" style="568" customWidth="1"/>
    <col min="1820" max="1820" width="7.42578125" style="568" customWidth="1"/>
    <col min="1821" max="1821" width="7.140625" style="568" customWidth="1"/>
    <col min="1822" max="1822" width="6.5703125" style="568" bestFit="1" customWidth="1"/>
    <col min="1823" max="1823" width="9.140625" style="568" bestFit="1" customWidth="1"/>
    <col min="1824" max="1824" width="8.140625" style="568" bestFit="1" customWidth="1"/>
    <col min="1825" max="1826" width="5.42578125" style="568" customWidth="1"/>
    <col min="1827" max="1827" width="9.85546875" style="568" customWidth="1"/>
    <col min="1828" max="1828" width="4.85546875" style="568" customWidth="1"/>
    <col min="1829" max="1829" width="10" style="568" customWidth="1"/>
    <col min="1830" max="1830" width="13.42578125" style="568" customWidth="1"/>
    <col min="1831" max="2041" width="11.42578125" style="568"/>
    <col min="2042" max="2042" width="0" style="568" hidden="1" customWidth="1"/>
    <col min="2043" max="2043" width="0.28515625" style="568" customWidth="1"/>
    <col min="2044" max="2044" width="5" style="568" customWidth="1"/>
    <col min="2045" max="2045" width="8.140625" style="568" bestFit="1" customWidth="1"/>
    <col min="2046" max="2046" width="14.140625" style="568" bestFit="1" customWidth="1"/>
    <col min="2047" max="2047" width="22.42578125" style="568" customWidth="1"/>
    <col min="2048" max="2048" width="7" style="568" bestFit="1" customWidth="1"/>
    <col min="2049" max="2049" width="13.7109375" style="568" customWidth="1"/>
    <col min="2050" max="2050" width="22.42578125" style="568" customWidth="1"/>
    <col min="2051" max="2051" width="20.42578125" style="568" customWidth="1"/>
    <col min="2052" max="2053" width="8.42578125" style="568" customWidth="1"/>
    <col min="2054" max="2054" width="8" style="568" customWidth="1"/>
    <col min="2055" max="2056" width="5" style="568" customWidth="1"/>
    <col min="2057" max="2057" width="5.140625" style="568" customWidth="1"/>
    <col min="2058" max="2058" width="6.42578125" style="568" customWidth="1"/>
    <col min="2059" max="2060" width="6.5703125" style="568" bestFit="1" customWidth="1"/>
    <col min="2061" max="2062" width="5.28515625" style="568" customWidth="1"/>
    <col min="2063" max="2063" width="5" style="568" customWidth="1"/>
    <col min="2064" max="2064" width="7.7109375" style="568" customWidth="1"/>
    <col min="2065" max="2065" width="6.85546875" style="568" customWidth="1"/>
    <col min="2066" max="2066" width="6.5703125" style="568" bestFit="1" customWidth="1"/>
    <col min="2067" max="2067" width="5.42578125" style="568" customWidth="1"/>
    <col min="2068" max="2068" width="5.28515625" style="568" customWidth="1"/>
    <col min="2069" max="2069" width="5.42578125" style="568" customWidth="1"/>
    <col min="2070" max="2070" width="7.42578125" style="568" customWidth="1"/>
    <col min="2071" max="2071" width="7.140625" style="568" customWidth="1"/>
    <col min="2072" max="2072" width="7.7109375" style="568" customWidth="1"/>
    <col min="2073" max="2073" width="5.5703125" style="568" customWidth="1"/>
    <col min="2074" max="2074" width="5.42578125" style="568" customWidth="1"/>
    <col min="2075" max="2075" width="5.140625" style="568" customWidth="1"/>
    <col min="2076" max="2076" width="7.42578125" style="568" customWidth="1"/>
    <col min="2077" max="2077" width="7.140625" style="568" customWidth="1"/>
    <col min="2078" max="2078" width="6.5703125" style="568" bestFit="1" customWidth="1"/>
    <col min="2079" max="2079" width="9.140625" style="568" bestFit="1" customWidth="1"/>
    <col min="2080" max="2080" width="8.140625" style="568" bestFit="1" customWidth="1"/>
    <col min="2081" max="2082" width="5.42578125" style="568" customWidth="1"/>
    <col min="2083" max="2083" width="9.85546875" style="568" customWidth="1"/>
    <col min="2084" max="2084" width="4.85546875" style="568" customWidth="1"/>
    <col min="2085" max="2085" width="10" style="568" customWidth="1"/>
    <col min="2086" max="2086" width="13.42578125" style="568" customWidth="1"/>
    <col min="2087" max="2297" width="11.42578125" style="568"/>
    <col min="2298" max="2298" width="0" style="568" hidden="1" customWidth="1"/>
    <col min="2299" max="2299" width="0.28515625" style="568" customWidth="1"/>
    <col min="2300" max="2300" width="5" style="568" customWidth="1"/>
    <col min="2301" max="2301" width="8.140625" style="568" bestFit="1" customWidth="1"/>
    <col min="2302" max="2302" width="14.140625" style="568" bestFit="1" customWidth="1"/>
    <col min="2303" max="2303" width="22.42578125" style="568" customWidth="1"/>
    <col min="2304" max="2304" width="7" style="568" bestFit="1" customWidth="1"/>
    <col min="2305" max="2305" width="13.7109375" style="568" customWidth="1"/>
    <col min="2306" max="2306" width="22.42578125" style="568" customWidth="1"/>
    <col min="2307" max="2307" width="20.42578125" style="568" customWidth="1"/>
    <col min="2308" max="2309" width="8.42578125" style="568" customWidth="1"/>
    <col min="2310" max="2310" width="8" style="568" customWidth="1"/>
    <col min="2311" max="2312" width="5" style="568" customWidth="1"/>
    <col min="2313" max="2313" width="5.140625" style="568" customWidth="1"/>
    <col min="2314" max="2314" width="6.42578125" style="568" customWidth="1"/>
    <col min="2315" max="2316" width="6.5703125" style="568" bestFit="1" customWidth="1"/>
    <col min="2317" max="2318" width="5.28515625" style="568" customWidth="1"/>
    <col min="2319" max="2319" width="5" style="568" customWidth="1"/>
    <col min="2320" max="2320" width="7.7109375" style="568" customWidth="1"/>
    <col min="2321" max="2321" width="6.85546875" style="568" customWidth="1"/>
    <col min="2322" max="2322" width="6.5703125" style="568" bestFit="1" customWidth="1"/>
    <col min="2323" max="2323" width="5.42578125" style="568" customWidth="1"/>
    <col min="2324" max="2324" width="5.28515625" style="568" customWidth="1"/>
    <col min="2325" max="2325" width="5.42578125" style="568" customWidth="1"/>
    <col min="2326" max="2326" width="7.42578125" style="568" customWidth="1"/>
    <col min="2327" max="2327" width="7.140625" style="568" customWidth="1"/>
    <col min="2328" max="2328" width="7.7109375" style="568" customWidth="1"/>
    <col min="2329" max="2329" width="5.5703125" style="568" customWidth="1"/>
    <col min="2330" max="2330" width="5.42578125" style="568" customWidth="1"/>
    <col min="2331" max="2331" width="5.140625" style="568" customWidth="1"/>
    <col min="2332" max="2332" width="7.42578125" style="568" customWidth="1"/>
    <col min="2333" max="2333" width="7.140625" style="568" customWidth="1"/>
    <col min="2334" max="2334" width="6.5703125" style="568" bestFit="1" customWidth="1"/>
    <col min="2335" max="2335" width="9.140625" style="568" bestFit="1" customWidth="1"/>
    <col min="2336" max="2336" width="8.140625" style="568" bestFit="1" customWidth="1"/>
    <col min="2337" max="2338" width="5.42578125" style="568" customWidth="1"/>
    <col min="2339" max="2339" width="9.85546875" style="568" customWidth="1"/>
    <col min="2340" max="2340" width="4.85546875" style="568" customWidth="1"/>
    <col min="2341" max="2341" width="10" style="568" customWidth="1"/>
    <col min="2342" max="2342" width="13.42578125" style="568" customWidth="1"/>
    <col min="2343" max="2553" width="11.42578125" style="568"/>
    <col min="2554" max="2554" width="0" style="568" hidden="1" customWidth="1"/>
    <col min="2555" max="2555" width="0.28515625" style="568" customWidth="1"/>
    <col min="2556" max="2556" width="5" style="568" customWidth="1"/>
    <col min="2557" max="2557" width="8.140625" style="568" bestFit="1" customWidth="1"/>
    <col min="2558" max="2558" width="14.140625" style="568" bestFit="1" customWidth="1"/>
    <col min="2559" max="2559" width="22.42578125" style="568" customWidth="1"/>
    <col min="2560" max="2560" width="7" style="568" bestFit="1" customWidth="1"/>
    <col min="2561" max="2561" width="13.7109375" style="568" customWidth="1"/>
    <col min="2562" max="2562" width="22.42578125" style="568" customWidth="1"/>
    <col min="2563" max="2563" width="20.42578125" style="568" customWidth="1"/>
    <col min="2564" max="2565" width="8.42578125" style="568" customWidth="1"/>
    <col min="2566" max="2566" width="8" style="568" customWidth="1"/>
    <col min="2567" max="2568" width="5" style="568" customWidth="1"/>
    <col min="2569" max="2569" width="5.140625" style="568" customWidth="1"/>
    <col min="2570" max="2570" width="6.42578125" style="568" customWidth="1"/>
    <col min="2571" max="2572" width="6.5703125" style="568" bestFit="1" customWidth="1"/>
    <col min="2573" max="2574" width="5.28515625" style="568" customWidth="1"/>
    <col min="2575" max="2575" width="5" style="568" customWidth="1"/>
    <col min="2576" max="2576" width="7.7109375" style="568" customWidth="1"/>
    <col min="2577" max="2577" width="6.85546875" style="568" customWidth="1"/>
    <col min="2578" max="2578" width="6.5703125" style="568" bestFit="1" customWidth="1"/>
    <col min="2579" max="2579" width="5.42578125" style="568" customWidth="1"/>
    <col min="2580" max="2580" width="5.28515625" style="568" customWidth="1"/>
    <col min="2581" max="2581" width="5.42578125" style="568" customWidth="1"/>
    <col min="2582" max="2582" width="7.42578125" style="568" customWidth="1"/>
    <col min="2583" max="2583" width="7.140625" style="568" customWidth="1"/>
    <col min="2584" max="2584" width="7.7109375" style="568" customWidth="1"/>
    <col min="2585" max="2585" width="5.5703125" style="568" customWidth="1"/>
    <col min="2586" max="2586" width="5.42578125" style="568" customWidth="1"/>
    <col min="2587" max="2587" width="5.140625" style="568" customWidth="1"/>
    <col min="2588" max="2588" width="7.42578125" style="568" customWidth="1"/>
    <col min="2589" max="2589" width="7.140625" style="568" customWidth="1"/>
    <col min="2590" max="2590" width="6.5703125" style="568" bestFit="1" customWidth="1"/>
    <col min="2591" max="2591" width="9.140625" style="568" bestFit="1" customWidth="1"/>
    <col min="2592" max="2592" width="8.140625" style="568" bestFit="1" customWidth="1"/>
    <col min="2593" max="2594" width="5.42578125" style="568" customWidth="1"/>
    <col min="2595" max="2595" width="9.85546875" style="568" customWidth="1"/>
    <col min="2596" max="2596" width="4.85546875" style="568" customWidth="1"/>
    <col min="2597" max="2597" width="10" style="568" customWidth="1"/>
    <col min="2598" max="2598" width="13.42578125" style="568" customWidth="1"/>
    <col min="2599" max="2809" width="11.42578125" style="568"/>
    <col min="2810" max="2810" width="0" style="568" hidden="1" customWidth="1"/>
    <col min="2811" max="2811" width="0.28515625" style="568" customWidth="1"/>
    <col min="2812" max="2812" width="5" style="568" customWidth="1"/>
    <col min="2813" max="2813" width="8.140625" style="568" bestFit="1" customWidth="1"/>
    <col min="2814" max="2814" width="14.140625" style="568" bestFit="1" customWidth="1"/>
    <col min="2815" max="2815" width="22.42578125" style="568" customWidth="1"/>
    <col min="2816" max="2816" width="7" style="568" bestFit="1" customWidth="1"/>
    <col min="2817" max="2817" width="13.7109375" style="568" customWidth="1"/>
    <col min="2818" max="2818" width="22.42578125" style="568" customWidth="1"/>
    <col min="2819" max="2819" width="20.42578125" style="568" customWidth="1"/>
    <col min="2820" max="2821" width="8.42578125" style="568" customWidth="1"/>
    <col min="2822" max="2822" width="8" style="568" customWidth="1"/>
    <col min="2823" max="2824" width="5" style="568" customWidth="1"/>
    <col min="2825" max="2825" width="5.140625" style="568" customWidth="1"/>
    <col min="2826" max="2826" width="6.42578125" style="568" customWidth="1"/>
    <col min="2827" max="2828" width="6.5703125" style="568" bestFit="1" customWidth="1"/>
    <col min="2829" max="2830" width="5.28515625" style="568" customWidth="1"/>
    <col min="2831" max="2831" width="5" style="568" customWidth="1"/>
    <col min="2832" max="2832" width="7.7109375" style="568" customWidth="1"/>
    <col min="2833" max="2833" width="6.85546875" style="568" customWidth="1"/>
    <col min="2834" max="2834" width="6.5703125" style="568" bestFit="1" customWidth="1"/>
    <col min="2835" max="2835" width="5.42578125" style="568" customWidth="1"/>
    <col min="2836" max="2836" width="5.28515625" style="568" customWidth="1"/>
    <col min="2837" max="2837" width="5.42578125" style="568" customWidth="1"/>
    <col min="2838" max="2838" width="7.42578125" style="568" customWidth="1"/>
    <col min="2839" max="2839" width="7.140625" style="568" customWidth="1"/>
    <col min="2840" max="2840" width="7.7109375" style="568" customWidth="1"/>
    <col min="2841" max="2841" width="5.5703125" style="568" customWidth="1"/>
    <col min="2842" max="2842" width="5.42578125" style="568" customWidth="1"/>
    <col min="2843" max="2843" width="5.140625" style="568" customWidth="1"/>
    <col min="2844" max="2844" width="7.42578125" style="568" customWidth="1"/>
    <col min="2845" max="2845" width="7.140625" style="568" customWidth="1"/>
    <col min="2846" max="2846" width="6.5703125" style="568" bestFit="1" customWidth="1"/>
    <col min="2847" max="2847" width="9.140625" style="568" bestFit="1" customWidth="1"/>
    <col min="2848" max="2848" width="8.140625" style="568" bestFit="1" customWidth="1"/>
    <col min="2849" max="2850" width="5.42578125" style="568" customWidth="1"/>
    <col min="2851" max="2851" width="9.85546875" style="568" customWidth="1"/>
    <col min="2852" max="2852" width="4.85546875" style="568" customWidth="1"/>
    <col min="2853" max="2853" width="10" style="568" customWidth="1"/>
    <col min="2854" max="2854" width="13.42578125" style="568" customWidth="1"/>
    <col min="2855" max="3065" width="11.42578125" style="568"/>
    <col min="3066" max="3066" width="0" style="568" hidden="1" customWidth="1"/>
    <col min="3067" max="3067" width="0.28515625" style="568" customWidth="1"/>
    <col min="3068" max="3068" width="5" style="568" customWidth="1"/>
    <col min="3069" max="3069" width="8.140625" style="568" bestFit="1" customWidth="1"/>
    <col min="3070" max="3070" width="14.140625" style="568" bestFit="1" customWidth="1"/>
    <col min="3071" max="3071" width="22.42578125" style="568" customWidth="1"/>
    <col min="3072" max="3072" width="7" style="568" bestFit="1" customWidth="1"/>
    <col min="3073" max="3073" width="13.7109375" style="568" customWidth="1"/>
    <col min="3074" max="3074" width="22.42578125" style="568" customWidth="1"/>
    <col min="3075" max="3075" width="20.42578125" style="568" customWidth="1"/>
    <col min="3076" max="3077" width="8.42578125" style="568" customWidth="1"/>
    <col min="3078" max="3078" width="8" style="568" customWidth="1"/>
    <col min="3079" max="3080" width="5" style="568" customWidth="1"/>
    <col min="3081" max="3081" width="5.140625" style="568" customWidth="1"/>
    <col min="3082" max="3082" width="6.42578125" style="568" customWidth="1"/>
    <col min="3083" max="3084" width="6.5703125" style="568" bestFit="1" customWidth="1"/>
    <col min="3085" max="3086" width="5.28515625" style="568" customWidth="1"/>
    <col min="3087" max="3087" width="5" style="568" customWidth="1"/>
    <col min="3088" max="3088" width="7.7109375" style="568" customWidth="1"/>
    <col min="3089" max="3089" width="6.85546875" style="568" customWidth="1"/>
    <col min="3090" max="3090" width="6.5703125" style="568" bestFit="1" customWidth="1"/>
    <col min="3091" max="3091" width="5.42578125" style="568" customWidth="1"/>
    <col min="3092" max="3092" width="5.28515625" style="568" customWidth="1"/>
    <col min="3093" max="3093" width="5.42578125" style="568" customWidth="1"/>
    <col min="3094" max="3094" width="7.42578125" style="568" customWidth="1"/>
    <col min="3095" max="3095" width="7.140625" style="568" customWidth="1"/>
    <col min="3096" max="3096" width="7.7109375" style="568" customWidth="1"/>
    <col min="3097" max="3097" width="5.5703125" style="568" customWidth="1"/>
    <col min="3098" max="3098" width="5.42578125" style="568" customWidth="1"/>
    <col min="3099" max="3099" width="5.140625" style="568" customWidth="1"/>
    <col min="3100" max="3100" width="7.42578125" style="568" customWidth="1"/>
    <col min="3101" max="3101" width="7.140625" style="568" customWidth="1"/>
    <col min="3102" max="3102" width="6.5703125" style="568" bestFit="1" customWidth="1"/>
    <col min="3103" max="3103" width="9.140625" style="568" bestFit="1" customWidth="1"/>
    <col min="3104" max="3104" width="8.140625" style="568" bestFit="1" customWidth="1"/>
    <col min="3105" max="3106" width="5.42578125" style="568" customWidth="1"/>
    <col min="3107" max="3107" width="9.85546875" style="568" customWidth="1"/>
    <col min="3108" max="3108" width="4.85546875" style="568" customWidth="1"/>
    <col min="3109" max="3109" width="10" style="568" customWidth="1"/>
    <col min="3110" max="3110" width="13.42578125" style="568" customWidth="1"/>
    <col min="3111" max="3321" width="11.42578125" style="568"/>
    <col min="3322" max="3322" width="0" style="568" hidden="1" customWidth="1"/>
    <col min="3323" max="3323" width="0.28515625" style="568" customWidth="1"/>
    <col min="3324" max="3324" width="5" style="568" customWidth="1"/>
    <col min="3325" max="3325" width="8.140625" style="568" bestFit="1" customWidth="1"/>
    <col min="3326" max="3326" width="14.140625" style="568" bestFit="1" customWidth="1"/>
    <col min="3327" max="3327" width="22.42578125" style="568" customWidth="1"/>
    <col min="3328" max="3328" width="7" style="568" bestFit="1" customWidth="1"/>
    <col min="3329" max="3329" width="13.7109375" style="568" customWidth="1"/>
    <col min="3330" max="3330" width="22.42578125" style="568" customWidth="1"/>
    <col min="3331" max="3331" width="20.42578125" style="568" customWidth="1"/>
    <col min="3332" max="3333" width="8.42578125" style="568" customWidth="1"/>
    <col min="3334" max="3334" width="8" style="568" customWidth="1"/>
    <col min="3335" max="3336" width="5" style="568" customWidth="1"/>
    <col min="3337" max="3337" width="5.140625" style="568" customWidth="1"/>
    <col min="3338" max="3338" width="6.42578125" style="568" customWidth="1"/>
    <col min="3339" max="3340" width="6.5703125" style="568" bestFit="1" customWidth="1"/>
    <col min="3341" max="3342" width="5.28515625" style="568" customWidth="1"/>
    <col min="3343" max="3343" width="5" style="568" customWidth="1"/>
    <col min="3344" max="3344" width="7.7109375" style="568" customWidth="1"/>
    <col min="3345" max="3345" width="6.85546875" style="568" customWidth="1"/>
    <col min="3346" max="3346" width="6.5703125" style="568" bestFit="1" customWidth="1"/>
    <col min="3347" max="3347" width="5.42578125" style="568" customWidth="1"/>
    <col min="3348" max="3348" width="5.28515625" style="568" customWidth="1"/>
    <col min="3349" max="3349" width="5.42578125" style="568" customWidth="1"/>
    <col min="3350" max="3350" width="7.42578125" style="568" customWidth="1"/>
    <col min="3351" max="3351" width="7.140625" style="568" customWidth="1"/>
    <col min="3352" max="3352" width="7.7109375" style="568" customWidth="1"/>
    <col min="3353" max="3353" width="5.5703125" style="568" customWidth="1"/>
    <col min="3354" max="3354" width="5.42578125" style="568" customWidth="1"/>
    <col min="3355" max="3355" width="5.140625" style="568" customWidth="1"/>
    <col min="3356" max="3356" width="7.42578125" style="568" customWidth="1"/>
    <col min="3357" max="3357" width="7.140625" style="568" customWidth="1"/>
    <col min="3358" max="3358" width="6.5703125" style="568" bestFit="1" customWidth="1"/>
    <col min="3359" max="3359" width="9.140625" style="568" bestFit="1" customWidth="1"/>
    <col min="3360" max="3360" width="8.140625" style="568" bestFit="1" customWidth="1"/>
    <col min="3361" max="3362" width="5.42578125" style="568" customWidth="1"/>
    <col min="3363" max="3363" width="9.85546875" style="568" customWidth="1"/>
    <col min="3364" max="3364" width="4.85546875" style="568" customWidth="1"/>
    <col min="3365" max="3365" width="10" style="568" customWidth="1"/>
    <col min="3366" max="3366" width="13.42578125" style="568" customWidth="1"/>
    <col min="3367" max="3577" width="11.42578125" style="568"/>
    <col min="3578" max="3578" width="0" style="568" hidden="1" customWidth="1"/>
    <col min="3579" max="3579" width="0.28515625" style="568" customWidth="1"/>
    <col min="3580" max="3580" width="5" style="568" customWidth="1"/>
    <col min="3581" max="3581" width="8.140625" style="568" bestFit="1" customWidth="1"/>
    <col min="3582" max="3582" width="14.140625" style="568" bestFit="1" customWidth="1"/>
    <col min="3583" max="3583" width="22.42578125" style="568" customWidth="1"/>
    <col min="3584" max="3584" width="7" style="568" bestFit="1" customWidth="1"/>
    <col min="3585" max="3585" width="13.7109375" style="568" customWidth="1"/>
    <col min="3586" max="3586" width="22.42578125" style="568" customWidth="1"/>
    <col min="3587" max="3587" width="20.42578125" style="568" customWidth="1"/>
    <col min="3588" max="3589" width="8.42578125" style="568" customWidth="1"/>
    <col min="3590" max="3590" width="8" style="568" customWidth="1"/>
    <col min="3591" max="3592" width="5" style="568" customWidth="1"/>
    <col min="3593" max="3593" width="5.140625" style="568" customWidth="1"/>
    <col min="3594" max="3594" width="6.42578125" style="568" customWidth="1"/>
    <col min="3595" max="3596" width="6.5703125" style="568" bestFit="1" customWidth="1"/>
    <col min="3597" max="3598" width="5.28515625" style="568" customWidth="1"/>
    <col min="3599" max="3599" width="5" style="568" customWidth="1"/>
    <col min="3600" max="3600" width="7.7109375" style="568" customWidth="1"/>
    <col min="3601" max="3601" width="6.85546875" style="568" customWidth="1"/>
    <col min="3602" max="3602" width="6.5703125" style="568" bestFit="1" customWidth="1"/>
    <col min="3603" max="3603" width="5.42578125" style="568" customWidth="1"/>
    <col min="3604" max="3604" width="5.28515625" style="568" customWidth="1"/>
    <col min="3605" max="3605" width="5.42578125" style="568" customWidth="1"/>
    <col min="3606" max="3606" width="7.42578125" style="568" customWidth="1"/>
    <col min="3607" max="3607" width="7.140625" style="568" customWidth="1"/>
    <col min="3608" max="3608" width="7.7109375" style="568" customWidth="1"/>
    <col min="3609" max="3609" width="5.5703125" style="568" customWidth="1"/>
    <col min="3610" max="3610" width="5.42578125" style="568" customWidth="1"/>
    <col min="3611" max="3611" width="5.140625" style="568" customWidth="1"/>
    <col min="3612" max="3612" width="7.42578125" style="568" customWidth="1"/>
    <col min="3613" max="3613" width="7.140625" style="568" customWidth="1"/>
    <col min="3614" max="3614" width="6.5703125" style="568" bestFit="1" customWidth="1"/>
    <col min="3615" max="3615" width="9.140625" style="568" bestFit="1" customWidth="1"/>
    <col min="3616" max="3616" width="8.140625" style="568" bestFit="1" customWidth="1"/>
    <col min="3617" max="3618" width="5.42578125" style="568" customWidth="1"/>
    <col min="3619" max="3619" width="9.85546875" style="568" customWidth="1"/>
    <col min="3620" max="3620" width="4.85546875" style="568" customWidth="1"/>
    <col min="3621" max="3621" width="10" style="568" customWidth="1"/>
    <col min="3622" max="3622" width="13.42578125" style="568" customWidth="1"/>
    <col min="3623" max="3833" width="11.42578125" style="568"/>
    <col min="3834" max="3834" width="0" style="568" hidden="1" customWidth="1"/>
    <col min="3835" max="3835" width="0.28515625" style="568" customWidth="1"/>
    <col min="3836" max="3836" width="5" style="568" customWidth="1"/>
    <col min="3837" max="3837" width="8.140625" style="568" bestFit="1" customWidth="1"/>
    <col min="3838" max="3838" width="14.140625" style="568" bestFit="1" customWidth="1"/>
    <col min="3839" max="3839" width="22.42578125" style="568" customWidth="1"/>
    <col min="3840" max="3840" width="7" style="568" bestFit="1" customWidth="1"/>
    <col min="3841" max="3841" width="13.7109375" style="568" customWidth="1"/>
    <col min="3842" max="3842" width="22.42578125" style="568" customWidth="1"/>
    <col min="3843" max="3843" width="20.42578125" style="568" customWidth="1"/>
    <col min="3844" max="3845" width="8.42578125" style="568" customWidth="1"/>
    <col min="3846" max="3846" width="8" style="568" customWidth="1"/>
    <col min="3847" max="3848" width="5" style="568" customWidth="1"/>
    <col min="3849" max="3849" width="5.140625" style="568" customWidth="1"/>
    <col min="3850" max="3850" width="6.42578125" style="568" customWidth="1"/>
    <col min="3851" max="3852" width="6.5703125" style="568" bestFit="1" customWidth="1"/>
    <col min="3853" max="3854" width="5.28515625" style="568" customWidth="1"/>
    <col min="3855" max="3855" width="5" style="568" customWidth="1"/>
    <col min="3856" max="3856" width="7.7109375" style="568" customWidth="1"/>
    <col min="3857" max="3857" width="6.85546875" style="568" customWidth="1"/>
    <col min="3858" max="3858" width="6.5703125" style="568" bestFit="1" customWidth="1"/>
    <col min="3859" max="3859" width="5.42578125" style="568" customWidth="1"/>
    <col min="3860" max="3860" width="5.28515625" style="568" customWidth="1"/>
    <col min="3861" max="3861" width="5.42578125" style="568" customWidth="1"/>
    <col min="3862" max="3862" width="7.42578125" style="568" customWidth="1"/>
    <col min="3863" max="3863" width="7.140625" style="568" customWidth="1"/>
    <col min="3864" max="3864" width="7.7109375" style="568" customWidth="1"/>
    <col min="3865" max="3865" width="5.5703125" style="568" customWidth="1"/>
    <col min="3866" max="3866" width="5.42578125" style="568" customWidth="1"/>
    <col min="3867" max="3867" width="5.140625" style="568" customWidth="1"/>
    <col min="3868" max="3868" width="7.42578125" style="568" customWidth="1"/>
    <col min="3869" max="3869" width="7.140625" style="568" customWidth="1"/>
    <col min="3870" max="3870" width="6.5703125" style="568" bestFit="1" customWidth="1"/>
    <col min="3871" max="3871" width="9.140625" style="568" bestFit="1" customWidth="1"/>
    <col min="3872" max="3872" width="8.140625" style="568" bestFit="1" customWidth="1"/>
    <col min="3873" max="3874" width="5.42578125" style="568" customWidth="1"/>
    <col min="3875" max="3875" width="9.85546875" style="568" customWidth="1"/>
    <col min="3876" max="3876" width="4.85546875" style="568" customWidth="1"/>
    <col min="3877" max="3877" width="10" style="568" customWidth="1"/>
    <col min="3878" max="3878" width="13.42578125" style="568" customWidth="1"/>
    <col min="3879" max="4089" width="11.42578125" style="568"/>
    <col min="4090" max="4090" width="0" style="568" hidden="1" customWidth="1"/>
    <col min="4091" max="4091" width="0.28515625" style="568" customWidth="1"/>
    <col min="4092" max="4092" width="5" style="568" customWidth="1"/>
    <col min="4093" max="4093" width="8.140625" style="568" bestFit="1" customWidth="1"/>
    <col min="4094" max="4094" width="14.140625" style="568" bestFit="1" customWidth="1"/>
    <col min="4095" max="4095" width="22.42578125" style="568" customWidth="1"/>
    <col min="4096" max="4096" width="7" style="568" bestFit="1" customWidth="1"/>
    <col min="4097" max="4097" width="13.7109375" style="568" customWidth="1"/>
    <col min="4098" max="4098" width="22.42578125" style="568" customWidth="1"/>
    <col min="4099" max="4099" width="20.42578125" style="568" customWidth="1"/>
    <col min="4100" max="4101" width="8.42578125" style="568" customWidth="1"/>
    <col min="4102" max="4102" width="8" style="568" customWidth="1"/>
    <col min="4103" max="4104" width="5" style="568" customWidth="1"/>
    <col min="4105" max="4105" width="5.140625" style="568" customWidth="1"/>
    <col min="4106" max="4106" width="6.42578125" style="568" customWidth="1"/>
    <col min="4107" max="4108" width="6.5703125" style="568" bestFit="1" customWidth="1"/>
    <col min="4109" max="4110" width="5.28515625" style="568" customWidth="1"/>
    <col min="4111" max="4111" width="5" style="568" customWidth="1"/>
    <col min="4112" max="4112" width="7.7109375" style="568" customWidth="1"/>
    <col min="4113" max="4113" width="6.85546875" style="568" customWidth="1"/>
    <col min="4114" max="4114" width="6.5703125" style="568" bestFit="1" customWidth="1"/>
    <col min="4115" max="4115" width="5.42578125" style="568" customWidth="1"/>
    <col min="4116" max="4116" width="5.28515625" style="568" customWidth="1"/>
    <col min="4117" max="4117" width="5.42578125" style="568" customWidth="1"/>
    <col min="4118" max="4118" width="7.42578125" style="568" customWidth="1"/>
    <col min="4119" max="4119" width="7.140625" style="568" customWidth="1"/>
    <col min="4120" max="4120" width="7.7109375" style="568" customWidth="1"/>
    <col min="4121" max="4121" width="5.5703125" style="568" customWidth="1"/>
    <col min="4122" max="4122" width="5.42578125" style="568" customWidth="1"/>
    <col min="4123" max="4123" width="5.140625" style="568" customWidth="1"/>
    <col min="4124" max="4124" width="7.42578125" style="568" customWidth="1"/>
    <col min="4125" max="4125" width="7.140625" style="568" customWidth="1"/>
    <col min="4126" max="4126" width="6.5703125" style="568" bestFit="1" customWidth="1"/>
    <col min="4127" max="4127" width="9.140625" style="568" bestFit="1" customWidth="1"/>
    <col min="4128" max="4128" width="8.140625" style="568" bestFit="1" customWidth="1"/>
    <col min="4129" max="4130" width="5.42578125" style="568" customWidth="1"/>
    <col min="4131" max="4131" width="9.85546875" style="568" customWidth="1"/>
    <col min="4132" max="4132" width="4.85546875" style="568" customWidth="1"/>
    <col min="4133" max="4133" width="10" style="568" customWidth="1"/>
    <col min="4134" max="4134" width="13.42578125" style="568" customWidth="1"/>
    <col min="4135" max="4345" width="11.42578125" style="568"/>
    <col min="4346" max="4346" width="0" style="568" hidden="1" customWidth="1"/>
    <col min="4347" max="4347" width="0.28515625" style="568" customWidth="1"/>
    <col min="4348" max="4348" width="5" style="568" customWidth="1"/>
    <col min="4349" max="4349" width="8.140625" style="568" bestFit="1" customWidth="1"/>
    <col min="4350" max="4350" width="14.140625" style="568" bestFit="1" customWidth="1"/>
    <col min="4351" max="4351" width="22.42578125" style="568" customWidth="1"/>
    <col min="4352" max="4352" width="7" style="568" bestFit="1" customWidth="1"/>
    <col min="4353" max="4353" width="13.7109375" style="568" customWidth="1"/>
    <col min="4354" max="4354" width="22.42578125" style="568" customWidth="1"/>
    <col min="4355" max="4355" width="20.42578125" style="568" customWidth="1"/>
    <col min="4356" max="4357" width="8.42578125" style="568" customWidth="1"/>
    <col min="4358" max="4358" width="8" style="568" customWidth="1"/>
    <col min="4359" max="4360" width="5" style="568" customWidth="1"/>
    <col min="4361" max="4361" width="5.140625" style="568" customWidth="1"/>
    <col min="4362" max="4362" width="6.42578125" style="568" customWidth="1"/>
    <col min="4363" max="4364" width="6.5703125" style="568" bestFit="1" customWidth="1"/>
    <col min="4365" max="4366" width="5.28515625" style="568" customWidth="1"/>
    <col min="4367" max="4367" width="5" style="568" customWidth="1"/>
    <col min="4368" max="4368" width="7.7109375" style="568" customWidth="1"/>
    <col min="4369" max="4369" width="6.85546875" style="568" customWidth="1"/>
    <col min="4370" max="4370" width="6.5703125" style="568" bestFit="1" customWidth="1"/>
    <col min="4371" max="4371" width="5.42578125" style="568" customWidth="1"/>
    <col min="4372" max="4372" width="5.28515625" style="568" customWidth="1"/>
    <col min="4373" max="4373" width="5.42578125" style="568" customWidth="1"/>
    <col min="4374" max="4374" width="7.42578125" style="568" customWidth="1"/>
    <col min="4375" max="4375" width="7.140625" style="568" customWidth="1"/>
    <col min="4376" max="4376" width="7.7109375" style="568" customWidth="1"/>
    <col min="4377" max="4377" width="5.5703125" style="568" customWidth="1"/>
    <col min="4378" max="4378" width="5.42578125" style="568" customWidth="1"/>
    <col min="4379" max="4379" width="5.140625" style="568" customWidth="1"/>
    <col min="4380" max="4380" width="7.42578125" style="568" customWidth="1"/>
    <col min="4381" max="4381" width="7.140625" style="568" customWidth="1"/>
    <col min="4382" max="4382" width="6.5703125" style="568" bestFit="1" customWidth="1"/>
    <col min="4383" max="4383" width="9.140625" style="568" bestFit="1" customWidth="1"/>
    <col min="4384" max="4384" width="8.140625" style="568" bestFit="1" customWidth="1"/>
    <col min="4385" max="4386" width="5.42578125" style="568" customWidth="1"/>
    <col min="4387" max="4387" width="9.85546875" style="568" customWidth="1"/>
    <col min="4388" max="4388" width="4.85546875" style="568" customWidth="1"/>
    <col min="4389" max="4389" width="10" style="568" customWidth="1"/>
    <col min="4390" max="4390" width="13.42578125" style="568" customWidth="1"/>
    <col min="4391" max="4601" width="11.42578125" style="568"/>
    <col min="4602" max="4602" width="0" style="568" hidden="1" customWidth="1"/>
    <col min="4603" max="4603" width="0.28515625" style="568" customWidth="1"/>
    <col min="4604" max="4604" width="5" style="568" customWidth="1"/>
    <col min="4605" max="4605" width="8.140625" style="568" bestFit="1" customWidth="1"/>
    <col min="4606" max="4606" width="14.140625" style="568" bestFit="1" customWidth="1"/>
    <col min="4607" max="4607" width="22.42578125" style="568" customWidth="1"/>
    <col min="4608" max="4608" width="7" style="568" bestFit="1" customWidth="1"/>
    <col min="4609" max="4609" width="13.7109375" style="568" customWidth="1"/>
    <col min="4610" max="4610" width="22.42578125" style="568" customWidth="1"/>
    <col min="4611" max="4611" width="20.42578125" style="568" customWidth="1"/>
    <col min="4612" max="4613" width="8.42578125" style="568" customWidth="1"/>
    <col min="4614" max="4614" width="8" style="568" customWidth="1"/>
    <col min="4615" max="4616" width="5" style="568" customWidth="1"/>
    <col min="4617" max="4617" width="5.140625" style="568" customWidth="1"/>
    <col min="4618" max="4618" width="6.42578125" style="568" customWidth="1"/>
    <col min="4619" max="4620" width="6.5703125" style="568" bestFit="1" customWidth="1"/>
    <col min="4621" max="4622" width="5.28515625" style="568" customWidth="1"/>
    <col min="4623" max="4623" width="5" style="568" customWidth="1"/>
    <col min="4624" max="4624" width="7.7109375" style="568" customWidth="1"/>
    <col min="4625" max="4625" width="6.85546875" style="568" customWidth="1"/>
    <col min="4626" max="4626" width="6.5703125" style="568" bestFit="1" customWidth="1"/>
    <col min="4627" max="4627" width="5.42578125" style="568" customWidth="1"/>
    <col min="4628" max="4628" width="5.28515625" style="568" customWidth="1"/>
    <col min="4629" max="4629" width="5.42578125" style="568" customWidth="1"/>
    <col min="4630" max="4630" width="7.42578125" style="568" customWidth="1"/>
    <col min="4631" max="4631" width="7.140625" style="568" customWidth="1"/>
    <col min="4632" max="4632" width="7.7109375" style="568" customWidth="1"/>
    <col min="4633" max="4633" width="5.5703125" style="568" customWidth="1"/>
    <col min="4634" max="4634" width="5.42578125" style="568" customWidth="1"/>
    <col min="4635" max="4635" width="5.140625" style="568" customWidth="1"/>
    <col min="4636" max="4636" width="7.42578125" style="568" customWidth="1"/>
    <col min="4637" max="4637" width="7.140625" style="568" customWidth="1"/>
    <col min="4638" max="4638" width="6.5703125" style="568" bestFit="1" customWidth="1"/>
    <col min="4639" max="4639" width="9.140625" style="568" bestFit="1" customWidth="1"/>
    <col min="4640" max="4640" width="8.140625" style="568" bestFit="1" customWidth="1"/>
    <col min="4641" max="4642" width="5.42578125" style="568" customWidth="1"/>
    <col min="4643" max="4643" width="9.85546875" style="568" customWidth="1"/>
    <col min="4644" max="4644" width="4.85546875" style="568" customWidth="1"/>
    <col min="4645" max="4645" width="10" style="568" customWidth="1"/>
    <col min="4646" max="4646" width="13.42578125" style="568" customWidth="1"/>
    <col min="4647" max="4857" width="11.42578125" style="568"/>
    <col min="4858" max="4858" width="0" style="568" hidden="1" customWidth="1"/>
    <col min="4859" max="4859" width="0.28515625" style="568" customWidth="1"/>
    <col min="4860" max="4860" width="5" style="568" customWidth="1"/>
    <col min="4861" max="4861" width="8.140625" style="568" bestFit="1" customWidth="1"/>
    <col min="4862" max="4862" width="14.140625" style="568" bestFit="1" customWidth="1"/>
    <col min="4863" max="4863" width="22.42578125" style="568" customWidth="1"/>
    <col min="4864" max="4864" width="7" style="568" bestFit="1" customWidth="1"/>
    <col min="4865" max="4865" width="13.7109375" style="568" customWidth="1"/>
    <col min="4866" max="4866" width="22.42578125" style="568" customWidth="1"/>
    <col min="4867" max="4867" width="20.42578125" style="568" customWidth="1"/>
    <col min="4868" max="4869" width="8.42578125" style="568" customWidth="1"/>
    <col min="4870" max="4870" width="8" style="568" customWidth="1"/>
    <col min="4871" max="4872" width="5" style="568" customWidth="1"/>
    <col min="4873" max="4873" width="5.140625" style="568" customWidth="1"/>
    <col min="4874" max="4874" width="6.42578125" style="568" customWidth="1"/>
    <col min="4875" max="4876" width="6.5703125" style="568" bestFit="1" customWidth="1"/>
    <col min="4877" max="4878" width="5.28515625" style="568" customWidth="1"/>
    <col min="4879" max="4879" width="5" style="568" customWidth="1"/>
    <col min="4880" max="4880" width="7.7109375" style="568" customWidth="1"/>
    <col min="4881" max="4881" width="6.85546875" style="568" customWidth="1"/>
    <col min="4882" max="4882" width="6.5703125" style="568" bestFit="1" customWidth="1"/>
    <col min="4883" max="4883" width="5.42578125" style="568" customWidth="1"/>
    <col min="4884" max="4884" width="5.28515625" style="568" customWidth="1"/>
    <col min="4885" max="4885" width="5.42578125" style="568" customWidth="1"/>
    <col min="4886" max="4886" width="7.42578125" style="568" customWidth="1"/>
    <col min="4887" max="4887" width="7.140625" style="568" customWidth="1"/>
    <col min="4888" max="4888" width="7.7109375" style="568" customWidth="1"/>
    <col min="4889" max="4889" width="5.5703125" style="568" customWidth="1"/>
    <col min="4890" max="4890" width="5.42578125" style="568" customWidth="1"/>
    <col min="4891" max="4891" width="5.140625" style="568" customWidth="1"/>
    <col min="4892" max="4892" width="7.42578125" style="568" customWidth="1"/>
    <col min="4893" max="4893" width="7.140625" style="568" customWidth="1"/>
    <col min="4894" max="4894" width="6.5703125" style="568" bestFit="1" customWidth="1"/>
    <col min="4895" max="4895" width="9.140625" style="568" bestFit="1" customWidth="1"/>
    <col min="4896" max="4896" width="8.140625" style="568" bestFit="1" customWidth="1"/>
    <col min="4897" max="4898" width="5.42578125" style="568" customWidth="1"/>
    <col min="4899" max="4899" width="9.85546875" style="568" customWidth="1"/>
    <col min="4900" max="4900" width="4.85546875" style="568" customWidth="1"/>
    <col min="4901" max="4901" width="10" style="568" customWidth="1"/>
    <col min="4902" max="4902" width="13.42578125" style="568" customWidth="1"/>
    <col min="4903" max="5113" width="11.42578125" style="568"/>
    <col min="5114" max="5114" width="0" style="568" hidden="1" customWidth="1"/>
    <col min="5115" max="5115" width="0.28515625" style="568" customWidth="1"/>
    <col min="5116" max="5116" width="5" style="568" customWidth="1"/>
    <col min="5117" max="5117" width="8.140625" style="568" bestFit="1" customWidth="1"/>
    <col min="5118" max="5118" width="14.140625" style="568" bestFit="1" customWidth="1"/>
    <col min="5119" max="5119" width="22.42578125" style="568" customWidth="1"/>
    <col min="5120" max="5120" width="7" style="568" bestFit="1" customWidth="1"/>
    <col min="5121" max="5121" width="13.7109375" style="568" customWidth="1"/>
    <col min="5122" max="5122" width="22.42578125" style="568" customWidth="1"/>
    <col min="5123" max="5123" width="20.42578125" style="568" customWidth="1"/>
    <col min="5124" max="5125" width="8.42578125" style="568" customWidth="1"/>
    <col min="5126" max="5126" width="8" style="568" customWidth="1"/>
    <col min="5127" max="5128" width="5" style="568" customWidth="1"/>
    <col min="5129" max="5129" width="5.140625" style="568" customWidth="1"/>
    <col min="5130" max="5130" width="6.42578125" style="568" customWidth="1"/>
    <col min="5131" max="5132" width="6.5703125" style="568" bestFit="1" customWidth="1"/>
    <col min="5133" max="5134" width="5.28515625" style="568" customWidth="1"/>
    <col min="5135" max="5135" width="5" style="568" customWidth="1"/>
    <col min="5136" max="5136" width="7.7109375" style="568" customWidth="1"/>
    <col min="5137" max="5137" width="6.85546875" style="568" customWidth="1"/>
    <col min="5138" max="5138" width="6.5703125" style="568" bestFit="1" customWidth="1"/>
    <col min="5139" max="5139" width="5.42578125" style="568" customWidth="1"/>
    <col min="5140" max="5140" width="5.28515625" style="568" customWidth="1"/>
    <col min="5141" max="5141" width="5.42578125" style="568" customWidth="1"/>
    <col min="5142" max="5142" width="7.42578125" style="568" customWidth="1"/>
    <col min="5143" max="5143" width="7.140625" style="568" customWidth="1"/>
    <col min="5144" max="5144" width="7.7109375" style="568" customWidth="1"/>
    <col min="5145" max="5145" width="5.5703125" style="568" customWidth="1"/>
    <col min="5146" max="5146" width="5.42578125" style="568" customWidth="1"/>
    <col min="5147" max="5147" width="5.140625" style="568" customWidth="1"/>
    <col min="5148" max="5148" width="7.42578125" style="568" customWidth="1"/>
    <col min="5149" max="5149" width="7.140625" style="568" customWidth="1"/>
    <col min="5150" max="5150" width="6.5703125" style="568" bestFit="1" customWidth="1"/>
    <col min="5151" max="5151" width="9.140625" style="568" bestFit="1" customWidth="1"/>
    <col min="5152" max="5152" width="8.140625" style="568" bestFit="1" customWidth="1"/>
    <col min="5153" max="5154" width="5.42578125" style="568" customWidth="1"/>
    <col min="5155" max="5155" width="9.85546875" style="568" customWidth="1"/>
    <col min="5156" max="5156" width="4.85546875" style="568" customWidth="1"/>
    <col min="5157" max="5157" width="10" style="568" customWidth="1"/>
    <col min="5158" max="5158" width="13.42578125" style="568" customWidth="1"/>
    <col min="5159" max="5369" width="11.42578125" style="568"/>
    <col min="5370" max="5370" width="0" style="568" hidden="1" customWidth="1"/>
    <col min="5371" max="5371" width="0.28515625" style="568" customWidth="1"/>
    <col min="5372" max="5372" width="5" style="568" customWidth="1"/>
    <col min="5373" max="5373" width="8.140625" style="568" bestFit="1" customWidth="1"/>
    <col min="5374" max="5374" width="14.140625" style="568" bestFit="1" customWidth="1"/>
    <col min="5375" max="5375" width="22.42578125" style="568" customWidth="1"/>
    <col min="5376" max="5376" width="7" style="568" bestFit="1" customWidth="1"/>
    <col min="5377" max="5377" width="13.7109375" style="568" customWidth="1"/>
    <col min="5378" max="5378" width="22.42578125" style="568" customWidth="1"/>
    <col min="5379" max="5379" width="20.42578125" style="568" customWidth="1"/>
    <col min="5380" max="5381" width="8.42578125" style="568" customWidth="1"/>
    <col min="5382" max="5382" width="8" style="568" customWidth="1"/>
    <col min="5383" max="5384" width="5" style="568" customWidth="1"/>
    <col min="5385" max="5385" width="5.140625" style="568" customWidth="1"/>
    <col min="5386" max="5386" width="6.42578125" style="568" customWidth="1"/>
    <col min="5387" max="5388" width="6.5703125" style="568" bestFit="1" customWidth="1"/>
    <col min="5389" max="5390" width="5.28515625" style="568" customWidth="1"/>
    <col min="5391" max="5391" width="5" style="568" customWidth="1"/>
    <col min="5392" max="5392" width="7.7109375" style="568" customWidth="1"/>
    <col min="5393" max="5393" width="6.85546875" style="568" customWidth="1"/>
    <col min="5394" max="5394" width="6.5703125" style="568" bestFit="1" customWidth="1"/>
    <col min="5395" max="5395" width="5.42578125" style="568" customWidth="1"/>
    <col min="5396" max="5396" width="5.28515625" style="568" customWidth="1"/>
    <col min="5397" max="5397" width="5.42578125" style="568" customWidth="1"/>
    <col min="5398" max="5398" width="7.42578125" style="568" customWidth="1"/>
    <col min="5399" max="5399" width="7.140625" style="568" customWidth="1"/>
    <col min="5400" max="5400" width="7.7109375" style="568" customWidth="1"/>
    <col min="5401" max="5401" width="5.5703125" style="568" customWidth="1"/>
    <col min="5402" max="5402" width="5.42578125" style="568" customWidth="1"/>
    <col min="5403" max="5403" width="5.140625" style="568" customWidth="1"/>
    <col min="5404" max="5404" width="7.42578125" style="568" customWidth="1"/>
    <col min="5405" max="5405" width="7.140625" style="568" customWidth="1"/>
    <col min="5406" max="5406" width="6.5703125" style="568" bestFit="1" customWidth="1"/>
    <col min="5407" max="5407" width="9.140625" style="568" bestFit="1" customWidth="1"/>
    <col min="5408" max="5408" width="8.140625" style="568" bestFit="1" customWidth="1"/>
    <col min="5409" max="5410" width="5.42578125" style="568" customWidth="1"/>
    <col min="5411" max="5411" width="9.85546875" style="568" customWidth="1"/>
    <col min="5412" max="5412" width="4.85546875" style="568" customWidth="1"/>
    <col min="5413" max="5413" width="10" style="568" customWidth="1"/>
    <col min="5414" max="5414" width="13.42578125" style="568" customWidth="1"/>
    <col min="5415" max="5625" width="11.42578125" style="568"/>
    <col min="5626" max="5626" width="0" style="568" hidden="1" customWidth="1"/>
    <col min="5627" max="5627" width="0.28515625" style="568" customWidth="1"/>
    <col min="5628" max="5628" width="5" style="568" customWidth="1"/>
    <col min="5629" max="5629" width="8.140625" style="568" bestFit="1" customWidth="1"/>
    <col min="5630" max="5630" width="14.140625" style="568" bestFit="1" customWidth="1"/>
    <col min="5631" max="5631" width="22.42578125" style="568" customWidth="1"/>
    <col min="5632" max="5632" width="7" style="568" bestFit="1" customWidth="1"/>
    <col min="5633" max="5633" width="13.7109375" style="568" customWidth="1"/>
    <col min="5634" max="5634" width="22.42578125" style="568" customWidth="1"/>
    <col min="5635" max="5635" width="20.42578125" style="568" customWidth="1"/>
    <col min="5636" max="5637" width="8.42578125" style="568" customWidth="1"/>
    <col min="5638" max="5638" width="8" style="568" customWidth="1"/>
    <col min="5639" max="5640" width="5" style="568" customWidth="1"/>
    <col min="5641" max="5641" width="5.140625" style="568" customWidth="1"/>
    <col min="5642" max="5642" width="6.42578125" style="568" customWidth="1"/>
    <col min="5643" max="5644" width="6.5703125" style="568" bestFit="1" customWidth="1"/>
    <col min="5645" max="5646" width="5.28515625" style="568" customWidth="1"/>
    <col min="5647" max="5647" width="5" style="568" customWidth="1"/>
    <col min="5648" max="5648" width="7.7109375" style="568" customWidth="1"/>
    <col min="5649" max="5649" width="6.85546875" style="568" customWidth="1"/>
    <col min="5650" max="5650" width="6.5703125" style="568" bestFit="1" customWidth="1"/>
    <col min="5651" max="5651" width="5.42578125" style="568" customWidth="1"/>
    <col min="5652" max="5652" width="5.28515625" style="568" customWidth="1"/>
    <col min="5653" max="5653" width="5.42578125" style="568" customWidth="1"/>
    <col min="5654" max="5654" width="7.42578125" style="568" customWidth="1"/>
    <col min="5655" max="5655" width="7.140625" style="568" customWidth="1"/>
    <col min="5656" max="5656" width="7.7109375" style="568" customWidth="1"/>
    <col min="5657" max="5657" width="5.5703125" style="568" customWidth="1"/>
    <col min="5658" max="5658" width="5.42578125" style="568" customWidth="1"/>
    <col min="5659" max="5659" width="5.140625" style="568" customWidth="1"/>
    <col min="5660" max="5660" width="7.42578125" style="568" customWidth="1"/>
    <col min="5661" max="5661" width="7.140625" style="568" customWidth="1"/>
    <col min="5662" max="5662" width="6.5703125" style="568" bestFit="1" customWidth="1"/>
    <col min="5663" max="5663" width="9.140625" style="568" bestFit="1" customWidth="1"/>
    <col min="5664" max="5664" width="8.140625" style="568" bestFit="1" customWidth="1"/>
    <col min="5665" max="5666" width="5.42578125" style="568" customWidth="1"/>
    <col min="5667" max="5667" width="9.85546875" style="568" customWidth="1"/>
    <col min="5668" max="5668" width="4.85546875" style="568" customWidth="1"/>
    <col min="5669" max="5669" width="10" style="568" customWidth="1"/>
    <col min="5670" max="5670" width="13.42578125" style="568" customWidth="1"/>
    <col min="5671" max="5881" width="11.42578125" style="568"/>
    <col min="5882" max="5882" width="0" style="568" hidden="1" customWidth="1"/>
    <col min="5883" max="5883" width="0.28515625" style="568" customWidth="1"/>
    <col min="5884" max="5884" width="5" style="568" customWidth="1"/>
    <col min="5885" max="5885" width="8.140625" style="568" bestFit="1" customWidth="1"/>
    <col min="5886" max="5886" width="14.140625" style="568" bestFit="1" customWidth="1"/>
    <col min="5887" max="5887" width="22.42578125" style="568" customWidth="1"/>
    <col min="5888" max="5888" width="7" style="568" bestFit="1" customWidth="1"/>
    <col min="5889" max="5889" width="13.7109375" style="568" customWidth="1"/>
    <col min="5890" max="5890" width="22.42578125" style="568" customWidth="1"/>
    <col min="5891" max="5891" width="20.42578125" style="568" customWidth="1"/>
    <col min="5892" max="5893" width="8.42578125" style="568" customWidth="1"/>
    <col min="5894" max="5894" width="8" style="568" customWidth="1"/>
    <col min="5895" max="5896" width="5" style="568" customWidth="1"/>
    <col min="5897" max="5897" width="5.140625" style="568" customWidth="1"/>
    <col min="5898" max="5898" width="6.42578125" style="568" customWidth="1"/>
    <col min="5899" max="5900" width="6.5703125" style="568" bestFit="1" customWidth="1"/>
    <col min="5901" max="5902" width="5.28515625" style="568" customWidth="1"/>
    <col min="5903" max="5903" width="5" style="568" customWidth="1"/>
    <col min="5904" max="5904" width="7.7109375" style="568" customWidth="1"/>
    <col min="5905" max="5905" width="6.85546875" style="568" customWidth="1"/>
    <col min="5906" max="5906" width="6.5703125" style="568" bestFit="1" customWidth="1"/>
    <col min="5907" max="5907" width="5.42578125" style="568" customWidth="1"/>
    <col min="5908" max="5908" width="5.28515625" style="568" customWidth="1"/>
    <col min="5909" max="5909" width="5.42578125" style="568" customWidth="1"/>
    <col min="5910" max="5910" width="7.42578125" style="568" customWidth="1"/>
    <col min="5911" max="5911" width="7.140625" style="568" customWidth="1"/>
    <col min="5912" max="5912" width="7.7109375" style="568" customWidth="1"/>
    <col min="5913" max="5913" width="5.5703125" style="568" customWidth="1"/>
    <col min="5914" max="5914" width="5.42578125" style="568" customWidth="1"/>
    <col min="5915" max="5915" width="5.140625" style="568" customWidth="1"/>
    <col min="5916" max="5916" width="7.42578125" style="568" customWidth="1"/>
    <col min="5917" max="5917" width="7.140625" style="568" customWidth="1"/>
    <col min="5918" max="5918" width="6.5703125" style="568" bestFit="1" customWidth="1"/>
    <col min="5919" max="5919" width="9.140625" style="568" bestFit="1" customWidth="1"/>
    <col min="5920" max="5920" width="8.140625" style="568" bestFit="1" customWidth="1"/>
    <col min="5921" max="5922" width="5.42578125" style="568" customWidth="1"/>
    <col min="5923" max="5923" width="9.85546875" style="568" customWidth="1"/>
    <col min="5924" max="5924" width="4.85546875" style="568" customWidth="1"/>
    <col min="5925" max="5925" width="10" style="568" customWidth="1"/>
    <col min="5926" max="5926" width="13.42578125" style="568" customWidth="1"/>
    <col min="5927" max="6137" width="11.42578125" style="568"/>
    <col min="6138" max="6138" width="0" style="568" hidden="1" customWidth="1"/>
    <col min="6139" max="6139" width="0.28515625" style="568" customWidth="1"/>
    <col min="6140" max="6140" width="5" style="568" customWidth="1"/>
    <col min="6141" max="6141" width="8.140625" style="568" bestFit="1" customWidth="1"/>
    <col min="6142" max="6142" width="14.140625" style="568" bestFit="1" customWidth="1"/>
    <col min="6143" max="6143" width="22.42578125" style="568" customWidth="1"/>
    <col min="6144" max="6144" width="7" style="568" bestFit="1" customWidth="1"/>
    <col min="6145" max="6145" width="13.7109375" style="568" customWidth="1"/>
    <col min="6146" max="6146" width="22.42578125" style="568" customWidth="1"/>
    <col min="6147" max="6147" width="20.42578125" style="568" customWidth="1"/>
    <col min="6148" max="6149" width="8.42578125" style="568" customWidth="1"/>
    <col min="6150" max="6150" width="8" style="568" customWidth="1"/>
    <col min="6151" max="6152" width="5" style="568" customWidth="1"/>
    <col min="6153" max="6153" width="5.140625" style="568" customWidth="1"/>
    <col min="6154" max="6154" width="6.42578125" style="568" customWidth="1"/>
    <col min="6155" max="6156" width="6.5703125" style="568" bestFit="1" customWidth="1"/>
    <col min="6157" max="6158" width="5.28515625" style="568" customWidth="1"/>
    <col min="6159" max="6159" width="5" style="568" customWidth="1"/>
    <col min="6160" max="6160" width="7.7109375" style="568" customWidth="1"/>
    <col min="6161" max="6161" width="6.85546875" style="568" customWidth="1"/>
    <col min="6162" max="6162" width="6.5703125" style="568" bestFit="1" customWidth="1"/>
    <col min="6163" max="6163" width="5.42578125" style="568" customWidth="1"/>
    <col min="6164" max="6164" width="5.28515625" style="568" customWidth="1"/>
    <col min="6165" max="6165" width="5.42578125" style="568" customWidth="1"/>
    <col min="6166" max="6166" width="7.42578125" style="568" customWidth="1"/>
    <col min="6167" max="6167" width="7.140625" style="568" customWidth="1"/>
    <col min="6168" max="6168" width="7.7109375" style="568" customWidth="1"/>
    <col min="6169" max="6169" width="5.5703125" style="568" customWidth="1"/>
    <col min="6170" max="6170" width="5.42578125" style="568" customWidth="1"/>
    <col min="6171" max="6171" width="5.140625" style="568" customWidth="1"/>
    <col min="6172" max="6172" width="7.42578125" style="568" customWidth="1"/>
    <col min="6173" max="6173" width="7.140625" style="568" customWidth="1"/>
    <col min="6174" max="6174" width="6.5703125" style="568" bestFit="1" customWidth="1"/>
    <col min="6175" max="6175" width="9.140625" style="568" bestFit="1" customWidth="1"/>
    <col min="6176" max="6176" width="8.140625" style="568" bestFit="1" customWidth="1"/>
    <col min="6177" max="6178" width="5.42578125" style="568" customWidth="1"/>
    <col min="6179" max="6179" width="9.85546875" style="568" customWidth="1"/>
    <col min="6180" max="6180" width="4.85546875" style="568" customWidth="1"/>
    <col min="6181" max="6181" width="10" style="568" customWidth="1"/>
    <col min="6182" max="6182" width="13.42578125" style="568" customWidth="1"/>
    <col min="6183" max="6393" width="11.42578125" style="568"/>
    <col min="6394" max="6394" width="0" style="568" hidden="1" customWidth="1"/>
    <col min="6395" max="6395" width="0.28515625" style="568" customWidth="1"/>
    <col min="6396" max="6396" width="5" style="568" customWidth="1"/>
    <col min="6397" max="6397" width="8.140625" style="568" bestFit="1" customWidth="1"/>
    <col min="6398" max="6398" width="14.140625" style="568" bestFit="1" customWidth="1"/>
    <col min="6399" max="6399" width="22.42578125" style="568" customWidth="1"/>
    <col min="6400" max="6400" width="7" style="568" bestFit="1" customWidth="1"/>
    <col min="6401" max="6401" width="13.7109375" style="568" customWidth="1"/>
    <col min="6402" max="6402" width="22.42578125" style="568" customWidth="1"/>
    <col min="6403" max="6403" width="20.42578125" style="568" customWidth="1"/>
    <col min="6404" max="6405" width="8.42578125" style="568" customWidth="1"/>
    <col min="6406" max="6406" width="8" style="568" customWidth="1"/>
    <col min="6407" max="6408" width="5" style="568" customWidth="1"/>
    <col min="6409" max="6409" width="5.140625" style="568" customWidth="1"/>
    <col min="6410" max="6410" width="6.42578125" style="568" customWidth="1"/>
    <col min="6411" max="6412" width="6.5703125" style="568" bestFit="1" customWidth="1"/>
    <col min="6413" max="6414" width="5.28515625" style="568" customWidth="1"/>
    <col min="6415" max="6415" width="5" style="568" customWidth="1"/>
    <col min="6416" max="6416" width="7.7109375" style="568" customWidth="1"/>
    <col min="6417" max="6417" width="6.85546875" style="568" customWidth="1"/>
    <col min="6418" max="6418" width="6.5703125" style="568" bestFit="1" customWidth="1"/>
    <col min="6419" max="6419" width="5.42578125" style="568" customWidth="1"/>
    <col min="6420" max="6420" width="5.28515625" style="568" customWidth="1"/>
    <col min="6421" max="6421" width="5.42578125" style="568" customWidth="1"/>
    <col min="6422" max="6422" width="7.42578125" style="568" customWidth="1"/>
    <col min="6423" max="6423" width="7.140625" style="568" customWidth="1"/>
    <col min="6424" max="6424" width="7.7109375" style="568" customWidth="1"/>
    <col min="6425" max="6425" width="5.5703125" style="568" customWidth="1"/>
    <col min="6426" max="6426" width="5.42578125" style="568" customWidth="1"/>
    <col min="6427" max="6427" width="5.140625" style="568" customWidth="1"/>
    <col min="6428" max="6428" width="7.42578125" style="568" customWidth="1"/>
    <col min="6429" max="6429" width="7.140625" style="568" customWidth="1"/>
    <col min="6430" max="6430" width="6.5703125" style="568" bestFit="1" customWidth="1"/>
    <col min="6431" max="6431" width="9.140625" style="568" bestFit="1" customWidth="1"/>
    <col min="6432" max="6432" width="8.140625" style="568" bestFit="1" customWidth="1"/>
    <col min="6433" max="6434" width="5.42578125" style="568" customWidth="1"/>
    <col min="6435" max="6435" width="9.85546875" style="568" customWidth="1"/>
    <col min="6436" max="6436" width="4.85546875" style="568" customWidth="1"/>
    <col min="6437" max="6437" width="10" style="568" customWidth="1"/>
    <col min="6438" max="6438" width="13.42578125" style="568" customWidth="1"/>
    <col min="6439" max="6649" width="11.42578125" style="568"/>
    <col min="6650" max="6650" width="0" style="568" hidden="1" customWidth="1"/>
    <col min="6651" max="6651" width="0.28515625" style="568" customWidth="1"/>
    <col min="6652" max="6652" width="5" style="568" customWidth="1"/>
    <col min="6653" max="6653" width="8.140625" style="568" bestFit="1" customWidth="1"/>
    <col min="6654" max="6654" width="14.140625" style="568" bestFit="1" customWidth="1"/>
    <col min="6655" max="6655" width="22.42578125" style="568" customWidth="1"/>
    <col min="6656" max="6656" width="7" style="568" bestFit="1" customWidth="1"/>
    <col min="6657" max="6657" width="13.7109375" style="568" customWidth="1"/>
    <col min="6658" max="6658" width="22.42578125" style="568" customWidth="1"/>
    <col min="6659" max="6659" width="20.42578125" style="568" customWidth="1"/>
    <col min="6660" max="6661" width="8.42578125" style="568" customWidth="1"/>
    <col min="6662" max="6662" width="8" style="568" customWidth="1"/>
    <col min="6663" max="6664" width="5" style="568" customWidth="1"/>
    <col min="6665" max="6665" width="5.140625" style="568" customWidth="1"/>
    <col min="6666" max="6666" width="6.42578125" style="568" customWidth="1"/>
    <col min="6667" max="6668" width="6.5703125" style="568" bestFit="1" customWidth="1"/>
    <col min="6669" max="6670" width="5.28515625" style="568" customWidth="1"/>
    <col min="6671" max="6671" width="5" style="568" customWidth="1"/>
    <col min="6672" max="6672" width="7.7109375" style="568" customWidth="1"/>
    <col min="6673" max="6673" width="6.85546875" style="568" customWidth="1"/>
    <col min="6674" max="6674" width="6.5703125" style="568" bestFit="1" customWidth="1"/>
    <col min="6675" max="6675" width="5.42578125" style="568" customWidth="1"/>
    <col min="6676" max="6676" width="5.28515625" style="568" customWidth="1"/>
    <col min="6677" max="6677" width="5.42578125" style="568" customWidth="1"/>
    <col min="6678" max="6678" width="7.42578125" style="568" customWidth="1"/>
    <col min="6679" max="6679" width="7.140625" style="568" customWidth="1"/>
    <col min="6680" max="6680" width="7.7109375" style="568" customWidth="1"/>
    <col min="6681" max="6681" width="5.5703125" style="568" customWidth="1"/>
    <col min="6682" max="6682" width="5.42578125" style="568" customWidth="1"/>
    <col min="6683" max="6683" width="5.140625" style="568" customWidth="1"/>
    <col min="6684" max="6684" width="7.42578125" style="568" customWidth="1"/>
    <col min="6685" max="6685" width="7.140625" style="568" customWidth="1"/>
    <col min="6686" max="6686" width="6.5703125" style="568" bestFit="1" customWidth="1"/>
    <col min="6687" max="6687" width="9.140625" style="568" bestFit="1" customWidth="1"/>
    <col min="6688" max="6688" width="8.140625" style="568" bestFit="1" customWidth="1"/>
    <col min="6689" max="6690" width="5.42578125" style="568" customWidth="1"/>
    <col min="6691" max="6691" width="9.85546875" style="568" customWidth="1"/>
    <col min="6692" max="6692" width="4.85546875" style="568" customWidth="1"/>
    <col min="6693" max="6693" width="10" style="568" customWidth="1"/>
    <col min="6694" max="6694" width="13.42578125" style="568" customWidth="1"/>
    <col min="6695" max="6905" width="11.42578125" style="568"/>
    <col min="6906" max="6906" width="0" style="568" hidden="1" customWidth="1"/>
    <col min="6907" max="6907" width="0.28515625" style="568" customWidth="1"/>
    <col min="6908" max="6908" width="5" style="568" customWidth="1"/>
    <col min="6909" max="6909" width="8.140625" style="568" bestFit="1" customWidth="1"/>
    <col min="6910" max="6910" width="14.140625" style="568" bestFit="1" customWidth="1"/>
    <col min="6911" max="6911" width="22.42578125" style="568" customWidth="1"/>
    <col min="6912" max="6912" width="7" style="568" bestFit="1" customWidth="1"/>
    <col min="6913" max="6913" width="13.7109375" style="568" customWidth="1"/>
    <col min="6914" max="6914" width="22.42578125" style="568" customWidth="1"/>
    <col min="6915" max="6915" width="20.42578125" style="568" customWidth="1"/>
    <col min="6916" max="6917" width="8.42578125" style="568" customWidth="1"/>
    <col min="6918" max="6918" width="8" style="568" customWidth="1"/>
    <col min="6919" max="6920" width="5" style="568" customWidth="1"/>
    <col min="6921" max="6921" width="5.140625" style="568" customWidth="1"/>
    <col min="6922" max="6922" width="6.42578125" style="568" customWidth="1"/>
    <col min="6923" max="6924" width="6.5703125" style="568" bestFit="1" customWidth="1"/>
    <col min="6925" max="6926" width="5.28515625" style="568" customWidth="1"/>
    <col min="6927" max="6927" width="5" style="568" customWidth="1"/>
    <col min="6928" max="6928" width="7.7109375" style="568" customWidth="1"/>
    <col min="6929" max="6929" width="6.85546875" style="568" customWidth="1"/>
    <col min="6930" max="6930" width="6.5703125" style="568" bestFit="1" customWidth="1"/>
    <col min="6931" max="6931" width="5.42578125" style="568" customWidth="1"/>
    <col min="6932" max="6932" width="5.28515625" style="568" customWidth="1"/>
    <col min="6933" max="6933" width="5.42578125" style="568" customWidth="1"/>
    <col min="6934" max="6934" width="7.42578125" style="568" customWidth="1"/>
    <col min="6935" max="6935" width="7.140625" style="568" customWidth="1"/>
    <col min="6936" max="6936" width="7.7109375" style="568" customWidth="1"/>
    <col min="6937" max="6937" width="5.5703125" style="568" customWidth="1"/>
    <col min="6938" max="6938" width="5.42578125" style="568" customWidth="1"/>
    <col min="6939" max="6939" width="5.140625" style="568" customWidth="1"/>
    <col min="6940" max="6940" width="7.42578125" style="568" customWidth="1"/>
    <col min="6941" max="6941" width="7.140625" style="568" customWidth="1"/>
    <col min="6942" max="6942" width="6.5703125" style="568" bestFit="1" customWidth="1"/>
    <col min="6943" max="6943" width="9.140625" style="568" bestFit="1" customWidth="1"/>
    <col min="6944" max="6944" width="8.140625" style="568" bestFit="1" customWidth="1"/>
    <col min="6945" max="6946" width="5.42578125" style="568" customWidth="1"/>
    <col min="6947" max="6947" width="9.85546875" style="568" customWidth="1"/>
    <col min="6948" max="6948" width="4.85546875" style="568" customWidth="1"/>
    <col min="6949" max="6949" width="10" style="568" customWidth="1"/>
    <col min="6950" max="6950" width="13.42578125" style="568" customWidth="1"/>
    <col min="6951" max="7161" width="11.42578125" style="568"/>
    <col min="7162" max="7162" width="0" style="568" hidden="1" customWidth="1"/>
    <col min="7163" max="7163" width="0.28515625" style="568" customWidth="1"/>
    <col min="7164" max="7164" width="5" style="568" customWidth="1"/>
    <col min="7165" max="7165" width="8.140625" style="568" bestFit="1" customWidth="1"/>
    <col min="7166" max="7166" width="14.140625" style="568" bestFit="1" customWidth="1"/>
    <col min="7167" max="7167" width="22.42578125" style="568" customWidth="1"/>
    <col min="7168" max="7168" width="7" style="568" bestFit="1" customWidth="1"/>
    <col min="7169" max="7169" width="13.7109375" style="568" customWidth="1"/>
    <col min="7170" max="7170" width="22.42578125" style="568" customWidth="1"/>
    <col min="7171" max="7171" width="20.42578125" style="568" customWidth="1"/>
    <col min="7172" max="7173" width="8.42578125" style="568" customWidth="1"/>
    <col min="7174" max="7174" width="8" style="568" customWidth="1"/>
    <col min="7175" max="7176" width="5" style="568" customWidth="1"/>
    <col min="7177" max="7177" width="5.140625" style="568" customWidth="1"/>
    <col min="7178" max="7178" width="6.42578125" style="568" customWidth="1"/>
    <col min="7179" max="7180" width="6.5703125" style="568" bestFit="1" customWidth="1"/>
    <col min="7181" max="7182" width="5.28515625" style="568" customWidth="1"/>
    <col min="7183" max="7183" width="5" style="568" customWidth="1"/>
    <col min="7184" max="7184" width="7.7109375" style="568" customWidth="1"/>
    <col min="7185" max="7185" width="6.85546875" style="568" customWidth="1"/>
    <col min="7186" max="7186" width="6.5703125" style="568" bestFit="1" customWidth="1"/>
    <col min="7187" max="7187" width="5.42578125" style="568" customWidth="1"/>
    <col min="7188" max="7188" width="5.28515625" style="568" customWidth="1"/>
    <col min="7189" max="7189" width="5.42578125" style="568" customWidth="1"/>
    <col min="7190" max="7190" width="7.42578125" style="568" customWidth="1"/>
    <col min="7191" max="7191" width="7.140625" style="568" customWidth="1"/>
    <col min="7192" max="7192" width="7.7109375" style="568" customWidth="1"/>
    <col min="7193" max="7193" width="5.5703125" style="568" customWidth="1"/>
    <col min="7194" max="7194" width="5.42578125" style="568" customWidth="1"/>
    <col min="7195" max="7195" width="5.140625" style="568" customWidth="1"/>
    <col min="7196" max="7196" width="7.42578125" style="568" customWidth="1"/>
    <col min="7197" max="7197" width="7.140625" style="568" customWidth="1"/>
    <col min="7198" max="7198" width="6.5703125" style="568" bestFit="1" customWidth="1"/>
    <col min="7199" max="7199" width="9.140625" style="568" bestFit="1" customWidth="1"/>
    <col min="7200" max="7200" width="8.140625" style="568" bestFit="1" customWidth="1"/>
    <col min="7201" max="7202" width="5.42578125" style="568" customWidth="1"/>
    <col min="7203" max="7203" width="9.85546875" style="568" customWidth="1"/>
    <col min="7204" max="7204" width="4.85546875" style="568" customWidth="1"/>
    <col min="7205" max="7205" width="10" style="568" customWidth="1"/>
    <col min="7206" max="7206" width="13.42578125" style="568" customWidth="1"/>
    <col min="7207" max="7417" width="11.42578125" style="568"/>
    <col min="7418" max="7418" width="0" style="568" hidden="1" customWidth="1"/>
    <col min="7419" max="7419" width="0.28515625" style="568" customWidth="1"/>
    <col min="7420" max="7420" width="5" style="568" customWidth="1"/>
    <col min="7421" max="7421" width="8.140625" style="568" bestFit="1" customWidth="1"/>
    <col min="7422" max="7422" width="14.140625" style="568" bestFit="1" customWidth="1"/>
    <col min="7423" max="7423" width="22.42578125" style="568" customWidth="1"/>
    <col min="7424" max="7424" width="7" style="568" bestFit="1" customWidth="1"/>
    <col min="7425" max="7425" width="13.7109375" style="568" customWidth="1"/>
    <col min="7426" max="7426" width="22.42578125" style="568" customWidth="1"/>
    <col min="7427" max="7427" width="20.42578125" style="568" customWidth="1"/>
    <col min="7428" max="7429" width="8.42578125" style="568" customWidth="1"/>
    <col min="7430" max="7430" width="8" style="568" customWidth="1"/>
    <col min="7431" max="7432" width="5" style="568" customWidth="1"/>
    <col min="7433" max="7433" width="5.140625" style="568" customWidth="1"/>
    <col min="7434" max="7434" width="6.42578125" style="568" customWidth="1"/>
    <col min="7435" max="7436" width="6.5703125" style="568" bestFit="1" customWidth="1"/>
    <col min="7437" max="7438" width="5.28515625" style="568" customWidth="1"/>
    <col min="7439" max="7439" width="5" style="568" customWidth="1"/>
    <col min="7440" max="7440" width="7.7109375" style="568" customWidth="1"/>
    <col min="7441" max="7441" width="6.85546875" style="568" customWidth="1"/>
    <col min="7442" max="7442" width="6.5703125" style="568" bestFit="1" customWidth="1"/>
    <col min="7443" max="7443" width="5.42578125" style="568" customWidth="1"/>
    <col min="7444" max="7444" width="5.28515625" style="568" customWidth="1"/>
    <col min="7445" max="7445" width="5.42578125" style="568" customWidth="1"/>
    <col min="7446" max="7446" width="7.42578125" style="568" customWidth="1"/>
    <col min="7447" max="7447" width="7.140625" style="568" customWidth="1"/>
    <col min="7448" max="7448" width="7.7109375" style="568" customWidth="1"/>
    <col min="7449" max="7449" width="5.5703125" style="568" customWidth="1"/>
    <col min="7450" max="7450" width="5.42578125" style="568" customWidth="1"/>
    <col min="7451" max="7451" width="5.140625" style="568" customWidth="1"/>
    <col min="7452" max="7452" width="7.42578125" style="568" customWidth="1"/>
    <col min="7453" max="7453" width="7.140625" style="568" customWidth="1"/>
    <col min="7454" max="7454" width="6.5703125" style="568" bestFit="1" customWidth="1"/>
    <col min="7455" max="7455" width="9.140625" style="568" bestFit="1" customWidth="1"/>
    <col min="7456" max="7456" width="8.140625" style="568" bestFit="1" customWidth="1"/>
    <col min="7457" max="7458" width="5.42578125" style="568" customWidth="1"/>
    <col min="7459" max="7459" width="9.85546875" style="568" customWidth="1"/>
    <col min="7460" max="7460" width="4.85546875" style="568" customWidth="1"/>
    <col min="7461" max="7461" width="10" style="568" customWidth="1"/>
    <col min="7462" max="7462" width="13.42578125" style="568" customWidth="1"/>
    <col min="7463" max="7673" width="11.42578125" style="568"/>
    <col min="7674" max="7674" width="0" style="568" hidden="1" customWidth="1"/>
    <col min="7675" max="7675" width="0.28515625" style="568" customWidth="1"/>
    <col min="7676" max="7676" width="5" style="568" customWidth="1"/>
    <col min="7677" max="7677" width="8.140625" style="568" bestFit="1" customWidth="1"/>
    <col min="7678" max="7678" width="14.140625" style="568" bestFit="1" customWidth="1"/>
    <col min="7679" max="7679" width="22.42578125" style="568" customWidth="1"/>
    <col min="7680" max="7680" width="7" style="568" bestFit="1" customWidth="1"/>
    <col min="7681" max="7681" width="13.7109375" style="568" customWidth="1"/>
    <col min="7682" max="7682" width="22.42578125" style="568" customWidth="1"/>
    <col min="7683" max="7683" width="20.42578125" style="568" customWidth="1"/>
    <col min="7684" max="7685" width="8.42578125" style="568" customWidth="1"/>
    <col min="7686" max="7686" width="8" style="568" customWidth="1"/>
    <col min="7687" max="7688" width="5" style="568" customWidth="1"/>
    <col min="7689" max="7689" width="5.140625" style="568" customWidth="1"/>
    <col min="7690" max="7690" width="6.42578125" style="568" customWidth="1"/>
    <col min="7691" max="7692" width="6.5703125" style="568" bestFit="1" customWidth="1"/>
    <col min="7693" max="7694" width="5.28515625" style="568" customWidth="1"/>
    <col min="7695" max="7695" width="5" style="568" customWidth="1"/>
    <col min="7696" max="7696" width="7.7109375" style="568" customWidth="1"/>
    <col min="7697" max="7697" width="6.85546875" style="568" customWidth="1"/>
    <col min="7698" max="7698" width="6.5703125" style="568" bestFit="1" customWidth="1"/>
    <col min="7699" max="7699" width="5.42578125" style="568" customWidth="1"/>
    <col min="7700" max="7700" width="5.28515625" style="568" customWidth="1"/>
    <col min="7701" max="7701" width="5.42578125" style="568" customWidth="1"/>
    <col min="7702" max="7702" width="7.42578125" style="568" customWidth="1"/>
    <col min="7703" max="7703" width="7.140625" style="568" customWidth="1"/>
    <col min="7704" max="7704" width="7.7109375" style="568" customWidth="1"/>
    <col min="7705" max="7705" width="5.5703125" style="568" customWidth="1"/>
    <col min="7706" max="7706" width="5.42578125" style="568" customWidth="1"/>
    <col min="7707" max="7707" width="5.140625" style="568" customWidth="1"/>
    <col min="7708" max="7708" width="7.42578125" style="568" customWidth="1"/>
    <col min="7709" max="7709" width="7.140625" style="568" customWidth="1"/>
    <col min="7710" max="7710" width="6.5703125" style="568" bestFit="1" customWidth="1"/>
    <col min="7711" max="7711" width="9.140625" style="568" bestFit="1" customWidth="1"/>
    <col min="7712" max="7712" width="8.140625" style="568" bestFit="1" customWidth="1"/>
    <col min="7713" max="7714" width="5.42578125" style="568" customWidth="1"/>
    <col min="7715" max="7715" width="9.85546875" style="568" customWidth="1"/>
    <col min="7716" max="7716" width="4.85546875" style="568" customWidth="1"/>
    <col min="7717" max="7717" width="10" style="568" customWidth="1"/>
    <col min="7718" max="7718" width="13.42578125" style="568" customWidth="1"/>
    <col min="7719" max="7929" width="11.42578125" style="568"/>
    <col min="7930" max="7930" width="0" style="568" hidden="1" customWidth="1"/>
    <col min="7931" max="7931" width="0.28515625" style="568" customWidth="1"/>
    <col min="7932" max="7932" width="5" style="568" customWidth="1"/>
    <col min="7933" max="7933" width="8.140625" style="568" bestFit="1" customWidth="1"/>
    <col min="7934" max="7934" width="14.140625" style="568" bestFit="1" customWidth="1"/>
    <col min="7935" max="7935" width="22.42578125" style="568" customWidth="1"/>
    <col min="7936" max="7936" width="7" style="568" bestFit="1" customWidth="1"/>
    <col min="7937" max="7937" width="13.7109375" style="568" customWidth="1"/>
    <col min="7938" max="7938" width="22.42578125" style="568" customWidth="1"/>
    <col min="7939" max="7939" width="20.42578125" style="568" customWidth="1"/>
    <col min="7940" max="7941" width="8.42578125" style="568" customWidth="1"/>
    <col min="7942" max="7942" width="8" style="568" customWidth="1"/>
    <col min="7943" max="7944" width="5" style="568" customWidth="1"/>
    <col min="7945" max="7945" width="5.140625" style="568" customWidth="1"/>
    <col min="7946" max="7946" width="6.42578125" style="568" customWidth="1"/>
    <col min="7947" max="7948" width="6.5703125" style="568" bestFit="1" customWidth="1"/>
    <col min="7949" max="7950" width="5.28515625" style="568" customWidth="1"/>
    <col min="7951" max="7951" width="5" style="568" customWidth="1"/>
    <col min="7952" max="7952" width="7.7109375" style="568" customWidth="1"/>
    <col min="7953" max="7953" width="6.85546875" style="568" customWidth="1"/>
    <col min="7954" max="7954" width="6.5703125" style="568" bestFit="1" customWidth="1"/>
    <col min="7955" max="7955" width="5.42578125" style="568" customWidth="1"/>
    <col min="7956" max="7956" width="5.28515625" style="568" customWidth="1"/>
    <col min="7957" max="7957" width="5.42578125" style="568" customWidth="1"/>
    <col min="7958" max="7958" width="7.42578125" style="568" customWidth="1"/>
    <col min="7959" max="7959" width="7.140625" style="568" customWidth="1"/>
    <col min="7960" max="7960" width="7.7109375" style="568" customWidth="1"/>
    <col min="7961" max="7961" width="5.5703125" style="568" customWidth="1"/>
    <col min="7962" max="7962" width="5.42578125" style="568" customWidth="1"/>
    <col min="7963" max="7963" width="5.140625" style="568" customWidth="1"/>
    <col min="7964" max="7964" width="7.42578125" style="568" customWidth="1"/>
    <col min="7965" max="7965" width="7.140625" style="568" customWidth="1"/>
    <col min="7966" max="7966" width="6.5703125" style="568" bestFit="1" customWidth="1"/>
    <col min="7967" max="7967" width="9.140625" style="568" bestFit="1" customWidth="1"/>
    <col min="7968" max="7968" width="8.140625" style="568" bestFit="1" customWidth="1"/>
    <col min="7969" max="7970" width="5.42578125" style="568" customWidth="1"/>
    <col min="7971" max="7971" width="9.85546875" style="568" customWidth="1"/>
    <col min="7972" max="7972" width="4.85546875" style="568" customWidth="1"/>
    <col min="7973" max="7973" width="10" style="568" customWidth="1"/>
    <col min="7974" max="7974" width="13.42578125" style="568" customWidth="1"/>
    <col min="7975" max="8185" width="11.42578125" style="568"/>
    <col min="8186" max="8186" width="0" style="568" hidden="1" customWidth="1"/>
    <col min="8187" max="8187" width="0.28515625" style="568" customWidth="1"/>
    <col min="8188" max="8188" width="5" style="568" customWidth="1"/>
    <col min="8189" max="8189" width="8.140625" style="568" bestFit="1" customWidth="1"/>
    <col min="8190" max="8190" width="14.140625" style="568" bestFit="1" customWidth="1"/>
    <col min="8191" max="8191" width="22.42578125" style="568" customWidth="1"/>
    <col min="8192" max="8192" width="7" style="568" bestFit="1" customWidth="1"/>
    <col min="8193" max="8193" width="13.7109375" style="568" customWidth="1"/>
    <col min="8194" max="8194" width="22.42578125" style="568" customWidth="1"/>
    <col min="8195" max="8195" width="20.42578125" style="568" customWidth="1"/>
    <col min="8196" max="8197" width="8.42578125" style="568" customWidth="1"/>
    <col min="8198" max="8198" width="8" style="568" customWidth="1"/>
    <col min="8199" max="8200" width="5" style="568" customWidth="1"/>
    <col min="8201" max="8201" width="5.140625" style="568" customWidth="1"/>
    <col min="8202" max="8202" width="6.42578125" style="568" customWidth="1"/>
    <col min="8203" max="8204" width="6.5703125" style="568" bestFit="1" customWidth="1"/>
    <col min="8205" max="8206" width="5.28515625" style="568" customWidth="1"/>
    <col min="8207" max="8207" width="5" style="568" customWidth="1"/>
    <col min="8208" max="8208" width="7.7109375" style="568" customWidth="1"/>
    <col min="8209" max="8209" width="6.85546875" style="568" customWidth="1"/>
    <col min="8210" max="8210" width="6.5703125" style="568" bestFit="1" customWidth="1"/>
    <col min="8211" max="8211" width="5.42578125" style="568" customWidth="1"/>
    <col min="8212" max="8212" width="5.28515625" style="568" customWidth="1"/>
    <col min="8213" max="8213" width="5.42578125" style="568" customWidth="1"/>
    <col min="8214" max="8214" width="7.42578125" style="568" customWidth="1"/>
    <col min="8215" max="8215" width="7.140625" style="568" customWidth="1"/>
    <col min="8216" max="8216" width="7.7109375" style="568" customWidth="1"/>
    <col min="8217" max="8217" width="5.5703125" style="568" customWidth="1"/>
    <col min="8218" max="8218" width="5.42578125" style="568" customWidth="1"/>
    <col min="8219" max="8219" width="5.140625" style="568" customWidth="1"/>
    <col min="8220" max="8220" width="7.42578125" style="568" customWidth="1"/>
    <col min="8221" max="8221" width="7.140625" style="568" customWidth="1"/>
    <col min="8222" max="8222" width="6.5703125" style="568" bestFit="1" customWidth="1"/>
    <col min="8223" max="8223" width="9.140625" style="568" bestFit="1" customWidth="1"/>
    <col min="8224" max="8224" width="8.140625" style="568" bestFit="1" customWidth="1"/>
    <col min="8225" max="8226" width="5.42578125" style="568" customWidth="1"/>
    <col min="8227" max="8227" width="9.85546875" style="568" customWidth="1"/>
    <col min="8228" max="8228" width="4.85546875" style="568" customWidth="1"/>
    <col min="8229" max="8229" width="10" style="568" customWidth="1"/>
    <col min="8230" max="8230" width="13.42578125" style="568" customWidth="1"/>
    <col min="8231" max="8441" width="11.42578125" style="568"/>
    <col min="8442" max="8442" width="0" style="568" hidden="1" customWidth="1"/>
    <col min="8443" max="8443" width="0.28515625" style="568" customWidth="1"/>
    <col min="8444" max="8444" width="5" style="568" customWidth="1"/>
    <col min="8445" max="8445" width="8.140625" style="568" bestFit="1" customWidth="1"/>
    <col min="8446" max="8446" width="14.140625" style="568" bestFit="1" customWidth="1"/>
    <col min="8447" max="8447" width="22.42578125" style="568" customWidth="1"/>
    <col min="8448" max="8448" width="7" style="568" bestFit="1" customWidth="1"/>
    <col min="8449" max="8449" width="13.7109375" style="568" customWidth="1"/>
    <col min="8450" max="8450" width="22.42578125" style="568" customWidth="1"/>
    <col min="8451" max="8451" width="20.42578125" style="568" customWidth="1"/>
    <col min="8452" max="8453" width="8.42578125" style="568" customWidth="1"/>
    <col min="8454" max="8454" width="8" style="568" customWidth="1"/>
    <col min="8455" max="8456" width="5" style="568" customWidth="1"/>
    <col min="8457" max="8457" width="5.140625" style="568" customWidth="1"/>
    <col min="8458" max="8458" width="6.42578125" style="568" customWidth="1"/>
    <col min="8459" max="8460" width="6.5703125" style="568" bestFit="1" customWidth="1"/>
    <col min="8461" max="8462" width="5.28515625" style="568" customWidth="1"/>
    <col min="8463" max="8463" width="5" style="568" customWidth="1"/>
    <col min="8464" max="8464" width="7.7109375" style="568" customWidth="1"/>
    <col min="8465" max="8465" width="6.85546875" style="568" customWidth="1"/>
    <col min="8466" max="8466" width="6.5703125" style="568" bestFit="1" customWidth="1"/>
    <col min="8467" max="8467" width="5.42578125" style="568" customWidth="1"/>
    <col min="8468" max="8468" width="5.28515625" style="568" customWidth="1"/>
    <col min="8469" max="8469" width="5.42578125" style="568" customWidth="1"/>
    <col min="8470" max="8470" width="7.42578125" style="568" customWidth="1"/>
    <col min="8471" max="8471" width="7.140625" style="568" customWidth="1"/>
    <col min="8472" max="8472" width="7.7109375" style="568" customWidth="1"/>
    <col min="8473" max="8473" width="5.5703125" style="568" customWidth="1"/>
    <col min="8474" max="8474" width="5.42578125" style="568" customWidth="1"/>
    <col min="8475" max="8475" width="5.140625" style="568" customWidth="1"/>
    <col min="8476" max="8476" width="7.42578125" style="568" customWidth="1"/>
    <col min="8477" max="8477" width="7.140625" style="568" customWidth="1"/>
    <col min="8478" max="8478" width="6.5703125" style="568" bestFit="1" customWidth="1"/>
    <col min="8479" max="8479" width="9.140625" style="568" bestFit="1" customWidth="1"/>
    <col min="8480" max="8480" width="8.140625" style="568" bestFit="1" customWidth="1"/>
    <col min="8481" max="8482" width="5.42578125" style="568" customWidth="1"/>
    <col min="8483" max="8483" width="9.85546875" style="568" customWidth="1"/>
    <col min="8484" max="8484" width="4.85546875" style="568" customWidth="1"/>
    <col min="8485" max="8485" width="10" style="568" customWidth="1"/>
    <col min="8486" max="8486" width="13.42578125" style="568" customWidth="1"/>
    <col min="8487" max="8697" width="11.42578125" style="568"/>
    <col min="8698" max="8698" width="0" style="568" hidden="1" customWidth="1"/>
    <col min="8699" max="8699" width="0.28515625" style="568" customWidth="1"/>
    <col min="8700" max="8700" width="5" style="568" customWidth="1"/>
    <col min="8701" max="8701" width="8.140625" style="568" bestFit="1" customWidth="1"/>
    <col min="8702" max="8702" width="14.140625" style="568" bestFit="1" customWidth="1"/>
    <col min="8703" max="8703" width="22.42578125" style="568" customWidth="1"/>
    <col min="8704" max="8704" width="7" style="568" bestFit="1" customWidth="1"/>
    <col min="8705" max="8705" width="13.7109375" style="568" customWidth="1"/>
    <col min="8706" max="8706" width="22.42578125" style="568" customWidth="1"/>
    <col min="8707" max="8707" width="20.42578125" style="568" customWidth="1"/>
    <col min="8708" max="8709" width="8.42578125" style="568" customWidth="1"/>
    <col min="8710" max="8710" width="8" style="568" customWidth="1"/>
    <col min="8711" max="8712" width="5" style="568" customWidth="1"/>
    <col min="8713" max="8713" width="5.140625" style="568" customWidth="1"/>
    <col min="8714" max="8714" width="6.42578125" style="568" customWidth="1"/>
    <col min="8715" max="8716" width="6.5703125" style="568" bestFit="1" customWidth="1"/>
    <col min="8717" max="8718" width="5.28515625" style="568" customWidth="1"/>
    <col min="8719" max="8719" width="5" style="568" customWidth="1"/>
    <col min="8720" max="8720" width="7.7109375" style="568" customWidth="1"/>
    <col min="8721" max="8721" width="6.85546875" style="568" customWidth="1"/>
    <col min="8722" max="8722" width="6.5703125" style="568" bestFit="1" customWidth="1"/>
    <col min="8723" max="8723" width="5.42578125" style="568" customWidth="1"/>
    <col min="8724" max="8724" width="5.28515625" style="568" customWidth="1"/>
    <col min="8725" max="8725" width="5.42578125" style="568" customWidth="1"/>
    <col min="8726" max="8726" width="7.42578125" style="568" customWidth="1"/>
    <col min="8727" max="8727" width="7.140625" style="568" customWidth="1"/>
    <col min="8728" max="8728" width="7.7109375" style="568" customWidth="1"/>
    <col min="8729" max="8729" width="5.5703125" style="568" customWidth="1"/>
    <col min="8730" max="8730" width="5.42578125" style="568" customWidth="1"/>
    <col min="8731" max="8731" width="5.140625" style="568" customWidth="1"/>
    <col min="8732" max="8732" width="7.42578125" style="568" customWidth="1"/>
    <col min="8733" max="8733" width="7.140625" style="568" customWidth="1"/>
    <col min="8734" max="8734" width="6.5703125" style="568" bestFit="1" customWidth="1"/>
    <col min="8735" max="8735" width="9.140625" style="568" bestFit="1" customWidth="1"/>
    <col min="8736" max="8736" width="8.140625" style="568" bestFit="1" customWidth="1"/>
    <col min="8737" max="8738" width="5.42578125" style="568" customWidth="1"/>
    <col min="8739" max="8739" width="9.85546875" style="568" customWidth="1"/>
    <col min="8740" max="8740" width="4.85546875" style="568" customWidth="1"/>
    <col min="8741" max="8741" width="10" style="568" customWidth="1"/>
    <col min="8742" max="8742" width="13.42578125" style="568" customWidth="1"/>
    <col min="8743" max="8953" width="11.42578125" style="568"/>
    <col min="8954" max="8954" width="0" style="568" hidden="1" customWidth="1"/>
    <col min="8955" max="8955" width="0.28515625" style="568" customWidth="1"/>
    <col min="8956" max="8956" width="5" style="568" customWidth="1"/>
    <col min="8957" max="8957" width="8.140625" style="568" bestFit="1" customWidth="1"/>
    <col min="8958" max="8958" width="14.140625" style="568" bestFit="1" customWidth="1"/>
    <col min="8959" max="8959" width="22.42578125" style="568" customWidth="1"/>
    <col min="8960" max="8960" width="7" style="568" bestFit="1" customWidth="1"/>
    <col min="8961" max="8961" width="13.7109375" style="568" customWidth="1"/>
    <col min="8962" max="8962" width="22.42578125" style="568" customWidth="1"/>
    <col min="8963" max="8963" width="20.42578125" style="568" customWidth="1"/>
    <col min="8964" max="8965" width="8.42578125" style="568" customWidth="1"/>
    <col min="8966" max="8966" width="8" style="568" customWidth="1"/>
    <col min="8967" max="8968" width="5" style="568" customWidth="1"/>
    <col min="8969" max="8969" width="5.140625" style="568" customWidth="1"/>
    <col min="8970" max="8970" width="6.42578125" style="568" customWidth="1"/>
    <col min="8971" max="8972" width="6.5703125" style="568" bestFit="1" customWidth="1"/>
    <col min="8973" max="8974" width="5.28515625" style="568" customWidth="1"/>
    <col min="8975" max="8975" width="5" style="568" customWidth="1"/>
    <col min="8976" max="8976" width="7.7109375" style="568" customWidth="1"/>
    <col min="8977" max="8977" width="6.85546875" style="568" customWidth="1"/>
    <col min="8978" max="8978" width="6.5703125" style="568" bestFit="1" customWidth="1"/>
    <col min="8979" max="8979" width="5.42578125" style="568" customWidth="1"/>
    <col min="8980" max="8980" width="5.28515625" style="568" customWidth="1"/>
    <col min="8981" max="8981" width="5.42578125" style="568" customWidth="1"/>
    <col min="8982" max="8982" width="7.42578125" style="568" customWidth="1"/>
    <col min="8983" max="8983" width="7.140625" style="568" customWidth="1"/>
    <col min="8984" max="8984" width="7.7109375" style="568" customWidth="1"/>
    <col min="8985" max="8985" width="5.5703125" style="568" customWidth="1"/>
    <col min="8986" max="8986" width="5.42578125" style="568" customWidth="1"/>
    <col min="8987" max="8987" width="5.140625" style="568" customWidth="1"/>
    <col min="8988" max="8988" width="7.42578125" style="568" customWidth="1"/>
    <col min="8989" max="8989" width="7.140625" style="568" customWidth="1"/>
    <col min="8990" max="8990" width="6.5703125" style="568" bestFit="1" customWidth="1"/>
    <col min="8991" max="8991" width="9.140625" style="568" bestFit="1" customWidth="1"/>
    <col min="8992" max="8992" width="8.140625" style="568" bestFit="1" customWidth="1"/>
    <col min="8993" max="8994" width="5.42578125" style="568" customWidth="1"/>
    <col min="8995" max="8995" width="9.85546875" style="568" customWidth="1"/>
    <col min="8996" max="8996" width="4.85546875" style="568" customWidth="1"/>
    <col min="8997" max="8997" width="10" style="568" customWidth="1"/>
    <col min="8998" max="8998" width="13.42578125" style="568" customWidth="1"/>
    <col min="8999" max="9209" width="11.42578125" style="568"/>
    <col min="9210" max="9210" width="0" style="568" hidden="1" customWidth="1"/>
    <col min="9211" max="9211" width="0.28515625" style="568" customWidth="1"/>
    <col min="9212" max="9212" width="5" style="568" customWidth="1"/>
    <col min="9213" max="9213" width="8.140625" style="568" bestFit="1" customWidth="1"/>
    <col min="9214" max="9214" width="14.140625" style="568" bestFit="1" customWidth="1"/>
    <col min="9215" max="9215" width="22.42578125" style="568" customWidth="1"/>
    <col min="9216" max="9216" width="7" style="568" bestFit="1" customWidth="1"/>
    <col min="9217" max="9217" width="13.7109375" style="568" customWidth="1"/>
    <col min="9218" max="9218" width="22.42578125" style="568" customWidth="1"/>
    <col min="9219" max="9219" width="20.42578125" style="568" customWidth="1"/>
    <col min="9220" max="9221" width="8.42578125" style="568" customWidth="1"/>
    <col min="9222" max="9222" width="8" style="568" customWidth="1"/>
    <col min="9223" max="9224" width="5" style="568" customWidth="1"/>
    <col min="9225" max="9225" width="5.140625" style="568" customWidth="1"/>
    <col min="9226" max="9226" width="6.42578125" style="568" customWidth="1"/>
    <col min="9227" max="9228" width="6.5703125" style="568" bestFit="1" customWidth="1"/>
    <col min="9229" max="9230" width="5.28515625" style="568" customWidth="1"/>
    <col min="9231" max="9231" width="5" style="568" customWidth="1"/>
    <col min="9232" max="9232" width="7.7109375" style="568" customWidth="1"/>
    <col min="9233" max="9233" width="6.85546875" style="568" customWidth="1"/>
    <col min="9234" max="9234" width="6.5703125" style="568" bestFit="1" customWidth="1"/>
    <col min="9235" max="9235" width="5.42578125" style="568" customWidth="1"/>
    <col min="9236" max="9236" width="5.28515625" style="568" customWidth="1"/>
    <col min="9237" max="9237" width="5.42578125" style="568" customWidth="1"/>
    <col min="9238" max="9238" width="7.42578125" style="568" customWidth="1"/>
    <col min="9239" max="9239" width="7.140625" style="568" customWidth="1"/>
    <col min="9240" max="9240" width="7.7109375" style="568" customWidth="1"/>
    <col min="9241" max="9241" width="5.5703125" style="568" customWidth="1"/>
    <col min="9242" max="9242" width="5.42578125" style="568" customWidth="1"/>
    <col min="9243" max="9243" width="5.140625" style="568" customWidth="1"/>
    <col min="9244" max="9244" width="7.42578125" style="568" customWidth="1"/>
    <col min="9245" max="9245" width="7.140625" style="568" customWidth="1"/>
    <col min="9246" max="9246" width="6.5703125" style="568" bestFit="1" customWidth="1"/>
    <col min="9247" max="9247" width="9.140625" style="568" bestFit="1" customWidth="1"/>
    <col min="9248" max="9248" width="8.140625" style="568" bestFit="1" customWidth="1"/>
    <col min="9249" max="9250" width="5.42578125" style="568" customWidth="1"/>
    <col min="9251" max="9251" width="9.85546875" style="568" customWidth="1"/>
    <col min="9252" max="9252" width="4.85546875" style="568" customWidth="1"/>
    <col min="9253" max="9253" width="10" style="568" customWidth="1"/>
    <col min="9254" max="9254" width="13.42578125" style="568" customWidth="1"/>
    <col min="9255" max="9465" width="11.42578125" style="568"/>
    <col min="9466" max="9466" width="0" style="568" hidden="1" customWidth="1"/>
    <col min="9467" max="9467" width="0.28515625" style="568" customWidth="1"/>
    <col min="9468" max="9468" width="5" style="568" customWidth="1"/>
    <col min="9469" max="9469" width="8.140625" style="568" bestFit="1" customWidth="1"/>
    <col min="9470" max="9470" width="14.140625" style="568" bestFit="1" customWidth="1"/>
    <col min="9471" max="9471" width="22.42578125" style="568" customWidth="1"/>
    <col min="9472" max="9472" width="7" style="568" bestFit="1" customWidth="1"/>
    <col min="9473" max="9473" width="13.7109375" style="568" customWidth="1"/>
    <col min="9474" max="9474" width="22.42578125" style="568" customWidth="1"/>
    <col min="9475" max="9475" width="20.42578125" style="568" customWidth="1"/>
    <col min="9476" max="9477" width="8.42578125" style="568" customWidth="1"/>
    <col min="9478" max="9478" width="8" style="568" customWidth="1"/>
    <col min="9479" max="9480" width="5" style="568" customWidth="1"/>
    <col min="9481" max="9481" width="5.140625" style="568" customWidth="1"/>
    <col min="9482" max="9482" width="6.42578125" style="568" customWidth="1"/>
    <col min="9483" max="9484" width="6.5703125" style="568" bestFit="1" customWidth="1"/>
    <col min="9485" max="9486" width="5.28515625" style="568" customWidth="1"/>
    <col min="9487" max="9487" width="5" style="568" customWidth="1"/>
    <col min="9488" max="9488" width="7.7109375" style="568" customWidth="1"/>
    <col min="9489" max="9489" width="6.85546875" style="568" customWidth="1"/>
    <col min="9490" max="9490" width="6.5703125" style="568" bestFit="1" customWidth="1"/>
    <col min="9491" max="9491" width="5.42578125" style="568" customWidth="1"/>
    <col min="9492" max="9492" width="5.28515625" style="568" customWidth="1"/>
    <col min="9493" max="9493" width="5.42578125" style="568" customWidth="1"/>
    <col min="9494" max="9494" width="7.42578125" style="568" customWidth="1"/>
    <col min="9495" max="9495" width="7.140625" style="568" customWidth="1"/>
    <col min="9496" max="9496" width="7.7109375" style="568" customWidth="1"/>
    <col min="9497" max="9497" width="5.5703125" style="568" customWidth="1"/>
    <col min="9498" max="9498" width="5.42578125" style="568" customWidth="1"/>
    <col min="9499" max="9499" width="5.140625" style="568" customWidth="1"/>
    <col min="9500" max="9500" width="7.42578125" style="568" customWidth="1"/>
    <col min="9501" max="9501" width="7.140625" style="568" customWidth="1"/>
    <col min="9502" max="9502" width="6.5703125" style="568" bestFit="1" customWidth="1"/>
    <col min="9503" max="9503" width="9.140625" style="568" bestFit="1" customWidth="1"/>
    <col min="9504" max="9504" width="8.140625" style="568" bestFit="1" customWidth="1"/>
    <col min="9505" max="9506" width="5.42578125" style="568" customWidth="1"/>
    <col min="9507" max="9507" width="9.85546875" style="568" customWidth="1"/>
    <col min="9508" max="9508" width="4.85546875" style="568" customWidth="1"/>
    <col min="9509" max="9509" width="10" style="568" customWidth="1"/>
    <col min="9510" max="9510" width="13.42578125" style="568" customWidth="1"/>
    <col min="9511" max="9721" width="11.42578125" style="568"/>
    <col min="9722" max="9722" width="0" style="568" hidden="1" customWidth="1"/>
    <col min="9723" max="9723" width="0.28515625" style="568" customWidth="1"/>
    <col min="9724" max="9724" width="5" style="568" customWidth="1"/>
    <col min="9725" max="9725" width="8.140625" style="568" bestFit="1" customWidth="1"/>
    <col min="9726" max="9726" width="14.140625" style="568" bestFit="1" customWidth="1"/>
    <col min="9727" max="9727" width="22.42578125" style="568" customWidth="1"/>
    <col min="9728" max="9728" width="7" style="568" bestFit="1" customWidth="1"/>
    <col min="9729" max="9729" width="13.7109375" style="568" customWidth="1"/>
    <col min="9730" max="9730" width="22.42578125" style="568" customWidth="1"/>
    <col min="9731" max="9731" width="20.42578125" style="568" customWidth="1"/>
    <col min="9732" max="9733" width="8.42578125" style="568" customWidth="1"/>
    <col min="9734" max="9734" width="8" style="568" customWidth="1"/>
    <col min="9735" max="9736" width="5" style="568" customWidth="1"/>
    <col min="9737" max="9737" width="5.140625" style="568" customWidth="1"/>
    <col min="9738" max="9738" width="6.42578125" style="568" customWidth="1"/>
    <col min="9739" max="9740" width="6.5703125" style="568" bestFit="1" customWidth="1"/>
    <col min="9741" max="9742" width="5.28515625" style="568" customWidth="1"/>
    <col min="9743" max="9743" width="5" style="568" customWidth="1"/>
    <col min="9744" max="9744" width="7.7109375" style="568" customWidth="1"/>
    <col min="9745" max="9745" width="6.85546875" style="568" customWidth="1"/>
    <col min="9746" max="9746" width="6.5703125" style="568" bestFit="1" customWidth="1"/>
    <col min="9747" max="9747" width="5.42578125" style="568" customWidth="1"/>
    <col min="9748" max="9748" width="5.28515625" style="568" customWidth="1"/>
    <col min="9749" max="9749" width="5.42578125" style="568" customWidth="1"/>
    <col min="9750" max="9750" width="7.42578125" style="568" customWidth="1"/>
    <col min="9751" max="9751" width="7.140625" style="568" customWidth="1"/>
    <col min="9752" max="9752" width="7.7109375" style="568" customWidth="1"/>
    <col min="9753" max="9753" width="5.5703125" style="568" customWidth="1"/>
    <col min="9754" max="9754" width="5.42578125" style="568" customWidth="1"/>
    <col min="9755" max="9755" width="5.140625" style="568" customWidth="1"/>
    <col min="9756" max="9756" width="7.42578125" style="568" customWidth="1"/>
    <col min="9757" max="9757" width="7.140625" style="568" customWidth="1"/>
    <col min="9758" max="9758" width="6.5703125" style="568" bestFit="1" customWidth="1"/>
    <col min="9759" max="9759" width="9.140625" style="568" bestFit="1" customWidth="1"/>
    <col min="9760" max="9760" width="8.140625" style="568" bestFit="1" customWidth="1"/>
    <col min="9761" max="9762" width="5.42578125" style="568" customWidth="1"/>
    <col min="9763" max="9763" width="9.85546875" style="568" customWidth="1"/>
    <col min="9764" max="9764" width="4.85546875" style="568" customWidth="1"/>
    <col min="9765" max="9765" width="10" style="568" customWidth="1"/>
    <col min="9766" max="9766" width="13.42578125" style="568" customWidth="1"/>
    <col min="9767" max="9977" width="11.42578125" style="568"/>
    <col min="9978" max="9978" width="0" style="568" hidden="1" customWidth="1"/>
    <col min="9979" max="9979" width="0.28515625" style="568" customWidth="1"/>
    <col min="9980" max="9980" width="5" style="568" customWidth="1"/>
    <col min="9981" max="9981" width="8.140625" style="568" bestFit="1" customWidth="1"/>
    <col min="9982" max="9982" width="14.140625" style="568" bestFit="1" customWidth="1"/>
    <col min="9983" max="9983" width="22.42578125" style="568" customWidth="1"/>
    <col min="9984" max="9984" width="7" style="568" bestFit="1" customWidth="1"/>
    <col min="9985" max="9985" width="13.7109375" style="568" customWidth="1"/>
    <col min="9986" max="9986" width="22.42578125" style="568" customWidth="1"/>
    <col min="9987" max="9987" width="20.42578125" style="568" customWidth="1"/>
    <col min="9988" max="9989" width="8.42578125" style="568" customWidth="1"/>
    <col min="9990" max="9990" width="8" style="568" customWidth="1"/>
    <col min="9991" max="9992" width="5" style="568" customWidth="1"/>
    <col min="9993" max="9993" width="5.140625" style="568" customWidth="1"/>
    <col min="9994" max="9994" width="6.42578125" style="568" customWidth="1"/>
    <col min="9995" max="9996" width="6.5703125" style="568" bestFit="1" customWidth="1"/>
    <col min="9997" max="9998" width="5.28515625" style="568" customWidth="1"/>
    <col min="9999" max="9999" width="5" style="568" customWidth="1"/>
    <col min="10000" max="10000" width="7.7109375" style="568" customWidth="1"/>
    <col min="10001" max="10001" width="6.85546875" style="568" customWidth="1"/>
    <col min="10002" max="10002" width="6.5703125" style="568" bestFit="1" customWidth="1"/>
    <col min="10003" max="10003" width="5.42578125" style="568" customWidth="1"/>
    <col min="10004" max="10004" width="5.28515625" style="568" customWidth="1"/>
    <col min="10005" max="10005" width="5.42578125" style="568" customWidth="1"/>
    <col min="10006" max="10006" width="7.42578125" style="568" customWidth="1"/>
    <col min="10007" max="10007" width="7.140625" style="568" customWidth="1"/>
    <col min="10008" max="10008" width="7.7109375" style="568" customWidth="1"/>
    <col min="10009" max="10009" width="5.5703125" style="568" customWidth="1"/>
    <col min="10010" max="10010" width="5.42578125" style="568" customWidth="1"/>
    <col min="10011" max="10011" width="5.140625" style="568" customWidth="1"/>
    <col min="10012" max="10012" width="7.42578125" style="568" customWidth="1"/>
    <col min="10013" max="10013" width="7.140625" style="568" customWidth="1"/>
    <col min="10014" max="10014" width="6.5703125" style="568" bestFit="1" customWidth="1"/>
    <col min="10015" max="10015" width="9.140625" style="568" bestFit="1" customWidth="1"/>
    <col min="10016" max="10016" width="8.140625" style="568" bestFit="1" customWidth="1"/>
    <col min="10017" max="10018" width="5.42578125" style="568" customWidth="1"/>
    <col min="10019" max="10019" width="9.85546875" style="568" customWidth="1"/>
    <col min="10020" max="10020" width="4.85546875" style="568" customWidth="1"/>
    <col min="10021" max="10021" width="10" style="568" customWidth="1"/>
    <col min="10022" max="10022" width="13.42578125" style="568" customWidth="1"/>
    <col min="10023" max="10233" width="11.42578125" style="568"/>
    <col min="10234" max="10234" width="0" style="568" hidden="1" customWidth="1"/>
    <col min="10235" max="10235" width="0.28515625" style="568" customWidth="1"/>
    <col min="10236" max="10236" width="5" style="568" customWidth="1"/>
    <col min="10237" max="10237" width="8.140625" style="568" bestFit="1" customWidth="1"/>
    <col min="10238" max="10238" width="14.140625" style="568" bestFit="1" customWidth="1"/>
    <col min="10239" max="10239" width="22.42578125" style="568" customWidth="1"/>
    <col min="10240" max="10240" width="7" style="568" bestFit="1" customWidth="1"/>
    <col min="10241" max="10241" width="13.7109375" style="568" customWidth="1"/>
    <col min="10242" max="10242" width="22.42578125" style="568" customWidth="1"/>
    <col min="10243" max="10243" width="20.42578125" style="568" customWidth="1"/>
    <col min="10244" max="10245" width="8.42578125" style="568" customWidth="1"/>
    <col min="10246" max="10246" width="8" style="568" customWidth="1"/>
    <col min="10247" max="10248" width="5" style="568" customWidth="1"/>
    <col min="10249" max="10249" width="5.140625" style="568" customWidth="1"/>
    <col min="10250" max="10250" width="6.42578125" style="568" customWidth="1"/>
    <col min="10251" max="10252" width="6.5703125" style="568" bestFit="1" customWidth="1"/>
    <col min="10253" max="10254" width="5.28515625" style="568" customWidth="1"/>
    <col min="10255" max="10255" width="5" style="568" customWidth="1"/>
    <col min="10256" max="10256" width="7.7109375" style="568" customWidth="1"/>
    <col min="10257" max="10257" width="6.85546875" style="568" customWidth="1"/>
    <col min="10258" max="10258" width="6.5703125" style="568" bestFit="1" customWidth="1"/>
    <col min="10259" max="10259" width="5.42578125" style="568" customWidth="1"/>
    <col min="10260" max="10260" width="5.28515625" style="568" customWidth="1"/>
    <col min="10261" max="10261" width="5.42578125" style="568" customWidth="1"/>
    <col min="10262" max="10262" width="7.42578125" style="568" customWidth="1"/>
    <col min="10263" max="10263" width="7.140625" style="568" customWidth="1"/>
    <col min="10264" max="10264" width="7.7109375" style="568" customWidth="1"/>
    <col min="10265" max="10265" width="5.5703125" style="568" customWidth="1"/>
    <col min="10266" max="10266" width="5.42578125" style="568" customWidth="1"/>
    <col min="10267" max="10267" width="5.140625" style="568" customWidth="1"/>
    <col min="10268" max="10268" width="7.42578125" style="568" customWidth="1"/>
    <col min="10269" max="10269" width="7.140625" style="568" customWidth="1"/>
    <col min="10270" max="10270" width="6.5703125" style="568" bestFit="1" customWidth="1"/>
    <col min="10271" max="10271" width="9.140625" style="568" bestFit="1" customWidth="1"/>
    <col min="10272" max="10272" width="8.140625" style="568" bestFit="1" customWidth="1"/>
    <col min="10273" max="10274" width="5.42578125" style="568" customWidth="1"/>
    <col min="10275" max="10275" width="9.85546875" style="568" customWidth="1"/>
    <col min="10276" max="10276" width="4.85546875" style="568" customWidth="1"/>
    <col min="10277" max="10277" width="10" style="568" customWidth="1"/>
    <col min="10278" max="10278" width="13.42578125" style="568" customWidth="1"/>
    <col min="10279" max="10489" width="11.42578125" style="568"/>
    <col min="10490" max="10490" width="0" style="568" hidden="1" customWidth="1"/>
    <col min="10491" max="10491" width="0.28515625" style="568" customWidth="1"/>
    <col min="10492" max="10492" width="5" style="568" customWidth="1"/>
    <col min="10493" max="10493" width="8.140625" style="568" bestFit="1" customWidth="1"/>
    <col min="10494" max="10494" width="14.140625" style="568" bestFit="1" customWidth="1"/>
    <col min="10495" max="10495" width="22.42578125" style="568" customWidth="1"/>
    <col min="10496" max="10496" width="7" style="568" bestFit="1" customWidth="1"/>
    <col min="10497" max="10497" width="13.7109375" style="568" customWidth="1"/>
    <col min="10498" max="10498" width="22.42578125" style="568" customWidth="1"/>
    <col min="10499" max="10499" width="20.42578125" style="568" customWidth="1"/>
    <col min="10500" max="10501" width="8.42578125" style="568" customWidth="1"/>
    <col min="10502" max="10502" width="8" style="568" customWidth="1"/>
    <col min="10503" max="10504" width="5" style="568" customWidth="1"/>
    <col min="10505" max="10505" width="5.140625" style="568" customWidth="1"/>
    <col min="10506" max="10506" width="6.42578125" style="568" customWidth="1"/>
    <col min="10507" max="10508" width="6.5703125" style="568" bestFit="1" customWidth="1"/>
    <col min="10509" max="10510" width="5.28515625" style="568" customWidth="1"/>
    <col min="10511" max="10511" width="5" style="568" customWidth="1"/>
    <col min="10512" max="10512" width="7.7109375" style="568" customWidth="1"/>
    <col min="10513" max="10513" width="6.85546875" style="568" customWidth="1"/>
    <col min="10514" max="10514" width="6.5703125" style="568" bestFit="1" customWidth="1"/>
    <col min="10515" max="10515" width="5.42578125" style="568" customWidth="1"/>
    <col min="10516" max="10516" width="5.28515625" style="568" customWidth="1"/>
    <col min="10517" max="10517" width="5.42578125" style="568" customWidth="1"/>
    <col min="10518" max="10518" width="7.42578125" style="568" customWidth="1"/>
    <col min="10519" max="10519" width="7.140625" style="568" customWidth="1"/>
    <col min="10520" max="10520" width="7.7109375" style="568" customWidth="1"/>
    <col min="10521" max="10521" width="5.5703125" style="568" customWidth="1"/>
    <col min="10522" max="10522" width="5.42578125" style="568" customWidth="1"/>
    <col min="10523" max="10523" width="5.140625" style="568" customWidth="1"/>
    <col min="10524" max="10524" width="7.42578125" style="568" customWidth="1"/>
    <col min="10525" max="10525" width="7.140625" style="568" customWidth="1"/>
    <col min="10526" max="10526" width="6.5703125" style="568" bestFit="1" customWidth="1"/>
    <col min="10527" max="10527" width="9.140625" style="568" bestFit="1" customWidth="1"/>
    <col min="10528" max="10528" width="8.140625" style="568" bestFit="1" customWidth="1"/>
    <col min="10529" max="10530" width="5.42578125" style="568" customWidth="1"/>
    <col min="10531" max="10531" width="9.85546875" style="568" customWidth="1"/>
    <col min="10532" max="10532" width="4.85546875" style="568" customWidth="1"/>
    <col min="10533" max="10533" width="10" style="568" customWidth="1"/>
    <col min="10534" max="10534" width="13.42578125" style="568" customWidth="1"/>
    <col min="10535" max="10745" width="11.42578125" style="568"/>
    <col min="10746" max="10746" width="0" style="568" hidden="1" customWidth="1"/>
    <col min="10747" max="10747" width="0.28515625" style="568" customWidth="1"/>
    <col min="10748" max="10748" width="5" style="568" customWidth="1"/>
    <col min="10749" max="10749" width="8.140625" style="568" bestFit="1" customWidth="1"/>
    <col min="10750" max="10750" width="14.140625" style="568" bestFit="1" customWidth="1"/>
    <col min="10751" max="10751" width="22.42578125" style="568" customWidth="1"/>
    <col min="10752" max="10752" width="7" style="568" bestFit="1" customWidth="1"/>
    <col min="10753" max="10753" width="13.7109375" style="568" customWidth="1"/>
    <col min="10754" max="10754" width="22.42578125" style="568" customWidth="1"/>
    <col min="10755" max="10755" width="20.42578125" style="568" customWidth="1"/>
    <col min="10756" max="10757" width="8.42578125" style="568" customWidth="1"/>
    <col min="10758" max="10758" width="8" style="568" customWidth="1"/>
    <col min="10759" max="10760" width="5" style="568" customWidth="1"/>
    <col min="10761" max="10761" width="5.140625" style="568" customWidth="1"/>
    <col min="10762" max="10762" width="6.42578125" style="568" customWidth="1"/>
    <col min="10763" max="10764" width="6.5703125" style="568" bestFit="1" customWidth="1"/>
    <col min="10765" max="10766" width="5.28515625" style="568" customWidth="1"/>
    <col min="10767" max="10767" width="5" style="568" customWidth="1"/>
    <col min="10768" max="10768" width="7.7109375" style="568" customWidth="1"/>
    <col min="10769" max="10769" width="6.85546875" style="568" customWidth="1"/>
    <col min="10770" max="10770" width="6.5703125" style="568" bestFit="1" customWidth="1"/>
    <col min="10771" max="10771" width="5.42578125" style="568" customWidth="1"/>
    <col min="10772" max="10772" width="5.28515625" style="568" customWidth="1"/>
    <col min="10773" max="10773" width="5.42578125" style="568" customWidth="1"/>
    <col min="10774" max="10774" width="7.42578125" style="568" customWidth="1"/>
    <col min="10775" max="10775" width="7.140625" style="568" customWidth="1"/>
    <col min="10776" max="10776" width="7.7109375" style="568" customWidth="1"/>
    <col min="10777" max="10777" width="5.5703125" style="568" customWidth="1"/>
    <col min="10778" max="10778" width="5.42578125" style="568" customWidth="1"/>
    <col min="10779" max="10779" width="5.140625" style="568" customWidth="1"/>
    <col min="10780" max="10780" width="7.42578125" style="568" customWidth="1"/>
    <col min="10781" max="10781" width="7.140625" style="568" customWidth="1"/>
    <col min="10782" max="10782" width="6.5703125" style="568" bestFit="1" customWidth="1"/>
    <col min="10783" max="10783" width="9.140625" style="568" bestFit="1" customWidth="1"/>
    <col min="10784" max="10784" width="8.140625" style="568" bestFit="1" customWidth="1"/>
    <col min="10785" max="10786" width="5.42578125" style="568" customWidth="1"/>
    <col min="10787" max="10787" width="9.85546875" style="568" customWidth="1"/>
    <col min="10788" max="10788" width="4.85546875" style="568" customWidth="1"/>
    <col min="10789" max="10789" width="10" style="568" customWidth="1"/>
    <col min="10790" max="10790" width="13.42578125" style="568" customWidth="1"/>
    <col min="10791" max="11001" width="11.42578125" style="568"/>
    <col min="11002" max="11002" width="0" style="568" hidden="1" customWidth="1"/>
    <col min="11003" max="11003" width="0.28515625" style="568" customWidth="1"/>
    <col min="11004" max="11004" width="5" style="568" customWidth="1"/>
    <col min="11005" max="11005" width="8.140625" style="568" bestFit="1" customWidth="1"/>
    <col min="11006" max="11006" width="14.140625" style="568" bestFit="1" customWidth="1"/>
    <col min="11007" max="11007" width="22.42578125" style="568" customWidth="1"/>
    <col min="11008" max="11008" width="7" style="568" bestFit="1" customWidth="1"/>
    <col min="11009" max="11009" width="13.7109375" style="568" customWidth="1"/>
    <col min="11010" max="11010" width="22.42578125" style="568" customWidth="1"/>
    <col min="11011" max="11011" width="20.42578125" style="568" customWidth="1"/>
    <col min="11012" max="11013" width="8.42578125" style="568" customWidth="1"/>
    <col min="11014" max="11014" width="8" style="568" customWidth="1"/>
    <col min="11015" max="11016" width="5" style="568" customWidth="1"/>
    <col min="11017" max="11017" width="5.140625" style="568" customWidth="1"/>
    <col min="11018" max="11018" width="6.42578125" style="568" customWidth="1"/>
    <col min="11019" max="11020" width="6.5703125" style="568" bestFit="1" customWidth="1"/>
    <col min="11021" max="11022" width="5.28515625" style="568" customWidth="1"/>
    <col min="11023" max="11023" width="5" style="568" customWidth="1"/>
    <col min="11024" max="11024" width="7.7109375" style="568" customWidth="1"/>
    <col min="11025" max="11025" width="6.85546875" style="568" customWidth="1"/>
    <col min="11026" max="11026" width="6.5703125" style="568" bestFit="1" customWidth="1"/>
    <col min="11027" max="11027" width="5.42578125" style="568" customWidth="1"/>
    <col min="11028" max="11028" width="5.28515625" style="568" customWidth="1"/>
    <col min="11029" max="11029" width="5.42578125" style="568" customWidth="1"/>
    <col min="11030" max="11030" width="7.42578125" style="568" customWidth="1"/>
    <col min="11031" max="11031" width="7.140625" style="568" customWidth="1"/>
    <col min="11032" max="11032" width="7.7109375" style="568" customWidth="1"/>
    <col min="11033" max="11033" width="5.5703125" style="568" customWidth="1"/>
    <col min="11034" max="11034" width="5.42578125" style="568" customWidth="1"/>
    <col min="11035" max="11035" width="5.140625" style="568" customWidth="1"/>
    <col min="11036" max="11036" width="7.42578125" style="568" customWidth="1"/>
    <col min="11037" max="11037" width="7.140625" style="568" customWidth="1"/>
    <col min="11038" max="11038" width="6.5703125" style="568" bestFit="1" customWidth="1"/>
    <col min="11039" max="11039" width="9.140625" style="568" bestFit="1" customWidth="1"/>
    <col min="11040" max="11040" width="8.140625" style="568" bestFit="1" customWidth="1"/>
    <col min="11041" max="11042" width="5.42578125" style="568" customWidth="1"/>
    <col min="11043" max="11043" width="9.85546875" style="568" customWidth="1"/>
    <col min="11044" max="11044" width="4.85546875" style="568" customWidth="1"/>
    <col min="11045" max="11045" width="10" style="568" customWidth="1"/>
    <col min="11046" max="11046" width="13.42578125" style="568" customWidth="1"/>
    <col min="11047" max="11257" width="11.42578125" style="568"/>
    <col min="11258" max="11258" width="0" style="568" hidden="1" customWidth="1"/>
    <col min="11259" max="11259" width="0.28515625" style="568" customWidth="1"/>
    <col min="11260" max="11260" width="5" style="568" customWidth="1"/>
    <col min="11261" max="11261" width="8.140625" style="568" bestFit="1" customWidth="1"/>
    <col min="11262" max="11262" width="14.140625" style="568" bestFit="1" customWidth="1"/>
    <col min="11263" max="11263" width="22.42578125" style="568" customWidth="1"/>
    <col min="11264" max="11264" width="7" style="568" bestFit="1" customWidth="1"/>
    <col min="11265" max="11265" width="13.7109375" style="568" customWidth="1"/>
    <col min="11266" max="11266" width="22.42578125" style="568" customWidth="1"/>
    <col min="11267" max="11267" width="20.42578125" style="568" customWidth="1"/>
    <col min="11268" max="11269" width="8.42578125" style="568" customWidth="1"/>
    <col min="11270" max="11270" width="8" style="568" customWidth="1"/>
    <col min="11271" max="11272" width="5" style="568" customWidth="1"/>
    <col min="11273" max="11273" width="5.140625" style="568" customWidth="1"/>
    <col min="11274" max="11274" width="6.42578125" style="568" customWidth="1"/>
    <col min="11275" max="11276" width="6.5703125" style="568" bestFit="1" customWidth="1"/>
    <col min="11277" max="11278" width="5.28515625" style="568" customWidth="1"/>
    <col min="11279" max="11279" width="5" style="568" customWidth="1"/>
    <col min="11280" max="11280" width="7.7109375" style="568" customWidth="1"/>
    <col min="11281" max="11281" width="6.85546875" style="568" customWidth="1"/>
    <col min="11282" max="11282" width="6.5703125" style="568" bestFit="1" customWidth="1"/>
    <col min="11283" max="11283" width="5.42578125" style="568" customWidth="1"/>
    <col min="11284" max="11284" width="5.28515625" style="568" customWidth="1"/>
    <col min="11285" max="11285" width="5.42578125" style="568" customWidth="1"/>
    <col min="11286" max="11286" width="7.42578125" style="568" customWidth="1"/>
    <col min="11287" max="11287" width="7.140625" style="568" customWidth="1"/>
    <col min="11288" max="11288" width="7.7109375" style="568" customWidth="1"/>
    <col min="11289" max="11289" width="5.5703125" style="568" customWidth="1"/>
    <col min="11290" max="11290" width="5.42578125" style="568" customWidth="1"/>
    <col min="11291" max="11291" width="5.140625" style="568" customWidth="1"/>
    <col min="11292" max="11292" width="7.42578125" style="568" customWidth="1"/>
    <col min="11293" max="11293" width="7.140625" style="568" customWidth="1"/>
    <col min="11294" max="11294" width="6.5703125" style="568" bestFit="1" customWidth="1"/>
    <col min="11295" max="11295" width="9.140625" style="568" bestFit="1" customWidth="1"/>
    <col min="11296" max="11296" width="8.140625" style="568" bestFit="1" customWidth="1"/>
    <col min="11297" max="11298" width="5.42578125" style="568" customWidth="1"/>
    <col min="11299" max="11299" width="9.85546875" style="568" customWidth="1"/>
    <col min="11300" max="11300" width="4.85546875" style="568" customWidth="1"/>
    <col min="11301" max="11301" width="10" style="568" customWidth="1"/>
    <col min="11302" max="11302" width="13.42578125" style="568" customWidth="1"/>
    <col min="11303" max="11513" width="11.42578125" style="568"/>
    <col min="11514" max="11514" width="0" style="568" hidden="1" customWidth="1"/>
    <col min="11515" max="11515" width="0.28515625" style="568" customWidth="1"/>
    <col min="11516" max="11516" width="5" style="568" customWidth="1"/>
    <col min="11517" max="11517" width="8.140625" style="568" bestFit="1" customWidth="1"/>
    <col min="11518" max="11518" width="14.140625" style="568" bestFit="1" customWidth="1"/>
    <col min="11519" max="11519" width="22.42578125" style="568" customWidth="1"/>
    <col min="11520" max="11520" width="7" style="568" bestFit="1" customWidth="1"/>
    <col min="11521" max="11521" width="13.7109375" style="568" customWidth="1"/>
    <col min="11522" max="11522" width="22.42578125" style="568" customWidth="1"/>
    <col min="11523" max="11523" width="20.42578125" style="568" customWidth="1"/>
    <col min="11524" max="11525" width="8.42578125" style="568" customWidth="1"/>
    <col min="11526" max="11526" width="8" style="568" customWidth="1"/>
    <col min="11527" max="11528" width="5" style="568" customWidth="1"/>
    <col min="11529" max="11529" width="5.140625" style="568" customWidth="1"/>
    <col min="11530" max="11530" width="6.42578125" style="568" customWidth="1"/>
    <col min="11531" max="11532" width="6.5703125" style="568" bestFit="1" customWidth="1"/>
    <col min="11533" max="11534" width="5.28515625" style="568" customWidth="1"/>
    <col min="11535" max="11535" width="5" style="568" customWidth="1"/>
    <col min="11536" max="11536" width="7.7109375" style="568" customWidth="1"/>
    <col min="11537" max="11537" width="6.85546875" style="568" customWidth="1"/>
    <col min="11538" max="11538" width="6.5703125" style="568" bestFit="1" customWidth="1"/>
    <col min="11539" max="11539" width="5.42578125" style="568" customWidth="1"/>
    <col min="11540" max="11540" width="5.28515625" style="568" customWidth="1"/>
    <col min="11541" max="11541" width="5.42578125" style="568" customWidth="1"/>
    <col min="11542" max="11542" width="7.42578125" style="568" customWidth="1"/>
    <col min="11543" max="11543" width="7.140625" style="568" customWidth="1"/>
    <col min="11544" max="11544" width="7.7109375" style="568" customWidth="1"/>
    <col min="11545" max="11545" width="5.5703125" style="568" customWidth="1"/>
    <col min="11546" max="11546" width="5.42578125" style="568" customWidth="1"/>
    <col min="11547" max="11547" width="5.140625" style="568" customWidth="1"/>
    <col min="11548" max="11548" width="7.42578125" style="568" customWidth="1"/>
    <col min="11549" max="11549" width="7.140625" style="568" customWidth="1"/>
    <col min="11550" max="11550" width="6.5703125" style="568" bestFit="1" customWidth="1"/>
    <col min="11551" max="11551" width="9.140625" style="568" bestFit="1" customWidth="1"/>
    <col min="11552" max="11552" width="8.140625" style="568" bestFit="1" customWidth="1"/>
    <col min="11553" max="11554" width="5.42578125" style="568" customWidth="1"/>
    <col min="11555" max="11555" width="9.85546875" style="568" customWidth="1"/>
    <col min="11556" max="11556" width="4.85546875" style="568" customWidth="1"/>
    <col min="11557" max="11557" width="10" style="568" customWidth="1"/>
    <col min="11558" max="11558" width="13.42578125" style="568" customWidth="1"/>
    <col min="11559" max="11769" width="11.42578125" style="568"/>
    <col min="11770" max="11770" width="0" style="568" hidden="1" customWidth="1"/>
    <col min="11771" max="11771" width="0.28515625" style="568" customWidth="1"/>
    <col min="11772" max="11772" width="5" style="568" customWidth="1"/>
    <col min="11773" max="11773" width="8.140625" style="568" bestFit="1" customWidth="1"/>
    <col min="11774" max="11774" width="14.140625" style="568" bestFit="1" customWidth="1"/>
    <col min="11775" max="11775" width="22.42578125" style="568" customWidth="1"/>
    <col min="11776" max="11776" width="7" style="568" bestFit="1" customWidth="1"/>
    <col min="11777" max="11777" width="13.7109375" style="568" customWidth="1"/>
    <col min="11778" max="11778" width="22.42578125" style="568" customWidth="1"/>
    <col min="11779" max="11779" width="20.42578125" style="568" customWidth="1"/>
    <col min="11780" max="11781" width="8.42578125" style="568" customWidth="1"/>
    <col min="11782" max="11782" width="8" style="568" customWidth="1"/>
    <col min="11783" max="11784" width="5" style="568" customWidth="1"/>
    <col min="11785" max="11785" width="5.140625" style="568" customWidth="1"/>
    <col min="11786" max="11786" width="6.42578125" style="568" customWidth="1"/>
    <col min="11787" max="11788" width="6.5703125" style="568" bestFit="1" customWidth="1"/>
    <col min="11789" max="11790" width="5.28515625" style="568" customWidth="1"/>
    <col min="11791" max="11791" width="5" style="568" customWidth="1"/>
    <col min="11792" max="11792" width="7.7109375" style="568" customWidth="1"/>
    <col min="11793" max="11793" width="6.85546875" style="568" customWidth="1"/>
    <col min="11794" max="11794" width="6.5703125" style="568" bestFit="1" customWidth="1"/>
    <col min="11795" max="11795" width="5.42578125" style="568" customWidth="1"/>
    <col min="11796" max="11796" width="5.28515625" style="568" customWidth="1"/>
    <col min="11797" max="11797" width="5.42578125" style="568" customWidth="1"/>
    <col min="11798" max="11798" width="7.42578125" style="568" customWidth="1"/>
    <col min="11799" max="11799" width="7.140625" style="568" customWidth="1"/>
    <col min="11800" max="11800" width="7.7109375" style="568" customWidth="1"/>
    <col min="11801" max="11801" width="5.5703125" style="568" customWidth="1"/>
    <col min="11802" max="11802" width="5.42578125" style="568" customWidth="1"/>
    <col min="11803" max="11803" width="5.140625" style="568" customWidth="1"/>
    <col min="11804" max="11804" width="7.42578125" style="568" customWidth="1"/>
    <col min="11805" max="11805" width="7.140625" style="568" customWidth="1"/>
    <col min="11806" max="11806" width="6.5703125" style="568" bestFit="1" customWidth="1"/>
    <col min="11807" max="11807" width="9.140625" style="568" bestFit="1" customWidth="1"/>
    <col min="11808" max="11808" width="8.140625" style="568" bestFit="1" customWidth="1"/>
    <col min="11809" max="11810" width="5.42578125" style="568" customWidth="1"/>
    <col min="11811" max="11811" width="9.85546875" style="568" customWidth="1"/>
    <col min="11812" max="11812" width="4.85546875" style="568" customWidth="1"/>
    <col min="11813" max="11813" width="10" style="568" customWidth="1"/>
    <col min="11814" max="11814" width="13.42578125" style="568" customWidth="1"/>
    <col min="11815" max="12025" width="11.42578125" style="568"/>
    <col min="12026" max="12026" width="0" style="568" hidden="1" customWidth="1"/>
    <col min="12027" max="12027" width="0.28515625" style="568" customWidth="1"/>
    <col min="12028" max="12028" width="5" style="568" customWidth="1"/>
    <col min="12029" max="12029" width="8.140625" style="568" bestFit="1" customWidth="1"/>
    <col min="12030" max="12030" width="14.140625" style="568" bestFit="1" customWidth="1"/>
    <col min="12031" max="12031" width="22.42578125" style="568" customWidth="1"/>
    <col min="12032" max="12032" width="7" style="568" bestFit="1" customWidth="1"/>
    <col min="12033" max="12033" width="13.7109375" style="568" customWidth="1"/>
    <col min="12034" max="12034" width="22.42578125" style="568" customWidth="1"/>
    <col min="12035" max="12035" width="20.42578125" style="568" customWidth="1"/>
    <col min="12036" max="12037" width="8.42578125" style="568" customWidth="1"/>
    <col min="12038" max="12038" width="8" style="568" customWidth="1"/>
    <col min="12039" max="12040" width="5" style="568" customWidth="1"/>
    <col min="12041" max="12041" width="5.140625" style="568" customWidth="1"/>
    <col min="12042" max="12042" width="6.42578125" style="568" customWidth="1"/>
    <col min="12043" max="12044" width="6.5703125" style="568" bestFit="1" customWidth="1"/>
    <col min="12045" max="12046" width="5.28515625" style="568" customWidth="1"/>
    <col min="12047" max="12047" width="5" style="568" customWidth="1"/>
    <col min="12048" max="12048" width="7.7109375" style="568" customWidth="1"/>
    <col min="12049" max="12049" width="6.85546875" style="568" customWidth="1"/>
    <col min="12050" max="12050" width="6.5703125" style="568" bestFit="1" customWidth="1"/>
    <col min="12051" max="12051" width="5.42578125" style="568" customWidth="1"/>
    <col min="12052" max="12052" width="5.28515625" style="568" customWidth="1"/>
    <col min="12053" max="12053" width="5.42578125" style="568" customWidth="1"/>
    <col min="12054" max="12054" width="7.42578125" style="568" customWidth="1"/>
    <col min="12055" max="12055" width="7.140625" style="568" customWidth="1"/>
    <col min="12056" max="12056" width="7.7109375" style="568" customWidth="1"/>
    <col min="12057" max="12057" width="5.5703125" style="568" customWidth="1"/>
    <col min="12058" max="12058" width="5.42578125" style="568" customWidth="1"/>
    <col min="12059" max="12059" width="5.140625" style="568" customWidth="1"/>
    <col min="12060" max="12060" width="7.42578125" style="568" customWidth="1"/>
    <col min="12061" max="12061" width="7.140625" style="568" customWidth="1"/>
    <col min="12062" max="12062" width="6.5703125" style="568" bestFit="1" customWidth="1"/>
    <col min="12063" max="12063" width="9.140625" style="568" bestFit="1" customWidth="1"/>
    <col min="12064" max="12064" width="8.140625" style="568" bestFit="1" customWidth="1"/>
    <col min="12065" max="12066" width="5.42578125" style="568" customWidth="1"/>
    <col min="12067" max="12067" width="9.85546875" style="568" customWidth="1"/>
    <col min="12068" max="12068" width="4.85546875" style="568" customWidth="1"/>
    <col min="12069" max="12069" width="10" style="568" customWidth="1"/>
    <col min="12070" max="12070" width="13.42578125" style="568" customWidth="1"/>
    <col min="12071" max="12281" width="11.42578125" style="568"/>
    <col min="12282" max="12282" width="0" style="568" hidden="1" customWidth="1"/>
    <col min="12283" max="12283" width="0.28515625" style="568" customWidth="1"/>
    <col min="12284" max="12284" width="5" style="568" customWidth="1"/>
    <col min="12285" max="12285" width="8.140625" style="568" bestFit="1" customWidth="1"/>
    <col min="12286" max="12286" width="14.140625" style="568" bestFit="1" customWidth="1"/>
    <col min="12287" max="12287" width="22.42578125" style="568" customWidth="1"/>
    <col min="12288" max="12288" width="7" style="568" bestFit="1" customWidth="1"/>
    <col min="12289" max="12289" width="13.7109375" style="568" customWidth="1"/>
    <col min="12290" max="12290" width="22.42578125" style="568" customWidth="1"/>
    <col min="12291" max="12291" width="20.42578125" style="568" customWidth="1"/>
    <col min="12292" max="12293" width="8.42578125" style="568" customWidth="1"/>
    <col min="12294" max="12294" width="8" style="568" customWidth="1"/>
    <col min="12295" max="12296" width="5" style="568" customWidth="1"/>
    <col min="12297" max="12297" width="5.140625" style="568" customWidth="1"/>
    <col min="12298" max="12298" width="6.42578125" style="568" customWidth="1"/>
    <col min="12299" max="12300" width="6.5703125" style="568" bestFit="1" customWidth="1"/>
    <col min="12301" max="12302" width="5.28515625" style="568" customWidth="1"/>
    <col min="12303" max="12303" width="5" style="568" customWidth="1"/>
    <col min="12304" max="12304" width="7.7109375" style="568" customWidth="1"/>
    <col min="12305" max="12305" width="6.85546875" style="568" customWidth="1"/>
    <col min="12306" max="12306" width="6.5703125" style="568" bestFit="1" customWidth="1"/>
    <col min="12307" max="12307" width="5.42578125" style="568" customWidth="1"/>
    <col min="12308" max="12308" width="5.28515625" style="568" customWidth="1"/>
    <col min="12309" max="12309" width="5.42578125" style="568" customWidth="1"/>
    <col min="12310" max="12310" width="7.42578125" style="568" customWidth="1"/>
    <col min="12311" max="12311" width="7.140625" style="568" customWidth="1"/>
    <col min="12312" max="12312" width="7.7109375" style="568" customWidth="1"/>
    <col min="12313" max="12313" width="5.5703125" style="568" customWidth="1"/>
    <col min="12314" max="12314" width="5.42578125" style="568" customWidth="1"/>
    <col min="12315" max="12315" width="5.140625" style="568" customWidth="1"/>
    <col min="12316" max="12316" width="7.42578125" style="568" customWidth="1"/>
    <col min="12317" max="12317" width="7.140625" style="568" customWidth="1"/>
    <col min="12318" max="12318" width="6.5703125" style="568" bestFit="1" customWidth="1"/>
    <col min="12319" max="12319" width="9.140625" style="568" bestFit="1" customWidth="1"/>
    <col min="12320" max="12320" width="8.140625" style="568" bestFit="1" customWidth="1"/>
    <col min="12321" max="12322" width="5.42578125" style="568" customWidth="1"/>
    <col min="12323" max="12323" width="9.85546875" style="568" customWidth="1"/>
    <col min="12324" max="12324" width="4.85546875" style="568" customWidth="1"/>
    <col min="12325" max="12325" width="10" style="568" customWidth="1"/>
    <col min="12326" max="12326" width="13.42578125" style="568" customWidth="1"/>
    <col min="12327" max="12537" width="11.42578125" style="568"/>
    <col min="12538" max="12538" width="0" style="568" hidden="1" customWidth="1"/>
    <col min="12539" max="12539" width="0.28515625" style="568" customWidth="1"/>
    <col min="12540" max="12540" width="5" style="568" customWidth="1"/>
    <col min="12541" max="12541" width="8.140625" style="568" bestFit="1" customWidth="1"/>
    <col min="12542" max="12542" width="14.140625" style="568" bestFit="1" customWidth="1"/>
    <col min="12543" max="12543" width="22.42578125" style="568" customWidth="1"/>
    <col min="12544" max="12544" width="7" style="568" bestFit="1" customWidth="1"/>
    <col min="12545" max="12545" width="13.7109375" style="568" customWidth="1"/>
    <col min="12546" max="12546" width="22.42578125" style="568" customWidth="1"/>
    <col min="12547" max="12547" width="20.42578125" style="568" customWidth="1"/>
    <col min="12548" max="12549" width="8.42578125" style="568" customWidth="1"/>
    <col min="12550" max="12550" width="8" style="568" customWidth="1"/>
    <col min="12551" max="12552" width="5" style="568" customWidth="1"/>
    <col min="12553" max="12553" width="5.140625" style="568" customWidth="1"/>
    <col min="12554" max="12554" width="6.42578125" style="568" customWidth="1"/>
    <col min="12555" max="12556" width="6.5703125" style="568" bestFit="1" customWidth="1"/>
    <col min="12557" max="12558" width="5.28515625" style="568" customWidth="1"/>
    <col min="12559" max="12559" width="5" style="568" customWidth="1"/>
    <col min="12560" max="12560" width="7.7109375" style="568" customWidth="1"/>
    <col min="12561" max="12561" width="6.85546875" style="568" customWidth="1"/>
    <col min="12562" max="12562" width="6.5703125" style="568" bestFit="1" customWidth="1"/>
    <col min="12563" max="12563" width="5.42578125" style="568" customWidth="1"/>
    <col min="12564" max="12564" width="5.28515625" style="568" customWidth="1"/>
    <col min="12565" max="12565" width="5.42578125" style="568" customWidth="1"/>
    <col min="12566" max="12566" width="7.42578125" style="568" customWidth="1"/>
    <col min="12567" max="12567" width="7.140625" style="568" customWidth="1"/>
    <col min="12568" max="12568" width="7.7109375" style="568" customWidth="1"/>
    <col min="12569" max="12569" width="5.5703125" style="568" customWidth="1"/>
    <col min="12570" max="12570" width="5.42578125" style="568" customWidth="1"/>
    <col min="12571" max="12571" width="5.140625" style="568" customWidth="1"/>
    <col min="12572" max="12572" width="7.42578125" style="568" customWidth="1"/>
    <col min="12573" max="12573" width="7.140625" style="568" customWidth="1"/>
    <col min="12574" max="12574" width="6.5703125" style="568" bestFit="1" customWidth="1"/>
    <col min="12575" max="12575" width="9.140625" style="568" bestFit="1" customWidth="1"/>
    <col min="12576" max="12576" width="8.140625" style="568" bestFit="1" customWidth="1"/>
    <col min="12577" max="12578" width="5.42578125" style="568" customWidth="1"/>
    <col min="12579" max="12579" width="9.85546875" style="568" customWidth="1"/>
    <col min="12580" max="12580" width="4.85546875" style="568" customWidth="1"/>
    <col min="12581" max="12581" width="10" style="568" customWidth="1"/>
    <col min="12582" max="12582" width="13.42578125" style="568" customWidth="1"/>
    <col min="12583" max="12793" width="11.42578125" style="568"/>
    <col min="12794" max="12794" width="0" style="568" hidden="1" customWidth="1"/>
    <col min="12795" max="12795" width="0.28515625" style="568" customWidth="1"/>
    <col min="12796" max="12796" width="5" style="568" customWidth="1"/>
    <col min="12797" max="12797" width="8.140625" style="568" bestFit="1" customWidth="1"/>
    <col min="12798" max="12798" width="14.140625" style="568" bestFit="1" customWidth="1"/>
    <col min="12799" max="12799" width="22.42578125" style="568" customWidth="1"/>
    <col min="12800" max="12800" width="7" style="568" bestFit="1" customWidth="1"/>
    <col min="12801" max="12801" width="13.7109375" style="568" customWidth="1"/>
    <col min="12802" max="12802" width="22.42578125" style="568" customWidth="1"/>
    <col min="12803" max="12803" width="20.42578125" style="568" customWidth="1"/>
    <col min="12804" max="12805" width="8.42578125" style="568" customWidth="1"/>
    <col min="12806" max="12806" width="8" style="568" customWidth="1"/>
    <col min="12807" max="12808" width="5" style="568" customWidth="1"/>
    <col min="12809" max="12809" width="5.140625" style="568" customWidth="1"/>
    <col min="12810" max="12810" width="6.42578125" style="568" customWidth="1"/>
    <col min="12811" max="12812" width="6.5703125" style="568" bestFit="1" customWidth="1"/>
    <col min="12813" max="12814" width="5.28515625" style="568" customWidth="1"/>
    <col min="12815" max="12815" width="5" style="568" customWidth="1"/>
    <col min="12816" max="12816" width="7.7109375" style="568" customWidth="1"/>
    <col min="12817" max="12817" width="6.85546875" style="568" customWidth="1"/>
    <col min="12818" max="12818" width="6.5703125" style="568" bestFit="1" customWidth="1"/>
    <col min="12819" max="12819" width="5.42578125" style="568" customWidth="1"/>
    <col min="12820" max="12820" width="5.28515625" style="568" customWidth="1"/>
    <col min="12821" max="12821" width="5.42578125" style="568" customWidth="1"/>
    <col min="12822" max="12822" width="7.42578125" style="568" customWidth="1"/>
    <col min="12823" max="12823" width="7.140625" style="568" customWidth="1"/>
    <col min="12824" max="12824" width="7.7109375" style="568" customWidth="1"/>
    <col min="12825" max="12825" width="5.5703125" style="568" customWidth="1"/>
    <col min="12826" max="12826" width="5.42578125" style="568" customWidth="1"/>
    <col min="12827" max="12827" width="5.140625" style="568" customWidth="1"/>
    <col min="12828" max="12828" width="7.42578125" style="568" customWidth="1"/>
    <col min="12829" max="12829" width="7.140625" style="568" customWidth="1"/>
    <col min="12830" max="12830" width="6.5703125" style="568" bestFit="1" customWidth="1"/>
    <col min="12831" max="12831" width="9.140625" style="568" bestFit="1" customWidth="1"/>
    <col min="12832" max="12832" width="8.140625" style="568" bestFit="1" customWidth="1"/>
    <col min="12833" max="12834" width="5.42578125" style="568" customWidth="1"/>
    <col min="12835" max="12835" width="9.85546875" style="568" customWidth="1"/>
    <col min="12836" max="12836" width="4.85546875" style="568" customWidth="1"/>
    <col min="12837" max="12837" width="10" style="568" customWidth="1"/>
    <col min="12838" max="12838" width="13.42578125" style="568" customWidth="1"/>
    <col min="12839" max="13049" width="11.42578125" style="568"/>
    <col min="13050" max="13050" width="0" style="568" hidden="1" customWidth="1"/>
    <col min="13051" max="13051" width="0.28515625" style="568" customWidth="1"/>
    <col min="13052" max="13052" width="5" style="568" customWidth="1"/>
    <col min="13053" max="13053" width="8.140625" style="568" bestFit="1" customWidth="1"/>
    <col min="13054" max="13054" width="14.140625" style="568" bestFit="1" customWidth="1"/>
    <col min="13055" max="13055" width="22.42578125" style="568" customWidth="1"/>
    <col min="13056" max="13056" width="7" style="568" bestFit="1" customWidth="1"/>
    <col min="13057" max="13057" width="13.7109375" style="568" customWidth="1"/>
    <col min="13058" max="13058" width="22.42578125" style="568" customWidth="1"/>
    <col min="13059" max="13059" width="20.42578125" style="568" customWidth="1"/>
    <col min="13060" max="13061" width="8.42578125" style="568" customWidth="1"/>
    <col min="13062" max="13062" width="8" style="568" customWidth="1"/>
    <col min="13063" max="13064" width="5" style="568" customWidth="1"/>
    <col min="13065" max="13065" width="5.140625" style="568" customWidth="1"/>
    <col min="13066" max="13066" width="6.42578125" style="568" customWidth="1"/>
    <col min="13067" max="13068" width="6.5703125" style="568" bestFit="1" customWidth="1"/>
    <col min="13069" max="13070" width="5.28515625" style="568" customWidth="1"/>
    <col min="13071" max="13071" width="5" style="568" customWidth="1"/>
    <col min="13072" max="13072" width="7.7109375" style="568" customWidth="1"/>
    <col min="13073" max="13073" width="6.85546875" style="568" customWidth="1"/>
    <col min="13074" max="13074" width="6.5703125" style="568" bestFit="1" customWidth="1"/>
    <col min="13075" max="13075" width="5.42578125" style="568" customWidth="1"/>
    <col min="13076" max="13076" width="5.28515625" style="568" customWidth="1"/>
    <col min="13077" max="13077" width="5.42578125" style="568" customWidth="1"/>
    <col min="13078" max="13078" width="7.42578125" style="568" customWidth="1"/>
    <col min="13079" max="13079" width="7.140625" style="568" customWidth="1"/>
    <col min="13080" max="13080" width="7.7109375" style="568" customWidth="1"/>
    <col min="13081" max="13081" width="5.5703125" style="568" customWidth="1"/>
    <col min="13082" max="13082" width="5.42578125" style="568" customWidth="1"/>
    <col min="13083" max="13083" width="5.140625" style="568" customWidth="1"/>
    <col min="13084" max="13084" width="7.42578125" style="568" customWidth="1"/>
    <col min="13085" max="13085" width="7.140625" style="568" customWidth="1"/>
    <col min="13086" max="13086" width="6.5703125" style="568" bestFit="1" customWidth="1"/>
    <col min="13087" max="13087" width="9.140625" style="568" bestFit="1" customWidth="1"/>
    <col min="13088" max="13088" width="8.140625" style="568" bestFit="1" customWidth="1"/>
    <col min="13089" max="13090" width="5.42578125" style="568" customWidth="1"/>
    <col min="13091" max="13091" width="9.85546875" style="568" customWidth="1"/>
    <col min="13092" max="13092" width="4.85546875" style="568" customWidth="1"/>
    <col min="13093" max="13093" width="10" style="568" customWidth="1"/>
    <col min="13094" max="13094" width="13.42578125" style="568" customWidth="1"/>
    <col min="13095" max="13305" width="11.42578125" style="568"/>
    <col min="13306" max="13306" width="0" style="568" hidden="1" customWidth="1"/>
    <col min="13307" max="13307" width="0.28515625" style="568" customWidth="1"/>
    <col min="13308" max="13308" width="5" style="568" customWidth="1"/>
    <col min="13309" max="13309" width="8.140625" style="568" bestFit="1" customWidth="1"/>
    <col min="13310" max="13310" width="14.140625" style="568" bestFit="1" customWidth="1"/>
    <col min="13311" max="13311" width="22.42578125" style="568" customWidth="1"/>
    <col min="13312" max="13312" width="7" style="568" bestFit="1" customWidth="1"/>
    <col min="13313" max="13313" width="13.7109375" style="568" customWidth="1"/>
    <col min="13314" max="13314" width="22.42578125" style="568" customWidth="1"/>
    <col min="13315" max="13315" width="20.42578125" style="568" customWidth="1"/>
    <col min="13316" max="13317" width="8.42578125" style="568" customWidth="1"/>
    <col min="13318" max="13318" width="8" style="568" customWidth="1"/>
    <col min="13319" max="13320" width="5" style="568" customWidth="1"/>
    <col min="13321" max="13321" width="5.140625" style="568" customWidth="1"/>
    <col min="13322" max="13322" width="6.42578125" style="568" customWidth="1"/>
    <col min="13323" max="13324" width="6.5703125" style="568" bestFit="1" customWidth="1"/>
    <col min="13325" max="13326" width="5.28515625" style="568" customWidth="1"/>
    <col min="13327" max="13327" width="5" style="568" customWidth="1"/>
    <col min="13328" max="13328" width="7.7109375" style="568" customWidth="1"/>
    <col min="13329" max="13329" width="6.85546875" style="568" customWidth="1"/>
    <col min="13330" max="13330" width="6.5703125" style="568" bestFit="1" customWidth="1"/>
    <col min="13331" max="13331" width="5.42578125" style="568" customWidth="1"/>
    <col min="13332" max="13332" width="5.28515625" style="568" customWidth="1"/>
    <col min="13333" max="13333" width="5.42578125" style="568" customWidth="1"/>
    <col min="13334" max="13334" width="7.42578125" style="568" customWidth="1"/>
    <col min="13335" max="13335" width="7.140625" style="568" customWidth="1"/>
    <col min="13336" max="13336" width="7.7109375" style="568" customWidth="1"/>
    <col min="13337" max="13337" width="5.5703125" style="568" customWidth="1"/>
    <col min="13338" max="13338" width="5.42578125" style="568" customWidth="1"/>
    <col min="13339" max="13339" width="5.140625" style="568" customWidth="1"/>
    <col min="13340" max="13340" width="7.42578125" style="568" customWidth="1"/>
    <col min="13341" max="13341" width="7.140625" style="568" customWidth="1"/>
    <col min="13342" max="13342" width="6.5703125" style="568" bestFit="1" customWidth="1"/>
    <col min="13343" max="13343" width="9.140625" style="568" bestFit="1" customWidth="1"/>
    <col min="13344" max="13344" width="8.140625" style="568" bestFit="1" customWidth="1"/>
    <col min="13345" max="13346" width="5.42578125" style="568" customWidth="1"/>
    <col min="13347" max="13347" width="9.85546875" style="568" customWidth="1"/>
    <col min="13348" max="13348" width="4.85546875" style="568" customWidth="1"/>
    <col min="13349" max="13349" width="10" style="568" customWidth="1"/>
    <col min="13350" max="13350" width="13.42578125" style="568" customWidth="1"/>
    <col min="13351" max="13561" width="11.42578125" style="568"/>
    <col min="13562" max="13562" width="0" style="568" hidden="1" customWidth="1"/>
    <col min="13563" max="13563" width="0.28515625" style="568" customWidth="1"/>
    <col min="13564" max="13564" width="5" style="568" customWidth="1"/>
    <col min="13565" max="13565" width="8.140625" style="568" bestFit="1" customWidth="1"/>
    <col min="13566" max="13566" width="14.140625" style="568" bestFit="1" customWidth="1"/>
    <col min="13567" max="13567" width="22.42578125" style="568" customWidth="1"/>
    <col min="13568" max="13568" width="7" style="568" bestFit="1" customWidth="1"/>
    <col min="13569" max="13569" width="13.7109375" style="568" customWidth="1"/>
    <col min="13570" max="13570" width="22.42578125" style="568" customWidth="1"/>
    <col min="13571" max="13571" width="20.42578125" style="568" customWidth="1"/>
    <col min="13572" max="13573" width="8.42578125" style="568" customWidth="1"/>
    <col min="13574" max="13574" width="8" style="568" customWidth="1"/>
    <col min="13575" max="13576" width="5" style="568" customWidth="1"/>
    <col min="13577" max="13577" width="5.140625" style="568" customWidth="1"/>
    <col min="13578" max="13578" width="6.42578125" style="568" customWidth="1"/>
    <col min="13579" max="13580" width="6.5703125" style="568" bestFit="1" customWidth="1"/>
    <col min="13581" max="13582" width="5.28515625" style="568" customWidth="1"/>
    <col min="13583" max="13583" width="5" style="568" customWidth="1"/>
    <col min="13584" max="13584" width="7.7109375" style="568" customWidth="1"/>
    <col min="13585" max="13585" width="6.85546875" style="568" customWidth="1"/>
    <col min="13586" max="13586" width="6.5703125" style="568" bestFit="1" customWidth="1"/>
    <col min="13587" max="13587" width="5.42578125" style="568" customWidth="1"/>
    <col min="13588" max="13588" width="5.28515625" style="568" customWidth="1"/>
    <col min="13589" max="13589" width="5.42578125" style="568" customWidth="1"/>
    <col min="13590" max="13590" width="7.42578125" style="568" customWidth="1"/>
    <col min="13591" max="13591" width="7.140625" style="568" customWidth="1"/>
    <col min="13592" max="13592" width="7.7109375" style="568" customWidth="1"/>
    <col min="13593" max="13593" width="5.5703125" style="568" customWidth="1"/>
    <col min="13594" max="13594" width="5.42578125" style="568" customWidth="1"/>
    <col min="13595" max="13595" width="5.140625" style="568" customWidth="1"/>
    <col min="13596" max="13596" width="7.42578125" style="568" customWidth="1"/>
    <col min="13597" max="13597" width="7.140625" style="568" customWidth="1"/>
    <col min="13598" max="13598" width="6.5703125" style="568" bestFit="1" customWidth="1"/>
    <col min="13599" max="13599" width="9.140625" style="568" bestFit="1" customWidth="1"/>
    <col min="13600" max="13600" width="8.140625" style="568" bestFit="1" customWidth="1"/>
    <col min="13601" max="13602" width="5.42578125" style="568" customWidth="1"/>
    <col min="13603" max="13603" width="9.85546875" style="568" customWidth="1"/>
    <col min="13604" max="13604" width="4.85546875" style="568" customWidth="1"/>
    <col min="13605" max="13605" width="10" style="568" customWidth="1"/>
    <col min="13606" max="13606" width="13.42578125" style="568" customWidth="1"/>
    <col min="13607" max="13817" width="11.42578125" style="568"/>
    <col min="13818" max="13818" width="0" style="568" hidden="1" customWidth="1"/>
    <col min="13819" max="13819" width="0.28515625" style="568" customWidth="1"/>
    <col min="13820" max="13820" width="5" style="568" customWidth="1"/>
    <col min="13821" max="13821" width="8.140625" style="568" bestFit="1" customWidth="1"/>
    <col min="13822" max="13822" width="14.140625" style="568" bestFit="1" customWidth="1"/>
    <col min="13823" max="13823" width="22.42578125" style="568" customWidth="1"/>
    <col min="13824" max="13824" width="7" style="568" bestFit="1" customWidth="1"/>
    <col min="13825" max="13825" width="13.7109375" style="568" customWidth="1"/>
    <col min="13826" max="13826" width="22.42578125" style="568" customWidth="1"/>
    <col min="13827" max="13827" width="20.42578125" style="568" customWidth="1"/>
    <col min="13828" max="13829" width="8.42578125" style="568" customWidth="1"/>
    <col min="13830" max="13830" width="8" style="568" customWidth="1"/>
    <col min="13831" max="13832" width="5" style="568" customWidth="1"/>
    <col min="13833" max="13833" width="5.140625" style="568" customWidth="1"/>
    <col min="13834" max="13834" width="6.42578125" style="568" customWidth="1"/>
    <col min="13835" max="13836" width="6.5703125" style="568" bestFit="1" customWidth="1"/>
    <col min="13837" max="13838" width="5.28515625" style="568" customWidth="1"/>
    <col min="13839" max="13839" width="5" style="568" customWidth="1"/>
    <col min="13840" max="13840" width="7.7109375" style="568" customWidth="1"/>
    <col min="13841" max="13841" width="6.85546875" style="568" customWidth="1"/>
    <col min="13842" max="13842" width="6.5703125" style="568" bestFit="1" customWidth="1"/>
    <col min="13843" max="13843" width="5.42578125" style="568" customWidth="1"/>
    <col min="13844" max="13844" width="5.28515625" style="568" customWidth="1"/>
    <col min="13845" max="13845" width="5.42578125" style="568" customWidth="1"/>
    <col min="13846" max="13846" width="7.42578125" style="568" customWidth="1"/>
    <col min="13847" max="13847" width="7.140625" style="568" customWidth="1"/>
    <col min="13848" max="13848" width="7.7109375" style="568" customWidth="1"/>
    <col min="13849" max="13849" width="5.5703125" style="568" customWidth="1"/>
    <col min="13850" max="13850" width="5.42578125" style="568" customWidth="1"/>
    <col min="13851" max="13851" width="5.140625" style="568" customWidth="1"/>
    <col min="13852" max="13852" width="7.42578125" style="568" customWidth="1"/>
    <col min="13853" max="13853" width="7.140625" style="568" customWidth="1"/>
    <col min="13854" max="13854" width="6.5703125" style="568" bestFit="1" customWidth="1"/>
    <col min="13855" max="13855" width="9.140625" style="568" bestFit="1" customWidth="1"/>
    <col min="13856" max="13856" width="8.140625" style="568" bestFit="1" customWidth="1"/>
    <col min="13857" max="13858" width="5.42578125" style="568" customWidth="1"/>
    <col min="13859" max="13859" width="9.85546875" style="568" customWidth="1"/>
    <col min="13860" max="13860" width="4.85546875" style="568" customWidth="1"/>
    <col min="13861" max="13861" width="10" style="568" customWidth="1"/>
    <col min="13862" max="13862" width="13.42578125" style="568" customWidth="1"/>
    <col min="13863" max="14073" width="11.42578125" style="568"/>
    <col min="14074" max="14074" width="0" style="568" hidden="1" customWidth="1"/>
    <col min="14075" max="14075" width="0.28515625" style="568" customWidth="1"/>
    <col min="14076" max="14076" width="5" style="568" customWidth="1"/>
    <col min="14077" max="14077" width="8.140625" style="568" bestFit="1" customWidth="1"/>
    <col min="14078" max="14078" width="14.140625" style="568" bestFit="1" customWidth="1"/>
    <col min="14079" max="14079" width="22.42578125" style="568" customWidth="1"/>
    <col min="14080" max="14080" width="7" style="568" bestFit="1" customWidth="1"/>
    <col min="14081" max="14081" width="13.7109375" style="568" customWidth="1"/>
    <col min="14082" max="14082" width="22.42578125" style="568" customWidth="1"/>
    <col min="14083" max="14083" width="20.42578125" style="568" customWidth="1"/>
    <col min="14084" max="14085" width="8.42578125" style="568" customWidth="1"/>
    <col min="14086" max="14086" width="8" style="568" customWidth="1"/>
    <col min="14087" max="14088" width="5" style="568" customWidth="1"/>
    <col min="14089" max="14089" width="5.140625" style="568" customWidth="1"/>
    <col min="14090" max="14090" width="6.42578125" style="568" customWidth="1"/>
    <col min="14091" max="14092" width="6.5703125" style="568" bestFit="1" customWidth="1"/>
    <col min="14093" max="14094" width="5.28515625" style="568" customWidth="1"/>
    <col min="14095" max="14095" width="5" style="568" customWidth="1"/>
    <col min="14096" max="14096" width="7.7109375" style="568" customWidth="1"/>
    <col min="14097" max="14097" width="6.85546875" style="568" customWidth="1"/>
    <col min="14098" max="14098" width="6.5703125" style="568" bestFit="1" customWidth="1"/>
    <col min="14099" max="14099" width="5.42578125" style="568" customWidth="1"/>
    <col min="14100" max="14100" width="5.28515625" style="568" customWidth="1"/>
    <col min="14101" max="14101" width="5.42578125" style="568" customWidth="1"/>
    <col min="14102" max="14102" width="7.42578125" style="568" customWidth="1"/>
    <col min="14103" max="14103" width="7.140625" style="568" customWidth="1"/>
    <col min="14104" max="14104" width="7.7109375" style="568" customWidth="1"/>
    <col min="14105" max="14105" width="5.5703125" style="568" customWidth="1"/>
    <col min="14106" max="14106" width="5.42578125" style="568" customWidth="1"/>
    <col min="14107" max="14107" width="5.140625" style="568" customWidth="1"/>
    <col min="14108" max="14108" width="7.42578125" style="568" customWidth="1"/>
    <col min="14109" max="14109" width="7.140625" style="568" customWidth="1"/>
    <col min="14110" max="14110" width="6.5703125" style="568" bestFit="1" customWidth="1"/>
    <col min="14111" max="14111" width="9.140625" style="568" bestFit="1" customWidth="1"/>
    <col min="14112" max="14112" width="8.140625" style="568" bestFit="1" customWidth="1"/>
    <col min="14113" max="14114" width="5.42578125" style="568" customWidth="1"/>
    <col min="14115" max="14115" width="9.85546875" style="568" customWidth="1"/>
    <col min="14116" max="14116" width="4.85546875" style="568" customWidth="1"/>
    <col min="14117" max="14117" width="10" style="568" customWidth="1"/>
    <col min="14118" max="14118" width="13.42578125" style="568" customWidth="1"/>
    <col min="14119" max="14329" width="11.42578125" style="568"/>
    <col min="14330" max="14330" width="0" style="568" hidden="1" customWidth="1"/>
    <col min="14331" max="14331" width="0.28515625" style="568" customWidth="1"/>
    <col min="14332" max="14332" width="5" style="568" customWidth="1"/>
    <col min="14333" max="14333" width="8.140625" style="568" bestFit="1" customWidth="1"/>
    <col min="14334" max="14334" width="14.140625" style="568" bestFit="1" customWidth="1"/>
    <col min="14335" max="14335" width="22.42578125" style="568" customWidth="1"/>
    <col min="14336" max="14336" width="7" style="568" bestFit="1" customWidth="1"/>
    <col min="14337" max="14337" width="13.7109375" style="568" customWidth="1"/>
    <col min="14338" max="14338" width="22.42578125" style="568" customWidth="1"/>
    <col min="14339" max="14339" width="20.42578125" style="568" customWidth="1"/>
    <col min="14340" max="14341" width="8.42578125" style="568" customWidth="1"/>
    <col min="14342" max="14342" width="8" style="568" customWidth="1"/>
    <col min="14343" max="14344" width="5" style="568" customWidth="1"/>
    <col min="14345" max="14345" width="5.140625" style="568" customWidth="1"/>
    <col min="14346" max="14346" width="6.42578125" style="568" customWidth="1"/>
    <col min="14347" max="14348" width="6.5703125" style="568" bestFit="1" customWidth="1"/>
    <col min="14349" max="14350" width="5.28515625" style="568" customWidth="1"/>
    <col min="14351" max="14351" width="5" style="568" customWidth="1"/>
    <col min="14352" max="14352" width="7.7109375" style="568" customWidth="1"/>
    <col min="14353" max="14353" width="6.85546875" style="568" customWidth="1"/>
    <col min="14354" max="14354" width="6.5703125" style="568" bestFit="1" customWidth="1"/>
    <col min="14355" max="14355" width="5.42578125" style="568" customWidth="1"/>
    <col min="14356" max="14356" width="5.28515625" style="568" customWidth="1"/>
    <col min="14357" max="14357" width="5.42578125" style="568" customWidth="1"/>
    <col min="14358" max="14358" width="7.42578125" style="568" customWidth="1"/>
    <col min="14359" max="14359" width="7.140625" style="568" customWidth="1"/>
    <col min="14360" max="14360" width="7.7109375" style="568" customWidth="1"/>
    <col min="14361" max="14361" width="5.5703125" style="568" customWidth="1"/>
    <col min="14362" max="14362" width="5.42578125" style="568" customWidth="1"/>
    <col min="14363" max="14363" width="5.140625" style="568" customWidth="1"/>
    <col min="14364" max="14364" width="7.42578125" style="568" customWidth="1"/>
    <col min="14365" max="14365" width="7.140625" style="568" customWidth="1"/>
    <col min="14366" max="14366" width="6.5703125" style="568" bestFit="1" customWidth="1"/>
    <col min="14367" max="14367" width="9.140625" style="568" bestFit="1" customWidth="1"/>
    <col min="14368" max="14368" width="8.140625" style="568" bestFit="1" customWidth="1"/>
    <col min="14369" max="14370" width="5.42578125" style="568" customWidth="1"/>
    <col min="14371" max="14371" width="9.85546875" style="568" customWidth="1"/>
    <col min="14372" max="14372" width="4.85546875" style="568" customWidth="1"/>
    <col min="14373" max="14373" width="10" style="568" customWidth="1"/>
    <col min="14374" max="14374" width="13.42578125" style="568" customWidth="1"/>
    <col min="14375" max="14585" width="11.42578125" style="568"/>
    <col min="14586" max="14586" width="0" style="568" hidden="1" customWidth="1"/>
    <col min="14587" max="14587" width="0.28515625" style="568" customWidth="1"/>
    <col min="14588" max="14588" width="5" style="568" customWidth="1"/>
    <col min="14589" max="14589" width="8.140625" style="568" bestFit="1" customWidth="1"/>
    <col min="14590" max="14590" width="14.140625" style="568" bestFit="1" customWidth="1"/>
    <col min="14591" max="14591" width="22.42578125" style="568" customWidth="1"/>
    <col min="14592" max="14592" width="7" style="568" bestFit="1" customWidth="1"/>
    <col min="14593" max="14593" width="13.7109375" style="568" customWidth="1"/>
    <col min="14594" max="14594" width="22.42578125" style="568" customWidth="1"/>
    <col min="14595" max="14595" width="20.42578125" style="568" customWidth="1"/>
    <col min="14596" max="14597" width="8.42578125" style="568" customWidth="1"/>
    <col min="14598" max="14598" width="8" style="568" customWidth="1"/>
    <col min="14599" max="14600" width="5" style="568" customWidth="1"/>
    <col min="14601" max="14601" width="5.140625" style="568" customWidth="1"/>
    <col min="14602" max="14602" width="6.42578125" style="568" customWidth="1"/>
    <col min="14603" max="14604" width="6.5703125" style="568" bestFit="1" customWidth="1"/>
    <col min="14605" max="14606" width="5.28515625" style="568" customWidth="1"/>
    <col min="14607" max="14607" width="5" style="568" customWidth="1"/>
    <col min="14608" max="14608" width="7.7109375" style="568" customWidth="1"/>
    <col min="14609" max="14609" width="6.85546875" style="568" customWidth="1"/>
    <col min="14610" max="14610" width="6.5703125" style="568" bestFit="1" customWidth="1"/>
    <col min="14611" max="14611" width="5.42578125" style="568" customWidth="1"/>
    <col min="14612" max="14612" width="5.28515625" style="568" customWidth="1"/>
    <col min="14613" max="14613" width="5.42578125" style="568" customWidth="1"/>
    <col min="14614" max="14614" width="7.42578125" style="568" customWidth="1"/>
    <col min="14615" max="14615" width="7.140625" style="568" customWidth="1"/>
    <col min="14616" max="14616" width="7.7109375" style="568" customWidth="1"/>
    <col min="14617" max="14617" width="5.5703125" style="568" customWidth="1"/>
    <col min="14618" max="14618" width="5.42578125" style="568" customWidth="1"/>
    <col min="14619" max="14619" width="5.140625" style="568" customWidth="1"/>
    <col min="14620" max="14620" width="7.42578125" style="568" customWidth="1"/>
    <col min="14621" max="14621" width="7.140625" style="568" customWidth="1"/>
    <col min="14622" max="14622" width="6.5703125" style="568" bestFit="1" customWidth="1"/>
    <col min="14623" max="14623" width="9.140625" style="568" bestFit="1" customWidth="1"/>
    <col min="14624" max="14624" width="8.140625" style="568" bestFit="1" customWidth="1"/>
    <col min="14625" max="14626" width="5.42578125" style="568" customWidth="1"/>
    <col min="14627" max="14627" width="9.85546875" style="568" customWidth="1"/>
    <col min="14628" max="14628" width="4.85546875" style="568" customWidth="1"/>
    <col min="14629" max="14629" width="10" style="568" customWidth="1"/>
    <col min="14630" max="14630" width="13.42578125" style="568" customWidth="1"/>
    <col min="14631" max="14841" width="11.42578125" style="568"/>
    <col min="14842" max="14842" width="0" style="568" hidden="1" customWidth="1"/>
    <col min="14843" max="14843" width="0.28515625" style="568" customWidth="1"/>
    <col min="14844" max="14844" width="5" style="568" customWidth="1"/>
    <col min="14845" max="14845" width="8.140625" style="568" bestFit="1" customWidth="1"/>
    <col min="14846" max="14846" width="14.140625" style="568" bestFit="1" customWidth="1"/>
    <col min="14847" max="14847" width="22.42578125" style="568" customWidth="1"/>
    <col min="14848" max="14848" width="7" style="568" bestFit="1" customWidth="1"/>
    <col min="14849" max="14849" width="13.7109375" style="568" customWidth="1"/>
    <col min="14850" max="14850" width="22.42578125" style="568" customWidth="1"/>
    <col min="14851" max="14851" width="20.42578125" style="568" customWidth="1"/>
    <col min="14852" max="14853" width="8.42578125" style="568" customWidth="1"/>
    <col min="14854" max="14854" width="8" style="568" customWidth="1"/>
    <col min="14855" max="14856" width="5" style="568" customWidth="1"/>
    <col min="14857" max="14857" width="5.140625" style="568" customWidth="1"/>
    <col min="14858" max="14858" width="6.42578125" style="568" customWidth="1"/>
    <col min="14859" max="14860" width="6.5703125" style="568" bestFit="1" customWidth="1"/>
    <col min="14861" max="14862" width="5.28515625" style="568" customWidth="1"/>
    <col min="14863" max="14863" width="5" style="568" customWidth="1"/>
    <col min="14864" max="14864" width="7.7109375" style="568" customWidth="1"/>
    <col min="14865" max="14865" width="6.85546875" style="568" customWidth="1"/>
    <col min="14866" max="14866" width="6.5703125" style="568" bestFit="1" customWidth="1"/>
    <col min="14867" max="14867" width="5.42578125" style="568" customWidth="1"/>
    <col min="14868" max="14868" width="5.28515625" style="568" customWidth="1"/>
    <col min="14869" max="14869" width="5.42578125" style="568" customWidth="1"/>
    <col min="14870" max="14870" width="7.42578125" style="568" customWidth="1"/>
    <col min="14871" max="14871" width="7.140625" style="568" customWidth="1"/>
    <col min="14872" max="14872" width="7.7109375" style="568" customWidth="1"/>
    <col min="14873" max="14873" width="5.5703125" style="568" customWidth="1"/>
    <col min="14874" max="14874" width="5.42578125" style="568" customWidth="1"/>
    <col min="14875" max="14875" width="5.140625" style="568" customWidth="1"/>
    <col min="14876" max="14876" width="7.42578125" style="568" customWidth="1"/>
    <col min="14877" max="14877" width="7.140625" style="568" customWidth="1"/>
    <col min="14878" max="14878" width="6.5703125" style="568" bestFit="1" customWidth="1"/>
    <col min="14879" max="14879" width="9.140625" style="568" bestFit="1" customWidth="1"/>
    <col min="14880" max="14880" width="8.140625" style="568" bestFit="1" customWidth="1"/>
    <col min="14881" max="14882" width="5.42578125" style="568" customWidth="1"/>
    <col min="14883" max="14883" width="9.85546875" style="568" customWidth="1"/>
    <col min="14884" max="14884" width="4.85546875" style="568" customWidth="1"/>
    <col min="14885" max="14885" width="10" style="568" customWidth="1"/>
    <col min="14886" max="14886" width="13.42578125" style="568" customWidth="1"/>
    <col min="14887" max="15097" width="11.42578125" style="568"/>
    <col min="15098" max="15098" width="0" style="568" hidden="1" customWidth="1"/>
    <col min="15099" max="15099" width="0.28515625" style="568" customWidth="1"/>
    <col min="15100" max="15100" width="5" style="568" customWidth="1"/>
    <col min="15101" max="15101" width="8.140625" style="568" bestFit="1" customWidth="1"/>
    <col min="15102" max="15102" width="14.140625" style="568" bestFit="1" customWidth="1"/>
    <col min="15103" max="15103" width="22.42578125" style="568" customWidth="1"/>
    <col min="15104" max="15104" width="7" style="568" bestFit="1" customWidth="1"/>
    <col min="15105" max="15105" width="13.7109375" style="568" customWidth="1"/>
    <col min="15106" max="15106" width="22.42578125" style="568" customWidth="1"/>
    <col min="15107" max="15107" width="20.42578125" style="568" customWidth="1"/>
    <col min="15108" max="15109" width="8.42578125" style="568" customWidth="1"/>
    <col min="15110" max="15110" width="8" style="568" customWidth="1"/>
    <col min="15111" max="15112" width="5" style="568" customWidth="1"/>
    <col min="15113" max="15113" width="5.140625" style="568" customWidth="1"/>
    <col min="15114" max="15114" width="6.42578125" style="568" customWidth="1"/>
    <col min="15115" max="15116" width="6.5703125" style="568" bestFit="1" customWidth="1"/>
    <col min="15117" max="15118" width="5.28515625" style="568" customWidth="1"/>
    <col min="15119" max="15119" width="5" style="568" customWidth="1"/>
    <col min="15120" max="15120" width="7.7109375" style="568" customWidth="1"/>
    <col min="15121" max="15121" width="6.85546875" style="568" customWidth="1"/>
    <col min="15122" max="15122" width="6.5703125" style="568" bestFit="1" customWidth="1"/>
    <col min="15123" max="15123" width="5.42578125" style="568" customWidth="1"/>
    <col min="15124" max="15124" width="5.28515625" style="568" customWidth="1"/>
    <col min="15125" max="15125" width="5.42578125" style="568" customWidth="1"/>
    <col min="15126" max="15126" width="7.42578125" style="568" customWidth="1"/>
    <col min="15127" max="15127" width="7.140625" style="568" customWidth="1"/>
    <col min="15128" max="15128" width="7.7109375" style="568" customWidth="1"/>
    <col min="15129" max="15129" width="5.5703125" style="568" customWidth="1"/>
    <col min="15130" max="15130" width="5.42578125" style="568" customWidth="1"/>
    <col min="15131" max="15131" width="5.140625" style="568" customWidth="1"/>
    <col min="15132" max="15132" width="7.42578125" style="568" customWidth="1"/>
    <col min="15133" max="15133" width="7.140625" style="568" customWidth="1"/>
    <col min="15134" max="15134" width="6.5703125" style="568" bestFit="1" customWidth="1"/>
    <col min="15135" max="15135" width="9.140625" style="568" bestFit="1" customWidth="1"/>
    <col min="15136" max="15136" width="8.140625" style="568" bestFit="1" customWidth="1"/>
    <col min="15137" max="15138" width="5.42578125" style="568" customWidth="1"/>
    <col min="15139" max="15139" width="9.85546875" style="568" customWidth="1"/>
    <col min="15140" max="15140" width="4.85546875" style="568" customWidth="1"/>
    <col min="15141" max="15141" width="10" style="568" customWidth="1"/>
    <col min="15142" max="15142" width="13.42578125" style="568" customWidth="1"/>
    <col min="15143" max="15353" width="11.42578125" style="568"/>
    <col min="15354" max="15354" width="0" style="568" hidden="1" customWidth="1"/>
    <col min="15355" max="15355" width="0.28515625" style="568" customWidth="1"/>
    <col min="15356" max="15356" width="5" style="568" customWidth="1"/>
    <col min="15357" max="15357" width="8.140625" style="568" bestFit="1" customWidth="1"/>
    <col min="15358" max="15358" width="14.140625" style="568" bestFit="1" customWidth="1"/>
    <col min="15359" max="15359" width="22.42578125" style="568" customWidth="1"/>
    <col min="15360" max="15360" width="7" style="568" bestFit="1" customWidth="1"/>
    <col min="15361" max="15361" width="13.7109375" style="568" customWidth="1"/>
    <col min="15362" max="15362" width="22.42578125" style="568" customWidth="1"/>
    <col min="15363" max="15363" width="20.42578125" style="568" customWidth="1"/>
    <col min="15364" max="15365" width="8.42578125" style="568" customWidth="1"/>
    <col min="15366" max="15366" width="8" style="568" customWidth="1"/>
    <col min="15367" max="15368" width="5" style="568" customWidth="1"/>
    <col min="15369" max="15369" width="5.140625" style="568" customWidth="1"/>
    <col min="15370" max="15370" width="6.42578125" style="568" customWidth="1"/>
    <col min="15371" max="15372" width="6.5703125" style="568" bestFit="1" customWidth="1"/>
    <col min="15373" max="15374" width="5.28515625" style="568" customWidth="1"/>
    <col min="15375" max="15375" width="5" style="568" customWidth="1"/>
    <col min="15376" max="15376" width="7.7109375" style="568" customWidth="1"/>
    <col min="15377" max="15377" width="6.85546875" style="568" customWidth="1"/>
    <col min="15378" max="15378" width="6.5703125" style="568" bestFit="1" customWidth="1"/>
    <col min="15379" max="15379" width="5.42578125" style="568" customWidth="1"/>
    <col min="15380" max="15380" width="5.28515625" style="568" customWidth="1"/>
    <col min="15381" max="15381" width="5.42578125" style="568" customWidth="1"/>
    <col min="15382" max="15382" width="7.42578125" style="568" customWidth="1"/>
    <col min="15383" max="15383" width="7.140625" style="568" customWidth="1"/>
    <col min="15384" max="15384" width="7.7109375" style="568" customWidth="1"/>
    <col min="15385" max="15385" width="5.5703125" style="568" customWidth="1"/>
    <col min="15386" max="15386" width="5.42578125" style="568" customWidth="1"/>
    <col min="15387" max="15387" width="5.140625" style="568" customWidth="1"/>
    <col min="15388" max="15388" width="7.42578125" style="568" customWidth="1"/>
    <col min="15389" max="15389" width="7.140625" style="568" customWidth="1"/>
    <col min="15390" max="15390" width="6.5703125" style="568" bestFit="1" customWidth="1"/>
    <col min="15391" max="15391" width="9.140625" style="568" bestFit="1" customWidth="1"/>
    <col min="15392" max="15392" width="8.140625" style="568" bestFit="1" customWidth="1"/>
    <col min="15393" max="15394" width="5.42578125" style="568" customWidth="1"/>
    <col min="15395" max="15395" width="9.85546875" style="568" customWidth="1"/>
    <col min="15396" max="15396" width="4.85546875" style="568" customWidth="1"/>
    <col min="15397" max="15397" width="10" style="568" customWidth="1"/>
    <col min="15398" max="15398" width="13.42578125" style="568" customWidth="1"/>
    <col min="15399" max="15609" width="11.42578125" style="568"/>
    <col min="15610" max="15610" width="0" style="568" hidden="1" customWidth="1"/>
    <col min="15611" max="15611" width="0.28515625" style="568" customWidth="1"/>
    <col min="15612" max="15612" width="5" style="568" customWidth="1"/>
    <col min="15613" max="15613" width="8.140625" style="568" bestFit="1" customWidth="1"/>
    <col min="15614" max="15614" width="14.140625" style="568" bestFit="1" customWidth="1"/>
    <col min="15615" max="15615" width="22.42578125" style="568" customWidth="1"/>
    <col min="15616" max="15616" width="7" style="568" bestFit="1" customWidth="1"/>
    <col min="15617" max="15617" width="13.7109375" style="568" customWidth="1"/>
    <col min="15618" max="15618" width="22.42578125" style="568" customWidth="1"/>
    <col min="15619" max="15619" width="20.42578125" style="568" customWidth="1"/>
    <col min="15620" max="15621" width="8.42578125" style="568" customWidth="1"/>
    <col min="15622" max="15622" width="8" style="568" customWidth="1"/>
    <col min="15623" max="15624" width="5" style="568" customWidth="1"/>
    <col min="15625" max="15625" width="5.140625" style="568" customWidth="1"/>
    <col min="15626" max="15626" width="6.42578125" style="568" customWidth="1"/>
    <col min="15627" max="15628" width="6.5703125" style="568" bestFit="1" customWidth="1"/>
    <col min="15629" max="15630" width="5.28515625" style="568" customWidth="1"/>
    <col min="15631" max="15631" width="5" style="568" customWidth="1"/>
    <col min="15632" max="15632" width="7.7109375" style="568" customWidth="1"/>
    <col min="15633" max="15633" width="6.85546875" style="568" customWidth="1"/>
    <col min="15634" max="15634" width="6.5703125" style="568" bestFit="1" customWidth="1"/>
    <col min="15635" max="15635" width="5.42578125" style="568" customWidth="1"/>
    <col min="15636" max="15636" width="5.28515625" style="568" customWidth="1"/>
    <col min="15637" max="15637" width="5.42578125" style="568" customWidth="1"/>
    <col min="15638" max="15638" width="7.42578125" style="568" customWidth="1"/>
    <col min="15639" max="15639" width="7.140625" style="568" customWidth="1"/>
    <col min="15640" max="15640" width="7.7109375" style="568" customWidth="1"/>
    <col min="15641" max="15641" width="5.5703125" style="568" customWidth="1"/>
    <col min="15642" max="15642" width="5.42578125" style="568" customWidth="1"/>
    <col min="15643" max="15643" width="5.140625" style="568" customWidth="1"/>
    <col min="15644" max="15644" width="7.42578125" style="568" customWidth="1"/>
    <col min="15645" max="15645" width="7.140625" style="568" customWidth="1"/>
    <col min="15646" max="15646" width="6.5703125" style="568" bestFit="1" customWidth="1"/>
    <col min="15647" max="15647" width="9.140625" style="568" bestFit="1" customWidth="1"/>
    <col min="15648" max="15648" width="8.140625" style="568" bestFit="1" customWidth="1"/>
    <col min="15649" max="15650" width="5.42578125" style="568" customWidth="1"/>
    <col min="15651" max="15651" width="9.85546875" style="568" customWidth="1"/>
    <col min="15652" max="15652" width="4.85546875" style="568" customWidth="1"/>
    <col min="15653" max="15653" width="10" style="568" customWidth="1"/>
    <col min="15654" max="15654" width="13.42578125" style="568" customWidth="1"/>
    <col min="15655" max="15865" width="11.42578125" style="568"/>
    <col min="15866" max="15866" width="0" style="568" hidden="1" customWidth="1"/>
    <col min="15867" max="15867" width="0.28515625" style="568" customWidth="1"/>
    <col min="15868" max="15868" width="5" style="568" customWidth="1"/>
    <col min="15869" max="15869" width="8.140625" style="568" bestFit="1" customWidth="1"/>
    <col min="15870" max="15870" width="14.140625" style="568" bestFit="1" customWidth="1"/>
    <col min="15871" max="15871" width="22.42578125" style="568" customWidth="1"/>
    <col min="15872" max="15872" width="7" style="568" bestFit="1" customWidth="1"/>
    <col min="15873" max="15873" width="13.7109375" style="568" customWidth="1"/>
    <col min="15874" max="15874" width="22.42578125" style="568" customWidth="1"/>
    <col min="15875" max="15875" width="20.42578125" style="568" customWidth="1"/>
    <col min="15876" max="15877" width="8.42578125" style="568" customWidth="1"/>
    <col min="15878" max="15878" width="8" style="568" customWidth="1"/>
    <col min="15879" max="15880" width="5" style="568" customWidth="1"/>
    <col min="15881" max="15881" width="5.140625" style="568" customWidth="1"/>
    <col min="15882" max="15882" width="6.42578125" style="568" customWidth="1"/>
    <col min="15883" max="15884" width="6.5703125" style="568" bestFit="1" customWidth="1"/>
    <col min="15885" max="15886" width="5.28515625" style="568" customWidth="1"/>
    <col min="15887" max="15887" width="5" style="568" customWidth="1"/>
    <col min="15888" max="15888" width="7.7109375" style="568" customWidth="1"/>
    <col min="15889" max="15889" width="6.85546875" style="568" customWidth="1"/>
    <col min="15890" max="15890" width="6.5703125" style="568" bestFit="1" customWidth="1"/>
    <col min="15891" max="15891" width="5.42578125" style="568" customWidth="1"/>
    <col min="15892" max="15892" width="5.28515625" style="568" customWidth="1"/>
    <col min="15893" max="15893" width="5.42578125" style="568" customWidth="1"/>
    <col min="15894" max="15894" width="7.42578125" style="568" customWidth="1"/>
    <col min="15895" max="15895" width="7.140625" style="568" customWidth="1"/>
    <col min="15896" max="15896" width="7.7109375" style="568" customWidth="1"/>
    <col min="15897" max="15897" width="5.5703125" style="568" customWidth="1"/>
    <col min="15898" max="15898" width="5.42578125" style="568" customWidth="1"/>
    <col min="15899" max="15899" width="5.140625" style="568" customWidth="1"/>
    <col min="15900" max="15900" width="7.42578125" style="568" customWidth="1"/>
    <col min="15901" max="15901" width="7.140625" style="568" customWidth="1"/>
    <col min="15902" max="15902" width="6.5703125" style="568" bestFit="1" customWidth="1"/>
    <col min="15903" max="15903" width="9.140625" style="568" bestFit="1" customWidth="1"/>
    <col min="15904" max="15904" width="8.140625" style="568" bestFit="1" customWidth="1"/>
    <col min="15905" max="15906" width="5.42578125" style="568" customWidth="1"/>
    <col min="15907" max="15907" width="9.85546875" style="568" customWidth="1"/>
    <col min="15908" max="15908" width="4.85546875" style="568" customWidth="1"/>
    <col min="15909" max="15909" width="10" style="568" customWidth="1"/>
    <col min="15910" max="15910" width="13.42578125" style="568" customWidth="1"/>
    <col min="15911" max="16121" width="11.42578125" style="568"/>
    <col min="16122" max="16122" width="0" style="568" hidden="1" customWidth="1"/>
    <col min="16123" max="16123" width="0.28515625" style="568" customWidth="1"/>
    <col min="16124" max="16124" width="5" style="568" customWidth="1"/>
    <col min="16125" max="16125" width="8.140625" style="568" bestFit="1" customWidth="1"/>
    <col min="16126" max="16126" width="14.140625" style="568" bestFit="1" customWidth="1"/>
    <col min="16127" max="16127" width="22.42578125" style="568" customWidth="1"/>
    <col min="16128" max="16128" width="7" style="568" bestFit="1" customWidth="1"/>
    <col min="16129" max="16129" width="13.7109375" style="568" customWidth="1"/>
    <col min="16130" max="16130" width="22.42578125" style="568" customWidth="1"/>
    <col min="16131" max="16131" width="20.42578125" style="568" customWidth="1"/>
    <col min="16132" max="16133" width="8.42578125" style="568" customWidth="1"/>
    <col min="16134" max="16134" width="8" style="568" customWidth="1"/>
    <col min="16135" max="16136" width="5" style="568" customWidth="1"/>
    <col min="16137" max="16137" width="5.140625" style="568" customWidth="1"/>
    <col min="16138" max="16138" width="6.42578125" style="568" customWidth="1"/>
    <col min="16139" max="16140" width="6.5703125" style="568" bestFit="1" customWidth="1"/>
    <col min="16141" max="16142" width="5.28515625" style="568" customWidth="1"/>
    <col min="16143" max="16143" width="5" style="568" customWidth="1"/>
    <col min="16144" max="16144" width="7.7109375" style="568" customWidth="1"/>
    <col min="16145" max="16145" width="6.85546875" style="568" customWidth="1"/>
    <col min="16146" max="16146" width="6.5703125" style="568" bestFit="1" customWidth="1"/>
    <col min="16147" max="16147" width="5.42578125" style="568" customWidth="1"/>
    <col min="16148" max="16148" width="5.28515625" style="568" customWidth="1"/>
    <col min="16149" max="16149" width="5.42578125" style="568" customWidth="1"/>
    <col min="16150" max="16150" width="7.42578125" style="568" customWidth="1"/>
    <col min="16151" max="16151" width="7.140625" style="568" customWidth="1"/>
    <col min="16152" max="16152" width="7.7109375" style="568" customWidth="1"/>
    <col min="16153" max="16153" width="5.5703125" style="568" customWidth="1"/>
    <col min="16154" max="16154" width="5.42578125" style="568" customWidth="1"/>
    <col min="16155" max="16155" width="5.140625" style="568" customWidth="1"/>
    <col min="16156" max="16156" width="7.42578125" style="568" customWidth="1"/>
    <col min="16157" max="16157" width="7.140625" style="568" customWidth="1"/>
    <col min="16158" max="16158" width="6.5703125" style="568" bestFit="1" customWidth="1"/>
    <col min="16159" max="16159" width="9.140625" style="568" bestFit="1" customWidth="1"/>
    <col min="16160" max="16160" width="8.140625" style="568" bestFit="1" customWidth="1"/>
    <col min="16161" max="16162" width="5.42578125" style="568" customWidth="1"/>
    <col min="16163" max="16163" width="9.85546875" style="568" customWidth="1"/>
    <col min="16164" max="16164" width="4.85546875" style="568" customWidth="1"/>
    <col min="16165" max="16165" width="10" style="568" customWidth="1"/>
    <col min="16166" max="16166" width="13.42578125" style="568" customWidth="1"/>
    <col min="16167" max="16384" width="11.42578125" style="568"/>
  </cols>
  <sheetData>
    <row r="1" spans="1:61">
      <c r="A1" s="921" t="s">
        <v>0</v>
      </c>
      <c r="B1" s="921"/>
      <c r="C1" s="921"/>
      <c r="D1" s="921"/>
      <c r="E1" s="921"/>
      <c r="F1" s="921"/>
      <c r="G1" s="921"/>
      <c r="H1" s="921"/>
      <c r="I1" s="921"/>
      <c r="J1" s="921"/>
      <c r="K1" s="921"/>
      <c r="L1" s="921"/>
      <c r="M1" s="921"/>
      <c r="N1" s="921"/>
      <c r="O1" s="921"/>
      <c r="P1" s="921"/>
      <c r="Q1" s="921"/>
      <c r="R1" s="921"/>
      <c r="S1" s="921"/>
      <c r="T1" s="921"/>
      <c r="U1" s="921"/>
      <c r="V1" s="921"/>
      <c r="W1" s="921"/>
      <c r="X1" s="921"/>
      <c r="Y1" s="921"/>
      <c r="Z1" s="921"/>
      <c r="AA1" s="921"/>
      <c r="AB1" s="921"/>
      <c r="AC1" s="921"/>
      <c r="AD1" s="921"/>
      <c r="AE1" s="921"/>
      <c r="AF1" s="921"/>
      <c r="AG1" s="921"/>
      <c r="AH1" s="921"/>
      <c r="AI1" s="921"/>
      <c r="AJ1" s="921"/>
      <c r="AK1" s="921"/>
      <c r="AL1" s="921"/>
      <c r="AM1" s="921"/>
      <c r="AN1" s="921"/>
      <c r="AO1" s="921"/>
      <c r="AP1" s="921"/>
      <c r="AQ1" s="921"/>
      <c r="AR1" s="921"/>
    </row>
    <row r="2" spans="1:61">
      <c r="A2" s="921" t="s">
        <v>1</v>
      </c>
      <c r="B2" s="921"/>
      <c r="C2" s="921"/>
      <c r="D2" s="921"/>
      <c r="E2" s="921"/>
      <c r="F2" s="921"/>
      <c r="G2" s="921"/>
      <c r="H2" s="921"/>
      <c r="I2" s="921"/>
      <c r="J2" s="921"/>
      <c r="K2" s="921"/>
      <c r="L2" s="921"/>
      <c r="M2" s="921"/>
      <c r="N2" s="921"/>
      <c r="O2" s="921"/>
      <c r="P2" s="921"/>
      <c r="Q2" s="921"/>
      <c r="R2" s="921"/>
      <c r="S2" s="921"/>
      <c r="T2" s="921"/>
      <c r="U2" s="921"/>
      <c r="V2" s="921"/>
      <c r="W2" s="921"/>
      <c r="X2" s="921"/>
      <c r="Y2" s="921"/>
      <c r="Z2" s="921"/>
      <c r="AA2" s="921"/>
      <c r="AB2" s="921"/>
      <c r="AC2" s="921"/>
      <c r="AD2" s="921"/>
      <c r="AE2" s="921"/>
      <c r="AF2" s="921"/>
      <c r="AG2" s="921"/>
      <c r="AH2" s="921"/>
      <c r="AI2" s="921"/>
      <c r="AJ2" s="921"/>
      <c r="AK2" s="921"/>
      <c r="AL2" s="921"/>
      <c r="AM2" s="921"/>
      <c r="AN2" s="921"/>
      <c r="AO2" s="921"/>
      <c r="AP2" s="921"/>
      <c r="AQ2" s="921"/>
      <c r="AR2" s="921"/>
    </row>
    <row r="3" spans="1:61">
      <c r="A3" s="537"/>
      <c r="B3" s="537"/>
      <c r="C3" s="537"/>
      <c r="D3" s="536" t="s">
        <v>1564</v>
      </c>
      <c r="E3" s="536"/>
      <c r="F3" s="536"/>
      <c r="G3" s="536"/>
      <c r="H3" s="536"/>
      <c r="I3" s="536"/>
      <c r="J3" s="536"/>
      <c r="K3" s="536"/>
      <c r="L3" s="536"/>
      <c r="M3" s="536"/>
      <c r="N3" s="536"/>
      <c r="O3" s="536"/>
      <c r="P3" s="536"/>
      <c r="Q3" s="536"/>
      <c r="R3" s="536"/>
      <c r="S3" s="536"/>
      <c r="T3" s="536"/>
      <c r="U3" s="536"/>
      <c r="V3" s="536"/>
      <c r="W3" s="536"/>
      <c r="X3" s="536"/>
      <c r="Y3" s="536"/>
      <c r="Z3" s="536"/>
      <c r="AA3" s="536"/>
      <c r="AB3" s="536"/>
      <c r="AC3" s="536"/>
      <c r="AD3" s="536"/>
      <c r="AE3" s="536"/>
      <c r="AF3" s="536"/>
      <c r="AG3" s="536"/>
      <c r="AH3" s="536"/>
      <c r="AI3" s="536"/>
      <c r="AJ3" s="536"/>
      <c r="AK3" s="536"/>
      <c r="AL3" s="536"/>
      <c r="AM3" s="536"/>
      <c r="AN3" s="536"/>
      <c r="AO3" s="536"/>
      <c r="AP3" s="536"/>
      <c r="AQ3" s="536"/>
      <c r="AR3" s="536"/>
    </row>
    <row r="4" spans="1:61">
      <c r="A4" s="537"/>
      <c r="B4" s="537"/>
      <c r="C4" s="537"/>
      <c r="D4" s="536" t="s">
        <v>1565</v>
      </c>
      <c r="E4" s="536"/>
      <c r="F4" s="536"/>
      <c r="G4" s="536"/>
      <c r="H4" s="536"/>
      <c r="I4" s="536"/>
      <c r="J4" s="536"/>
      <c r="K4" s="536"/>
      <c r="L4" s="536"/>
      <c r="M4" s="536"/>
      <c r="N4" s="536"/>
      <c r="O4" s="536"/>
      <c r="P4" s="536"/>
      <c r="Q4" s="536"/>
      <c r="R4" s="536"/>
      <c r="S4" s="536"/>
      <c r="T4" s="536"/>
      <c r="U4" s="536"/>
      <c r="V4" s="536"/>
      <c r="W4" s="536"/>
      <c r="X4" s="536"/>
      <c r="Y4" s="536"/>
      <c r="Z4" s="536"/>
      <c r="AA4" s="536"/>
      <c r="AB4" s="536"/>
      <c r="AC4" s="536"/>
      <c r="AD4" s="536"/>
      <c r="AE4" s="536"/>
      <c r="AF4" s="536"/>
      <c r="AG4" s="536"/>
      <c r="AH4" s="536"/>
      <c r="AI4" s="536"/>
      <c r="AJ4" s="536"/>
      <c r="AK4" s="536"/>
      <c r="AL4" s="536"/>
      <c r="AM4" s="536"/>
      <c r="AN4" s="536"/>
      <c r="AO4" s="536"/>
      <c r="AP4" s="536"/>
      <c r="AQ4" s="536"/>
      <c r="AR4" s="536"/>
    </row>
    <row r="5" spans="1:61">
      <c r="A5" s="537"/>
      <c r="B5" s="537"/>
      <c r="C5" s="537"/>
      <c r="D5" s="536" t="s">
        <v>160</v>
      </c>
      <c r="E5" s="536"/>
      <c r="F5" s="536"/>
      <c r="G5" s="537"/>
      <c r="H5" s="537"/>
      <c r="I5" s="537"/>
      <c r="J5" s="537"/>
      <c r="K5" s="538"/>
      <c r="L5" s="538"/>
      <c r="M5" s="538"/>
      <c r="N5" s="538"/>
      <c r="O5" s="538"/>
      <c r="P5" s="538"/>
      <c r="Q5" s="538"/>
      <c r="R5" s="538"/>
      <c r="S5" s="538"/>
      <c r="T5" s="538"/>
      <c r="U5" s="538"/>
      <c r="V5" s="538"/>
      <c r="W5" s="538"/>
      <c r="X5" s="538"/>
      <c r="Y5" s="538"/>
      <c r="Z5" s="538"/>
      <c r="AA5" s="538"/>
      <c r="AB5" s="538"/>
      <c r="AC5" s="538"/>
      <c r="AD5" s="538"/>
      <c r="AE5" s="538"/>
      <c r="AF5" s="538"/>
      <c r="AG5" s="538"/>
      <c r="AH5" s="538"/>
      <c r="AI5" s="538"/>
      <c r="AJ5" s="538"/>
      <c r="AK5" s="538"/>
      <c r="AL5" s="538"/>
      <c r="AM5" s="538"/>
      <c r="AN5" s="538"/>
      <c r="AO5" s="538"/>
      <c r="AP5" s="538"/>
      <c r="AQ5" s="538"/>
      <c r="AR5" s="538"/>
      <c r="AS5" s="539"/>
      <c r="AT5" s="539"/>
      <c r="AU5" s="539"/>
      <c r="AV5" s="539"/>
      <c r="AW5" s="539"/>
      <c r="AX5" s="539"/>
      <c r="AY5" s="539"/>
      <c r="AZ5" s="539"/>
      <c r="BA5" s="539"/>
      <c r="BB5" s="539"/>
      <c r="BC5" s="539"/>
      <c r="BD5" s="539"/>
      <c r="BE5" s="539"/>
      <c r="BF5" s="539"/>
      <c r="BG5" s="539"/>
      <c r="BH5" s="539"/>
      <c r="BI5" s="539"/>
    </row>
    <row r="6" spans="1:61" s="243" customFormat="1" ht="15.75" customHeight="1">
      <c r="A6" s="872" t="s">
        <v>5</v>
      </c>
      <c r="B6" s="872"/>
      <c r="C6" s="872"/>
      <c r="D6" s="873" t="s">
        <v>6</v>
      </c>
      <c r="E6" s="874" t="s">
        <v>7</v>
      </c>
      <c r="F6" s="872" t="s">
        <v>8</v>
      </c>
      <c r="G6" s="872" t="s">
        <v>9</v>
      </c>
      <c r="H6" s="872" t="s">
        <v>10</v>
      </c>
      <c r="I6" s="872" t="s">
        <v>11</v>
      </c>
      <c r="J6" s="872" t="s">
        <v>12</v>
      </c>
      <c r="K6" s="872" t="s">
        <v>13</v>
      </c>
      <c r="L6" s="876" t="s">
        <v>14</v>
      </c>
      <c r="M6" s="877"/>
      <c r="N6" s="877"/>
      <c r="O6" s="877"/>
      <c r="P6" s="877"/>
      <c r="Q6" s="877"/>
      <c r="R6" s="877"/>
      <c r="S6" s="877"/>
      <c r="T6" s="877"/>
      <c r="U6" s="877"/>
      <c r="V6" s="877"/>
      <c r="W6" s="877"/>
      <c r="X6" s="877"/>
      <c r="Y6" s="877"/>
      <c r="Z6" s="877"/>
      <c r="AA6" s="877"/>
      <c r="AB6" s="877"/>
      <c r="AC6" s="877"/>
      <c r="AD6" s="877"/>
      <c r="AE6" s="877"/>
      <c r="AF6" s="877"/>
      <c r="AG6" s="877"/>
      <c r="AH6" s="877"/>
      <c r="AI6" s="877"/>
      <c r="AJ6" s="878"/>
      <c r="AK6" s="872" t="s">
        <v>15</v>
      </c>
      <c r="AL6" s="872"/>
      <c r="AM6" s="872"/>
      <c r="AN6" s="872"/>
      <c r="AO6" s="872"/>
      <c r="AP6" s="872" t="s">
        <v>16</v>
      </c>
      <c r="AQ6" s="872" t="s">
        <v>17</v>
      </c>
      <c r="AR6" s="872" t="s">
        <v>18</v>
      </c>
    </row>
    <row r="7" spans="1:61" s="243" customFormat="1">
      <c r="A7" s="872" t="s">
        <v>20</v>
      </c>
      <c r="B7" s="872" t="s">
        <v>21</v>
      </c>
      <c r="C7" s="872" t="s">
        <v>22</v>
      </c>
      <c r="D7" s="873"/>
      <c r="E7" s="874"/>
      <c r="F7" s="872"/>
      <c r="G7" s="872"/>
      <c r="H7" s="872"/>
      <c r="I7" s="872"/>
      <c r="J7" s="872"/>
      <c r="K7" s="872"/>
      <c r="L7" s="875" t="s">
        <v>23</v>
      </c>
      <c r="M7" s="875"/>
      <c r="N7" s="875"/>
      <c r="O7" s="875"/>
      <c r="P7" s="875"/>
      <c r="Q7" s="875"/>
      <c r="R7" s="875" t="s">
        <v>24</v>
      </c>
      <c r="S7" s="875"/>
      <c r="T7" s="875"/>
      <c r="U7" s="875"/>
      <c r="V7" s="875"/>
      <c r="W7" s="875"/>
      <c r="X7" s="875" t="s">
        <v>25</v>
      </c>
      <c r="Y7" s="875"/>
      <c r="Z7" s="875"/>
      <c r="AA7" s="875"/>
      <c r="AB7" s="875"/>
      <c r="AC7" s="875"/>
      <c r="AD7" s="875" t="s">
        <v>26</v>
      </c>
      <c r="AE7" s="875"/>
      <c r="AF7" s="875"/>
      <c r="AG7" s="875"/>
      <c r="AH7" s="875"/>
      <c r="AI7" s="875"/>
      <c r="AJ7" s="874" t="s">
        <v>162</v>
      </c>
      <c r="AK7" s="872" t="s">
        <v>28</v>
      </c>
      <c r="AL7" s="872" t="s">
        <v>29</v>
      </c>
      <c r="AM7" s="872" t="s">
        <v>30</v>
      </c>
      <c r="AN7" s="872" t="s">
        <v>163</v>
      </c>
      <c r="AO7" s="872" t="s">
        <v>32</v>
      </c>
      <c r="AP7" s="872"/>
      <c r="AQ7" s="872"/>
      <c r="AR7" s="872"/>
    </row>
    <row r="8" spans="1:61" s="243" customFormat="1">
      <c r="A8" s="872"/>
      <c r="B8" s="872"/>
      <c r="C8" s="872"/>
      <c r="D8" s="873"/>
      <c r="E8" s="874"/>
      <c r="F8" s="872"/>
      <c r="G8" s="872"/>
      <c r="H8" s="872"/>
      <c r="I8" s="872"/>
      <c r="J8" s="872"/>
      <c r="K8" s="872"/>
      <c r="L8" s="875" t="s">
        <v>33</v>
      </c>
      <c r="M8" s="875"/>
      <c r="N8" s="875"/>
      <c r="O8" s="875" t="s">
        <v>34</v>
      </c>
      <c r="P8" s="875"/>
      <c r="Q8" s="875"/>
      <c r="R8" s="875" t="s">
        <v>33</v>
      </c>
      <c r="S8" s="875"/>
      <c r="T8" s="875"/>
      <c r="U8" s="875" t="s">
        <v>34</v>
      </c>
      <c r="V8" s="875"/>
      <c r="W8" s="875"/>
      <c r="X8" s="875" t="s">
        <v>33</v>
      </c>
      <c r="Y8" s="875"/>
      <c r="Z8" s="875"/>
      <c r="AA8" s="875" t="s">
        <v>34</v>
      </c>
      <c r="AB8" s="875"/>
      <c r="AC8" s="875"/>
      <c r="AD8" s="875" t="s">
        <v>33</v>
      </c>
      <c r="AE8" s="875"/>
      <c r="AF8" s="875"/>
      <c r="AG8" s="875" t="s">
        <v>34</v>
      </c>
      <c r="AH8" s="875"/>
      <c r="AI8" s="875"/>
      <c r="AJ8" s="874"/>
      <c r="AK8" s="872"/>
      <c r="AL8" s="872"/>
      <c r="AM8" s="872"/>
      <c r="AN8" s="872"/>
      <c r="AO8" s="872"/>
      <c r="AP8" s="872"/>
      <c r="AQ8" s="872"/>
      <c r="AR8" s="872"/>
    </row>
    <row r="9" spans="1:61" s="243" customFormat="1">
      <c r="A9" s="872"/>
      <c r="B9" s="872"/>
      <c r="C9" s="872"/>
      <c r="D9" s="873"/>
      <c r="E9" s="874"/>
      <c r="F9" s="872"/>
      <c r="G9" s="872"/>
      <c r="H9" s="872"/>
      <c r="I9" s="872"/>
      <c r="J9" s="872"/>
      <c r="K9" s="872"/>
      <c r="L9" s="244" t="s">
        <v>35</v>
      </c>
      <c r="M9" s="244" t="s">
        <v>36</v>
      </c>
      <c r="N9" s="244" t="s">
        <v>37</v>
      </c>
      <c r="O9" s="244" t="s">
        <v>35</v>
      </c>
      <c r="P9" s="244" t="s">
        <v>36</v>
      </c>
      <c r="Q9" s="244" t="s">
        <v>37</v>
      </c>
      <c r="R9" s="244" t="s">
        <v>38</v>
      </c>
      <c r="S9" s="244" t="s">
        <v>37</v>
      </c>
      <c r="T9" s="244" t="s">
        <v>39</v>
      </c>
      <c r="U9" s="244" t="s">
        <v>38</v>
      </c>
      <c r="V9" s="244" t="s">
        <v>37</v>
      </c>
      <c r="W9" s="244" t="s">
        <v>39</v>
      </c>
      <c r="X9" s="244" t="s">
        <v>39</v>
      </c>
      <c r="Y9" s="244" t="s">
        <v>38</v>
      </c>
      <c r="Z9" s="244" t="s">
        <v>40</v>
      </c>
      <c r="AA9" s="244" t="s">
        <v>39</v>
      </c>
      <c r="AB9" s="244" t="s">
        <v>38</v>
      </c>
      <c r="AC9" s="244" t="s">
        <v>40</v>
      </c>
      <c r="AD9" s="244" t="s">
        <v>41</v>
      </c>
      <c r="AE9" s="244" t="s">
        <v>42</v>
      </c>
      <c r="AF9" s="244" t="s">
        <v>43</v>
      </c>
      <c r="AG9" s="244" t="s">
        <v>41</v>
      </c>
      <c r="AH9" s="244" t="s">
        <v>42</v>
      </c>
      <c r="AI9" s="244" t="s">
        <v>43</v>
      </c>
      <c r="AJ9" s="874"/>
      <c r="AK9" s="872"/>
      <c r="AL9" s="872"/>
      <c r="AM9" s="872"/>
      <c r="AN9" s="872"/>
      <c r="AO9" s="872"/>
      <c r="AP9" s="872"/>
      <c r="AQ9" s="872"/>
      <c r="AR9" s="872"/>
    </row>
    <row r="10" spans="1:61" ht="78.75">
      <c r="A10" s="558" t="s">
        <v>147</v>
      </c>
      <c r="B10" s="558" t="s">
        <v>1568</v>
      </c>
      <c r="C10" s="558" t="s">
        <v>1566</v>
      </c>
      <c r="D10" s="540" t="s">
        <v>1567</v>
      </c>
      <c r="E10" s="541"/>
      <c r="F10" s="542"/>
      <c r="G10" s="540"/>
      <c r="H10" s="540"/>
      <c r="I10" s="543">
        <v>1.7527005127507822E-3</v>
      </c>
      <c r="J10" s="541">
        <v>1</v>
      </c>
      <c r="K10" s="541"/>
      <c r="L10" s="544"/>
      <c r="M10" s="544"/>
      <c r="N10" s="544"/>
      <c r="O10" s="544"/>
      <c r="P10" s="544">
        <v>5000</v>
      </c>
      <c r="Q10" s="544">
        <v>3000</v>
      </c>
      <c r="R10" s="544"/>
      <c r="S10" s="544"/>
      <c r="T10" s="544"/>
      <c r="U10" s="544"/>
      <c r="V10" s="544"/>
      <c r="W10" s="544"/>
      <c r="X10" s="544"/>
      <c r="Y10" s="544"/>
      <c r="Z10" s="544"/>
      <c r="AA10" s="544"/>
      <c r="AB10" s="544"/>
      <c r="AC10" s="544"/>
      <c r="AD10" s="544"/>
      <c r="AE10" s="544"/>
      <c r="AF10" s="544"/>
      <c r="AG10" s="544"/>
      <c r="AH10" s="544"/>
      <c r="AI10" s="544"/>
      <c r="AJ10" s="544">
        <f t="shared" ref="AJ10:AJ33" si="0">SUM(O10,P10,Q10,U10,V10,W10,AA10,AB10,AC10,AG10,AH10,AI10)</f>
        <v>8000</v>
      </c>
      <c r="AK10" s="544">
        <f>SUM(AK11:AK12)</f>
        <v>8000</v>
      </c>
      <c r="AL10" s="544"/>
      <c r="AM10" s="544"/>
      <c r="AN10" s="544"/>
      <c r="AO10" s="544"/>
      <c r="AP10" s="540"/>
      <c r="AQ10" s="540"/>
      <c r="AR10" s="540"/>
      <c r="AS10" s="715">
        <f t="shared" ref="AS10:AS73" si="1">AJ10-(O10+P10+Q10+U10+V10+W10+AA10+AB10+AC10+AG10+AH10+AI10)</f>
        <v>0</v>
      </c>
      <c r="AT10" s="715">
        <f t="shared" ref="AT10:AT73" si="2">AJ10-(AK10+AL10+AM10+AN10+AO10)</f>
        <v>0</v>
      </c>
    </row>
    <row r="11" spans="1:61" ht="63">
      <c r="A11" s="567" t="s">
        <v>147</v>
      </c>
      <c r="B11" s="567" t="s">
        <v>1568</v>
      </c>
      <c r="C11" s="567" t="s">
        <v>1569</v>
      </c>
      <c r="D11" s="545" t="s">
        <v>1570</v>
      </c>
      <c r="E11" s="784">
        <v>1</v>
      </c>
      <c r="F11" s="546" t="s">
        <v>98</v>
      </c>
      <c r="G11" s="547" t="s">
        <v>1571</v>
      </c>
      <c r="H11" s="547" t="s">
        <v>1572</v>
      </c>
      <c r="I11" s="548">
        <v>0.625</v>
      </c>
      <c r="J11" s="549"/>
      <c r="K11" s="549">
        <v>65</v>
      </c>
      <c r="L11" s="550"/>
      <c r="M11" s="550">
        <v>1</v>
      </c>
      <c r="N11" s="550"/>
      <c r="O11" s="550"/>
      <c r="P11" s="550">
        <v>5000</v>
      </c>
      <c r="Q11" s="550"/>
      <c r="R11" s="550"/>
      <c r="S11" s="550"/>
      <c r="T11" s="550"/>
      <c r="U11" s="550"/>
      <c r="V11" s="550"/>
      <c r="W11" s="550"/>
      <c r="X11" s="550"/>
      <c r="Y11" s="550"/>
      <c r="Z11" s="550"/>
      <c r="AA11" s="550"/>
      <c r="AB11" s="550"/>
      <c r="AC11" s="550"/>
      <c r="AD11" s="550"/>
      <c r="AE11" s="550"/>
      <c r="AF11" s="550"/>
      <c r="AG11" s="550"/>
      <c r="AH11" s="550"/>
      <c r="AI11" s="550"/>
      <c r="AJ11" s="550">
        <f t="shared" si="0"/>
        <v>5000</v>
      </c>
      <c r="AK11" s="550">
        <f t="shared" ref="AK11:AK12" si="3">AJ11</f>
        <v>5000</v>
      </c>
      <c r="AL11" s="550"/>
      <c r="AM11" s="550"/>
      <c r="AN11" s="550"/>
      <c r="AO11" s="550"/>
      <c r="AP11" s="547" t="s">
        <v>1573</v>
      </c>
      <c r="AQ11" s="547" t="s">
        <v>1574</v>
      </c>
      <c r="AR11" s="547"/>
      <c r="AS11" s="715">
        <f t="shared" si="1"/>
        <v>0</v>
      </c>
      <c r="AT11" s="715">
        <f t="shared" si="2"/>
        <v>0</v>
      </c>
    </row>
    <row r="12" spans="1:61" ht="63">
      <c r="A12" s="567" t="s">
        <v>147</v>
      </c>
      <c r="B12" s="567" t="s">
        <v>1568</v>
      </c>
      <c r="C12" s="567" t="s">
        <v>1575</v>
      </c>
      <c r="D12" s="545" t="s">
        <v>1576</v>
      </c>
      <c r="E12" s="551">
        <v>1</v>
      </c>
      <c r="F12" s="552" t="s">
        <v>213</v>
      </c>
      <c r="G12" s="545" t="s">
        <v>1577</v>
      </c>
      <c r="H12" s="545" t="s">
        <v>1578</v>
      </c>
      <c r="I12" s="548">
        <v>0.375</v>
      </c>
      <c r="J12" s="551"/>
      <c r="K12" s="551">
        <v>35</v>
      </c>
      <c r="L12" s="553"/>
      <c r="M12" s="553"/>
      <c r="N12" s="553">
        <v>1</v>
      </c>
      <c r="O12" s="553"/>
      <c r="P12" s="553"/>
      <c r="Q12" s="553">
        <v>3000</v>
      </c>
      <c r="R12" s="553"/>
      <c r="S12" s="550"/>
      <c r="T12" s="550"/>
      <c r="U12" s="553"/>
      <c r="V12" s="553"/>
      <c r="W12" s="553"/>
      <c r="X12" s="553"/>
      <c r="Y12" s="553"/>
      <c r="Z12" s="553"/>
      <c r="AA12" s="553"/>
      <c r="AB12" s="553"/>
      <c r="AC12" s="553"/>
      <c r="AD12" s="553"/>
      <c r="AE12" s="553"/>
      <c r="AF12" s="553"/>
      <c r="AG12" s="553"/>
      <c r="AH12" s="553"/>
      <c r="AI12" s="550"/>
      <c r="AJ12" s="550">
        <f t="shared" si="0"/>
        <v>3000</v>
      </c>
      <c r="AK12" s="550">
        <f t="shared" si="3"/>
        <v>3000</v>
      </c>
      <c r="AL12" s="553"/>
      <c r="AM12" s="553"/>
      <c r="AN12" s="553"/>
      <c r="AO12" s="553"/>
      <c r="AP12" s="545" t="s">
        <v>1573</v>
      </c>
      <c r="AQ12" s="545" t="s">
        <v>1574</v>
      </c>
      <c r="AR12" s="545"/>
      <c r="AS12" s="715">
        <f t="shared" si="1"/>
        <v>0</v>
      </c>
      <c r="AT12" s="715">
        <f t="shared" si="2"/>
        <v>0</v>
      </c>
    </row>
    <row r="13" spans="1:61" ht="47.25">
      <c r="A13" s="558" t="s">
        <v>147</v>
      </c>
      <c r="B13" s="558" t="s">
        <v>1579</v>
      </c>
      <c r="C13" s="558" t="s">
        <v>1580</v>
      </c>
      <c r="D13" s="540" t="s">
        <v>1581</v>
      </c>
      <c r="E13" s="541"/>
      <c r="F13" s="542"/>
      <c r="G13" s="540"/>
      <c r="H13" s="540"/>
      <c r="I13" s="543">
        <v>2.1908756409384778E-3</v>
      </c>
      <c r="J13" s="541">
        <v>1</v>
      </c>
      <c r="K13" s="541"/>
      <c r="L13" s="544"/>
      <c r="M13" s="544"/>
      <c r="N13" s="785"/>
      <c r="O13" s="544"/>
      <c r="P13" s="544"/>
      <c r="Q13" s="544">
        <f>SUM(Q14:Q14)</f>
        <v>2500</v>
      </c>
      <c r="R13" s="544"/>
      <c r="S13" s="544"/>
      <c r="T13" s="785"/>
      <c r="U13" s="544"/>
      <c r="V13" s="544"/>
      <c r="W13" s="544">
        <f>SUM(W14:W14)</f>
        <v>2500</v>
      </c>
      <c r="X13" s="544"/>
      <c r="Y13" s="544"/>
      <c r="Z13" s="785"/>
      <c r="AA13" s="544"/>
      <c r="AB13" s="544"/>
      <c r="AC13" s="544">
        <f>SUM(AC14:AC14)</f>
        <v>2500</v>
      </c>
      <c r="AD13" s="544"/>
      <c r="AE13" s="544"/>
      <c r="AF13" s="785"/>
      <c r="AG13" s="544"/>
      <c r="AH13" s="544"/>
      <c r="AI13" s="544">
        <f>SUM(AI14:AI14)</f>
        <v>2500</v>
      </c>
      <c r="AJ13" s="544">
        <f t="shared" si="0"/>
        <v>10000</v>
      </c>
      <c r="AK13" s="544">
        <f>SUM(AK14:AK14)</f>
        <v>10000</v>
      </c>
      <c r="AL13" s="544"/>
      <c r="AM13" s="544"/>
      <c r="AN13" s="544"/>
      <c r="AO13" s="544"/>
      <c r="AP13" s="540"/>
      <c r="AQ13" s="540" t="s">
        <v>1582</v>
      </c>
      <c r="AR13" s="540"/>
      <c r="AS13" s="715">
        <f t="shared" si="1"/>
        <v>0</v>
      </c>
      <c r="AT13" s="715">
        <f t="shared" si="2"/>
        <v>0</v>
      </c>
    </row>
    <row r="14" spans="1:61" ht="63">
      <c r="A14" s="567" t="s">
        <v>147</v>
      </c>
      <c r="B14" s="567" t="s">
        <v>1579</v>
      </c>
      <c r="C14" s="567" t="s">
        <v>1583</v>
      </c>
      <c r="D14" s="545" t="s">
        <v>1584</v>
      </c>
      <c r="E14" s="551">
        <f>SUM(L14,M14,N14,R14,S14,T14,X14,Y14,Z14,AD14,AE14,AF14)</f>
        <v>4</v>
      </c>
      <c r="F14" s="552" t="s">
        <v>231</v>
      </c>
      <c r="G14" s="547" t="s">
        <v>1585</v>
      </c>
      <c r="H14" s="547" t="s">
        <v>1586</v>
      </c>
      <c r="I14" s="548">
        <v>1</v>
      </c>
      <c r="J14" s="549"/>
      <c r="K14" s="549">
        <v>100</v>
      </c>
      <c r="L14" s="550"/>
      <c r="M14" s="550"/>
      <c r="N14" s="550">
        <v>1</v>
      </c>
      <c r="O14" s="550"/>
      <c r="P14" s="550"/>
      <c r="Q14" s="550">
        <v>2500</v>
      </c>
      <c r="R14" s="550"/>
      <c r="S14" s="550"/>
      <c r="T14" s="550">
        <v>1</v>
      </c>
      <c r="U14" s="550"/>
      <c r="V14" s="550"/>
      <c r="W14" s="550">
        <v>2500</v>
      </c>
      <c r="X14" s="550"/>
      <c r="Y14" s="550"/>
      <c r="Z14" s="550">
        <v>1</v>
      </c>
      <c r="AA14" s="550"/>
      <c r="AB14" s="550"/>
      <c r="AC14" s="550">
        <v>2500</v>
      </c>
      <c r="AD14" s="550"/>
      <c r="AE14" s="550"/>
      <c r="AF14" s="550">
        <v>1</v>
      </c>
      <c r="AG14" s="550"/>
      <c r="AH14" s="550"/>
      <c r="AI14" s="550">
        <v>2500</v>
      </c>
      <c r="AJ14" s="550">
        <f t="shared" si="0"/>
        <v>10000</v>
      </c>
      <c r="AK14" s="550">
        <f>AJ14</f>
        <v>10000</v>
      </c>
      <c r="AL14" s="550"/>
      <c r="AM14" s="550"/>
      <c r="AN14" s="550"/>
      <c r="AO14" s="550"/>
      <c r="AP14" s="547" t="s">
        <v>1573</v>
      </c>
      <c r="AQ14" s="547" t="s">
        <v>1574</v>
      </c>
      <c r="AR14" s="547"/>
      <c r="AS14" s="715">
        <f t="shared" si="1"/>
        <v>0</v>
      </c>
      <c r="AT14" s="715">
        <f t="shared" si="2"/>
        <v>0</v>
      </c>
    </row>
    <row r="15" spans="1:61" ht="47.25">
      <c r="A15" s="558" t="s">
        <v>147</v>
      </c>
      <c r="B15" s="558" t="s">
        <v>1579</v>
      </c>
      <c r="C15" s="558" t="s">
        <v>1587</v>
      </c>
      <c r="D15" s="540" t="s">
        <v>1588</v>
      </c>
      <c r="E15" s="541"/>
      <c r="F15" s="542"/>
      <c r="G15" s="540"/>
      <c r="H15" s="540"/>
      <c r="I15" s="543">
        <v>2.891955846038791E-3</v>
      </c>
      <c r="J15" s="541">
        <v>1</v>
      </c>
      <c r="K15" s="541"/>
      <c r="L15" s="544"/>
      <c r="M15" s="544"/>
      <c r="N15" s="544"/>
      <c r="O15" s="544"/>
      <c r="P15" s="544"/>
      <c r="Q15" s="544">
        <f>SUM(Q16:Q19)</f>
        <v>1800</v>
      </c>
      <c r="R15" s="544"/>
      <c r="S15" s="544"/>
      <c r="T15" s="544"/>
      <c r="U15" s="544">
        <f>SUM(U17:U19)</f>
        <v>0</v>
      </c>
      <c r="V15" s="544">
        <f>SUM(V16:V19)</f>
        <v>1500</v>
      </c>
      <c r="W15" s="544">
        <f>SUM(W16:W19)</f>
        <v>1500</v>
      </c>
      <c r="X15" s="544"/>
      <c r="Y15" s="544"/>
      <c r="Z15" s="544"/>
      <c r="AA15" s="544">
        <f>SUM(AA16:AA19)</f>
        <v>3000</v>
      </c>
      <c r="AB15" s="544">
        <f>SUM(AB16:AB19)</f>
        <v>3000</v>
      </c>
      <c r="AC15" s="544">
        <f>SUM(AC17:AC19)</f>
        <v>0</v>
      </c>
      <c r="AD15" s="544"/>
      <c r="AE15" s="544"/>
      <c r="AF15" s="544"/>
      <c r="AG15" s="544"/>
      <c r="AH15" s="544">
        <f>SUM(AH16:AH19)</f>
        <v>1200</v>
      </c>
      <c r="AI15" s="544">
        <f>SUM(AI16:AI19)</f>
        <v>1200</v>
      </c>
      <c r="AJ15" s="544">
        <f t="shared" si="0"/>
        <v>13200</v>
      </c>
      <c r="AK15" s="544">
        <f>SUM(AK16:AK19)</f>
        <v>13200</v>
      </c>
      <c r="AL15" s="544"/>
      <c r="AM15" s="544"/>
      <c r="AN15" s="544"/>
      <c r="AO15" s="544"/>
      <c r="AP15" s="540"/>
      <c r="AQ15" s="540" t="s">
        <v>1582</v>
      </c>
      <c r="AR15" s="540"/>
      <c r="AS15" s="715">
        <f t="shared" si="1"/>
        <v>0</v>
      </c>
      <c r="AT15" s="715">
        <f t="shared" si="2"/>
        <v>0</v>
      </c>
    </row>
    <row r="16" spans="1:61" ht="63">
      <c r="A16" s="919" t="s">
        <v>147</v>
      </c>
      <c r="B16" s="919" t="s">
        <v>1579</v>
      </c>
      <c r="C16" s="919" t="s">
        <v>1589</v>
      </c>
      <c r="D16" s="907" t="s">
        <v>1590</v>
      </c>
      <c r="E16" s="719">
        <v>1</v>
      </c>
      <c r="F16" s="554" t="s">
        <v>1591</v>
      </c>
      <c r="G16" s="547" t="s">
        <v>1592</v>
      </c>
      <c r="H16" s="547" t="s">
        <v>171</v>
      </c>
      <c r="I16" s="548"/>
      <c r="J16" s="549"/>
      <c r="K16" s="549"/>
      <c r="L16" s="550"/>
      <c r="M16" s="550"/>
      <c r="N16" s="550">
        <v>1</v>
      </c>
      <c r="O16" s="550"/>
      <c r="P16" s="550"/>
      <c r="Q16" s="550">
        <v>900</v>
      </c>
      <c r="R16" s="550"/>
      <c r="S16" s="550"/>
      <c r="T16" s="550"/>
      <c r="U16" s="550"/>
      <c r="V16" s="550"/>
      <c r="W16" s="550"/>
      <c r="X16" s="550"/>
      <c r="Y16" s="550"/>
      <c r="Z16" s="550"/>
      <c r="AA16" s="550"/>
      <c r="AB16" s="550"/>
      <c r="AC16" s="550"/>
      <c r="AD16" s="550"/>
      <c r="AE16" s="550"/>
      <c r="AF16" s="550"/>
      <c r="AG16" s="550"/>
      <c r="AH16" s="550"/>
      <c r="AI16" s="550"/>
      <c r="AJ16" s="550">
        <f t="shared" si="0"/>
        <v>900</v>
      </c>
      <c r="AK16" s="550">
        <f>AJ16</f>
        <v>900</v>
      </c>
      <c r="AL16" s="550"/>
      <c r="AM16" s="550"/>
      <c r="AN16" s="550"/>
      <c r="AO16" s="550"/>
      <c r="AP16" s="555"/>
      <c r="AQ16" s="555"/>
      <c r="AR16" s="555"/>
      <c r="AS16" s="715">
        <f t="shared" si="1"/>
        <v>0</v>
      </c>
      <c r="AT16" s="715">
        <f t="shared" si="2"/>
        <v>0</v>
      </c>
    </row>
    <row r="17" spans="1:48" ht="94.5">
      <c r="A17" s="920"/>
      <c r="B17" s="920"/>
      <c r="C17" s="920"/>
      <c r="D17" s="908"/>
      <c r="E17" s="556">
        <v>4</v>
      </c>
      <c r="F17" s="554" t="s">
        <v>1593</v>
      </c>
      <c r="G17" s="547" t="s">
        <v>1594</v>
      </c>
      <c r="H17" s="547" t="s">
        <v>1595</v>
      </c>
      <c r="I17" s="548">
        <v>0.54545454545454541</v>
      </c>
      <c r="J17" s="549"/>
      <c r="K17" s="549">
        <v>54</v>
      </c>
      <c r="L17" s="550"/>
      <c r="M17" s="550"/>
      <c r="N17" s="550"/>
      <c r="O17" s="550"/>
      <c r="P17" s="550"/>
      <c r="Q17" s="550"/>
      <c r="R17" s="550"/>
      <c r="S17" s="550">
        <v>1</v>
      </c>
      <c r="T17" s="550">
        <v>1</v>
      </c>
      <c r="U17" s="550"/>
      <c r="V17" s="550">
        <v>1500</v>
      </c>
      <c r="W17" s="550">
        <v>1500</v>
      </c>
      <c r="X17" s="550">
        <v>1</v>
      </c>
      <c r="Y17" s="550">
        <v>1</v>
      </c>
      <c r="Z17" s="550"/>
      <c r="AA17" s="550">
        <v>1500</v>
      </c>
      <c r="AB17" s="550">
        <v>1500</v>
      </c>
      <c r="AC17" s="550"/>
      <c r="AD17" s="550"/>
      <c r="AE17" s="550"/>
      <c r="AF17" s="550"/>
      <c r="AG17" s="550"/>
      <c r="AH17" s="550"/>
      <c r="AI17" s="550"/>
      <c r="AJ17" s="550">
        <f t="shared" si="0"/>
        <v>6000</v>
      </c>
      <c r="AK17" s="550">
        <f>AJ17</f>
        <v>6000</v>
      </c>
      <c r="AL17" s="550"/>
      <c r="AM17" s="550"/>
      <c r="AN17" s="550"/>
      <c r="AO17" s="550"/>
      <c r="AP17" s="547" t="s">
        <v>1573</v>
      </c>
      <c r="AQ17" s="547" t="s">
        <v>1574</v>
      </c>
      <c r="AR17" s="547"/>
      <c r="AS17" s="715">
        <f t="shared" si="1"/>
        <v>0</v>
      </c>
      <c r="AT17" s="715">
        <f t="shared" si="2"/>
        <v>0</v>
      </c>
    </row>
    <row r="18" spans="1:48" ht="78.75">
      <c r="A18" s="919" t="s">
        <v>147</v>
      </c>
      <c r="B18" s="919" t="s">
        <v>1579</v>
      </c>
      <c r="C18" s="919" t="s">
        <v>1596</v>
      </c>
      <c r="D18" s="907" t="s">
        <v>1597</v>
      </c>
      <c r="E18" s="549">
        <v>1</v>
      </c>
      <c r="F18" s="554" t="s">
        <v>1591</v>
      </c>
      <c r="G18" s="547" t="s">
        <v>1598</v>
      </c>
      <c r="H18" s="547" t="s">
        <v>171</v>
      </c>
      <c r="I18" s="548"/>
      <c r="J18" s="549"/>
      <c r="K18" s="549"/>
      <c r="L18" s="550"/>
      <c r="M18" s="550"/>
      <c r="N18" s="550">
        <v>1</v>
      </c>
      <c r="O18" s="550"/>
      <c r="P18" s="550"/>
      <c r="Q18" s="550">
        <v>900</v>
      </c>
      <c r="R18" s="550"/>
      <c r="S18" s="550"/>
      <c r="T18" s="550"/>
      <c r="U18" s="550"/>
      <c r="V18" s="550"/>
      <c r="W18" s="550"/>
      <c r="X18" s="550"/>
      <c r="Y18" s="550"/>
      <c r="Z18" s="550"/>
      <c r="AA18" s="550"/>
      <c r="AB18" s="550"/>
      <c r="AC18" s="550"/>
      <c r="AD18" s="550"/>
      <c r="AE18" s="550"/>
      <c r="AF18" s="550"/>
      <c r="AG18" s="550"/>
      <c r="AH18" s="550"/>
      <c r="AI18" s="550"/>
      <c r="AJ18" s="550">
        <f t="shared" si="0"/>
        <v>900</v>
      </c>
      <c r="AK18" s="550">
        <f>AJ18</f>
        <v>900</v>
      </c>
      <c r="AL18" s="550"/>
      <c r="AM18" s="550"/>
      <c r="AN18" s="550"/>
      <c r="AO18" s="550"/>
      <c r="AP18" s="547"/>
      <c r="AQ18" s="547"/>
      <c r="AR18" s="547"/>
      <c r="AS18" s="715">
        <f t="shared" si="1"/>
        <v>0</v>
      </c>
      <c r="AT18" s="715">
        <f t="shared" si="2"/>
        <v>0</v>
      </c>
    </row>
    <row r="19" spans="1:48" ht="94.5">
      <c r="A19" s="920"/>
      <c r="B19" s="920"/>
      <c r="C19" s="920"/>
      <c r="D19" s="908"/>
      <c r="E19" s="784">
        <v>4</v>
      </c>
      <c r="F19" s="554" t="s">
        <v>1593</v>
      </c>
      <c r="G19" s="547" t="s">
        <v>1599</v>
      </c>
      <c r="H19" s="547" t="s">
        <v>1595</v>
      </c>
      <c r="I19" s="548">
        <v>0.45454545454545453</v>
      </c>
      <c r="J19" s="549"/>
      <c r="K19" s="549">
        <v>46</v>
      </c>
      <c r="L19" s="550"/>
      <c r="M19" s="550"/>
      <c r="N19" s="550"/>
      <c r="O19" s="550"/>
      <c r="P19" s="550"/>
      <c r="Q19" s="550"/>
      <c r="R19" s="550"/>
      <c r="S19" s="550"/>
      <c r="T19" s="550"/>
      <c r="U19" s="550"/>
      <c r="V19" s="550"/>
      <c r="W19" s="550"/>
      <c r="X19" s="550">
        <v>1</v>
      </c>
      <c r="Y19" s="550">
        <v>1</v>
      </c>
      <c r="Z19" s="550"/>
      <c r="AA19" s="550">
        <v>1500</v>
      </c>
      <c r="AB19" s="550">
        <v>1500</v>
      </c>
      <c r="AC19" s="550"/>
      <c r="AD19" s="550"/>
      <c r="AE19" s="550">
        <v>1</v>
      </c>
      <c r="AF19" s="550">
        <v>1</v>
      </c>
      <c r="AG19" s="550"/>
      <c r="AH19" s="550">
        <v>1200</v>
      </c>
      <c r="AI19" s="550">
        <v>1200</v>
      </c>
      <c r="AJ19" s="550">
        <f t="shared" si="0"/>
        <v>5400</v>
      </c>
      <c r="AK19" s="550">
        <f>AJ19</f>
        <v>5400</v>
      </c>
      <c r="AL19" s="550"/>
      <c r="AM19" s="550"/>
      <c r="AN19" s="550"/>
      <c r="AO19" s="550"/>
      <c r="AP19" s="547" t="s">
        <v>1573</v>
      </c>
      <c r="AQ19" s="547" t="s">
        <v>1574</v>
      </c>
      <c r="AR19" s="547"/>
      <c r="AS19" s="715">
        <f t="shared" si="1"/>
        <v>0</v>
      </c>
      <c r="AT19" s="715">
        <f t="shared" si="2"/>
        <v>0</v>
      </c>
      <c r="AV19" s="786">
        <v>5927410</v>
      </c>
    </row>
    <row r="20" spans="1:48" ht="31.5">
      <c r="A20" s="558" t="s">
        <v>147</v>
      </c>
      <c r="B20" s="558" t="s">
        <v>1600</v>
      </c>
      <c r="C20" s="558" t="s">
        <v>1601</v>
      </c>
      <c r="D20" s="540" t="s">
        <v>1602</v>
      </c>
      <c r="E20" s="541"/>
      <c r="F20" s="542"/>
      <c r="G20" s="540"/>
      <c r="H20" s="540"/>
      <c r="I20" s="543">
        <v>5.1704665126148077E-3</v>
      </c>
      <c r="J20" s="541">
        <v>1</v>
      </c>
      <c r="K20" s="541"/>
      <c r="L20" s="544"/>
      <c r="M20" s="544"/>
      <c r="N20" s="544"/>
      <c r="O20" s="544">
        <f>SUM(O21:O23)</f>
        <v>900</v>
      </c>
      <c r="P20" s="544">
        <f>SUM(P21:P23)</f>
        <v>2000</v>
      </c>
      <c r="Q20" s="544">
        <f>SUM(Q21:Q24)</f>
        <v>4500</v>
      </c>
      <c r="R20" s="544"/>
      <c r="S20" s="544"/>
      <c r="T20" s="544"/>
      <c r="U20" s="544">
        <f>SUM(U21:U23)</f>
        <v>900</v>
      </c>
      <c r="V20" s="544">
        <f>SUM(V21:V23)</f>
        <v>2000</v>
      </c>
      <c r="W20" s="544">
        <f>SUM(W21:W23)</f>
        <v>3000</v>
      </c>
      <c r="X20" s="544"/>
      <c r="Y20" s="544"/>
      <c r="Z20" s="544"/>
      <c r="AA20" s="544">
        <f>SUM(AA21:AA23)</f>
        <v>900</v>
      </c>
      <c r="AB20" s="544">
        <f>SUM(AB21:AB23)</f>
        <v>2000</v>
      </c>
      <c r="AC20" s="544">
        <f>SUM(AC21:AC23)</f>
        <v>3000</v>
      </c>
      <c r="AD20" s="544"/>
      <c r="AE20" s="544"/>
      <c r="AF20" s="544"/>
      <c r="AG20" s="544">
        <f>SUM(AG21:AG23)</f>
        <v>900</v>
      </c>
      <c r="AH20" s="544">
        <f>SUM(AH21:AH23)</f>
        <v>2000</v>
      </c>
      <c r="AI20" s="544">
        <v>3000</v>
      </c>
      <c r="AJ20" s="544">
        <f t="shared" si="0"/>
        <v>25100</v>
      </c>
      <c r="AK20" s="544">
        <f>SUM(AK21:AK24)</f>
        <v>25100</v>
      </c>
      <c r="AL20" s="544"/>
      <c r="AM20" s="544"/>
      <c r="AN20" s="544"/>
      <c r="AO20" s="544"/>
      <c r="AP20" s="540"/>
      <c r="AQ20" s="540" t="s">
        <v>1582</v>
      </c>
      <c r="AR20" s="540"/>
      <c r="AS20" s="715">
        <f t="shared" si="1"/>
        <v>0</v>
      </c>
      <c r="AT20" s="715">
        <f t="shared" si="2"/>
        <v>0</v>
      </c>
    </row>
    <row r="21" spans="1:48" ht="47.25">
      <c r="A21" s="559" t="s">
        <v>147</v>
      </c>
      <c r="B21" s="559" t="s">
        <v>1600</v>
      </c>
      <c r="C21" s="559" t="s">
        <v>1603</v>
      </c>
      <c r="D21" s="547" t="s">
        <v>1604</v>
      </c>
      <c r="E21" s="549">
        <v>6</v>
      </c>
      <c r="F21" s="554" t="s">
        <v>1605</v>
      </c>
      <c r="G21" s="547" t="s">
        <v>1606</v>
      </c>
      <c r="H21" s="547" t="s">
        <v>1607</v>
      </c>
      <c r="I21" s="548">
        <v>0.15254237288135594</v>
      </c>
      <c r="J21" s="549"/>
      <c r="K21" s="549">
        <v>15</v>
      </c>
      <c r="L21" s="550">
        <v>2</v>
      </c>
      <c r="M21" s="550"/>
      <c r="N21" s="550"/>
      <c r="O21" s="550">
        <v>900</v>
      </c>
      <c r="P21" s="550"/>
      <c r="Q21" s="550"/>
      <c r="R21" s="550">
        <v>2</v>
      </c>
      <c r="S21" s="550"/>
      <c r="T21" s="550"/>
      <c r="U21" s="550">
        <v>900</v>
      </c>
      <c r="V21" s="550"/>
      <c r="W21" s="550"/>
      <c r="X21" s="550">
        <v>2</v>
      </c>
      <c r="Y21" s="550"/>
      <c r="Z21" s="550"/>
      <c r="AA21" s="550">
        <v>900</v>
      </c>
      <c r="AB21" s="550"/>
      <c r="AC21" s="550"/>
      <c r="AD21" s="550">
        <v>2</v>
      </c>
      <c r="AE21" s="550"/>
      <c r="AF21" s="550"/>
      <c r="AG21" s="550">
        <v>900</v>
      </c>
      <c r="AH21" s="550"/>
      <c r="AI21" s="550"/>
      <c r="AJ21" s="550">
        <f t="shared" si="0"/>
        <v>3600</v>
      </c>
      <c r="AK21" s="550">
        <f>AJ21</f>
        <v>3600</v>
      </c>
      <c r="AL21" s="550"/>
      <c r="AM21" s="550"/>
      <c r="AN21" s="550"/>
      <c r="AO21" s="550"/>
      <c r="AP21" s="547" t="s">
        <v>1573</v>
      </c>
      <c r="AQ21" s="547" t="s">
        <v>1574</v>
      </c>
      <c r="AR21" s="547"/>
      <c r="AS21" s="715">
        <f t="shared" si="1"/>
        <v>0</v>
      </c>
      <c r="AT21" s="715">
        <f t="shared" si="2"/>
        <v>0</v>
      </c>
    </row>
    <row r="22" spans="1:48" ht="47.25">
      <c r="A22" s="559" t="s">
        <v>147</v>
      </c>
      <c r="B22" s="559" t="s">
        <v>1600</v>
      </c>
      <c r="C22" s="559" t="s">
        <v>1608</v>
      </c>
      <c r="D22" s="547" t="s">
        <v>1609</v>
      </c>
      <c r="E22" s="549">
        <v>6</v>
      </c>
      <c r="F22" s="554" t="s">
        <v>1610</v>
      </c>
      <c r="G22" s="547" t="s">
        <v>1611</v>
      </c>
      <c r="H22" s="547" t="s">
        <v>1612</v>
      </c>
      <c r="I22" s="548">
        <v>0.33898305084745761</v>
      </c>
      <c r="J22" s="549"/>
      <c r="K22" s="549">
        <v>40</v>
      </c>
      <c r="L22" s="550"/>
      <c r="M22" s="550">
        <v>2</v>
      </c>
      <c r="N22" s="550"/>
      <c r="O22" s="550"/>
      <c r="P22" s="550">
        <v>2000</v>
      </c>
      <c r="Q22" s="550"/>
      <c r="R22" s="550"/>
      <c r="S22" s="550">
        <v>2</v>
      </c>
      <c r="T22" s="550"/>
      <c r="U22" s="550"/>
      <c r="V22" s="550">
        <v>2000</v>
      </c>
      <c r="W22" s="550"/>
      <c r="X22" s="550"/>
      <c r="Y22" s="550">
        <v>2</v>
      </c>
      <c r="Z22" s="550"/>
      <c r="AA22" s="550"/>
      <c r="AB22" s="550">
        <v>2000</v>
      </c>
      <c r="AC22" s="550"/>
      <c r="AD22" s="550"/>
      <c r="AE22" s="550">
        <v>2</v>
      </c>
      <c r="AF22" s="550"/>
      <c r="AG22" s="550"/>
      <c r="AH22" s="550">
        <v>2000</v>
      </c>
      <c r="AI22" s="550"/>
      <c r="AJ22" s="550">
        <f t="shared" si="0"/>
        <v>8000</v>
      </c>
      <c r="AK22" s="550">
        <f>AJ22</f>
        <v>8000</v>
      </c>
      <c r="AL22" s="550"/>
      <c r="AM22" s="550"/>
      <c r="AN22" s="550"/>
      <c r="AO22" s="550"/>
      <c r="AP22" s="547" t="s">
        <v>1573</v>
      </c>
      <c r="AQ22" s="547" t="s">
        <v>1574</v>
      </c>
      <c r="AR22" s="547"/>
      <c r="AS22" s="715">
        <f t="shared" si="1"/>
        <v>0</v>
      </c>
      <c r="AT22" s="715">
        <f t="shared" si="2"/>
        <v>0</v>
      </c>
    </row>
    <row r="23" spans="1:48" ht="78.75">
      <c r="A23" s="559" t="s">
        <v>147</v>
      </c>
      <c r="B23" s="559" t="s">
        <v>1600</v>
      </c>
      <c r="C23" s="559" t="s">
        <v>1613</v>
      </c>
      <c r="D23" s="547" t="s">
        <v>1614</v>
      </c>
      <c r="E23" s="549">
        <v>6</v>
      </c>
      <c r="F23" s="554" t="s">
        <v>1610</v>
      </c>
      <c r="G23" s="547" t="s">
        <v>1615</v>
      </c>
      <c r="H23" s="547" t="s">
        <v>1616</v>
      </c>
      <c r="I23" s="548">
        <v>0.50847457627118642</v>
      </c>
      <c r="J23" s="549"/>
      <c r="K23" s="549">
        <v>45</v>
      </c>
      <c r="L23" s="550"/>
      <c r="M23" s="550"/>
      <c r="N23" s="550">
        <v>2</v>
      </c>
      <c r="O23" s="550"/>
      <c r="P23" s="550"/>
      <c r="Q23" s="550">
        <v>3000</v>
      </c>
      <c r="R23" s="550"/>
      <c r="S23" s="550"/>
      <c r="T23" s="550">
        <v>2</v>
      </c>
      <c r="U23" s="550"/>
      <c r="V23" s="550"/>
      <c r="W23" s="550">
        <v>3000</v>
      </c>
      <c r="X23" s="550"/>
      <c r="Y23" s="550"/>
      <c r="Z23" s="550">
        <v>2</v>
      </c>
      <c r="AA23" s="550"/>
      <c r="AB23" s="550"/>
      <c r="AC23" s="550">
        <v>3000</v>
      </c>
      <c r="AD23" s="550"/>
      <c r="AE23" s="550"/>
      <c r="AF23" s="550">
        <v>2</v>
      </c>
      <c r="AG23" s="550"/>
      <c r="AH23" s="550"/>
      <c r="AI23" s="550">
        <v>3000</v>
      </c>
      <c r="AJ23" s="550">
        <f t="shared" si="0"/>
        <v>12000</v>
      </c>
      <c r="AK23" s="550">
        <f>AJ23</f>
        <v>12000</v>
      </c>
      <c r="AL23" s="550"/>
      <c r="AM23" s="550"/>
      <c r="AN23" s="550"/>
      <c r="AO23" s="550"/>
      <c r="AP23" s="547" t="s">
        <v>1573</v>
      </c>
      <c r="AQ23" s="547" t="s">
        <v>1574</v>
      </c>
      <c r="AR23" s="547"/>
      <c r="AS23" s="715">
        <f t="shared" si="1"/>
        <v>0</v>
      </c>
      <c r="AT23" s="715">
        <f t="shared" si="2"/>
        <v>0</v>
      </c>
    </row>
    <row r="24" spans="1:48" ht="47.25">
      <c r="A24" s="559" t="s">
        <v>147</v>
      </c>
      <c r="B24" s="559" t="s">
        <v>1600</v>
      </c>
      <c r="C24" s="559" t="s">
        <v>1617</v>
      </c>
      <c r="D24" s="547" t="s">
        <v>1618</v>
      </c>
      <c r="E24" s="549">
        <v>1</v>
      </c>
      <c r="F24" s="554" t="s">
        <v>181</v>
      </c>
      <c r="G24" s="547" t="s">
        <v>1619</v>
      </c>
      <c r="H24" s="547" t="s">
        <v>1620</v>
      </c>
      <c r="I24" s="548"/>
      <c r="J24" s="549"/>
      <c r="K24" s="549"/>
      <c r="L24" s="550"/>
      <c r="M24" s="550"/>
      <c r="N24" s="550">
        <v>1</v>
      </c>
      <c r="O24" s="550"/>
      <c r="P24" s="550"/>
      <c r="Q24" s="550">
        <v>1500</v>
      </c>
      <c r="R24" s="550"/>
      <c r="S24" s="550"/>
      <c r="T24" s="550"/>
      <c r="U24" s="550"/>
      <c r="V24" s="550"/>
      <c r="W24" s="550"/>
      <c r="X24" s="550"/>
      <c r="Y24" s="550"/>
      <c r="Z24" s="550"/>
      <c r="AA24" s="550"/>
      <c r="AB24" s="550"/>
      <c r="AC24" s="550"/>
      <c r="AD24" s="550"/>
      <c r="AE24" s="550"/>
      <c r="AF24" s="550"/>
      <c r="AG24" s="550"/>
      <c r="AH24" s="550"/>
      <c r="AI24" s="550"/>
      <c r="AJ24" s="550">
        <f t="shared" si="0"/>
        <v>1500</v>
      </c>
      <c r="AK24" s="550">
        <f>AJ24</f>
        <v>1500</v>
      </c>
      <c r="AL24" s="550"/>
      <c r="AM24" s="550"/>
      <c r="AN24" s="550"/>
      <c r="AO24" s="550"/>
      <c r="AP24" s="547"/>
      <c r="AQ24" s="547"/>
      <c r="AR24" s="547"/>
      <c r="AS24" s="715">
        <f t="shared" si="1"/>
        <v>0</v>
      </c>
      <c r="AT24" s="715">
        <f t="shared" si="2"/>
        <v>0</v>
      </c>
    </row>
    <row r="25" spans="1:48" ht="31.5">
      <c r="A25" s="558" t="s">
        <v>147</v>
      </c>
      <c r="B25" s="558" t="s">
        <v>1600</v>
      </c>
      <c r="C25" s="558" t="s">
        <v>1621</v>
      </c>
      <c r="D25" s="540" t="s">
        <v>1622</v>
      </c>
      <c r="E25" s="541"/>
      <c r="F25" s="542"/>
      <c r="G25" s="540"/>
      <c r="H25" s="540"/>
      <c r="I25" s="543">
        <v>9.2016776919416066E-3</v>
      </c>
      <c r="J25" s="541">
        <v>1</v>
      </c>
      <c r="K25" s="541"/>
      <c r="L25" s="544"/>
      <c r="M25" s="544"/>
      <c r="N25" s="544"/>
      <c r="O25" s="544">
        <f>SUM(O26:O31)</f>
        <v>2000</v>
      </c>
      <c r="P25" s="544">
        <f t="shared" ref="P25:Q25" si="4">SUM(P26:P31)</f>
        <v>4000</v>
      </c>
      <c r="Q25" s="544">
        <f t="shared" si="4"/>
        <v>4000</v>
      </c>
      <c r="R25" s="544"/>
      <c r="S25" s="544"/>
      <c r="T25" s="544"/>
      <c r="U25" s="544">
        <f t="shared" ref="U25:W25" si="5">SUM(U26:U31)</f>
        <v>7000</v>
      </c>
      <c r="V25" s="544">
        <f t="shared" si="5"/>
        <v>3500</v>
      </c>
      <c r="W25" s="544">
        <f t="shared" si="5"/>
        <v>3500</v>
      </c>
      <c r="X25" s="544"/>
      <c r="Y25" s="544"/>
      <c r="Z25" s="544"/>
      <c r="AA25" s="544">
        <f t="shared" ref="AA25:AC25" si="6">SUM(AA26:AA31)</f>
        <v>3000</v>
      </c>
      <c r="AB25" s="544">
        <f t="shared" si="6"/>
        <v>3000</v>
      </c>
      <c r="AC25" s="544">
        <f t="shared" si="6"/>
        <v>3000</v>
      </c>
      <c r="AD25" s="544"/>
      <c r="AE25" s="544"/>
      <c r="AF25" s="544"/>
      <c r="AG25" s="544">
        <f t="shared" ref="AG25:AK25" si="7">SUM(AG26:AG31)</f>
        <v>3000</v>
      </c>
      <c r="AH25" s="544">
        <f t="shared" si="7"/>
        <v>3000</v>
      </c>
      <c r="AI25" s="544">
        <f t="shared" si="7"/>
        <v>3000</v>
      </c>
      <c r="AJ25" s="544">
        <f t="shared" si="7"/>
        <v>42000</v>
      </c>
      <c r="AK25" s="544">
        <f t="shared" si="7"/>
        <v>42000</v>
      </c>
      <c r="AL25" s="544"/>
      <c r="AM25" s="544"/>
      <c r="AN25" s="544"/>
      <c r="AO25" s="544"/>
      <c r="AP25" s="540"/>
      <c r="AQ25" s="540" t="s">
        <v>1582</v>
      </c>
      <c r="AR25" s="540"/>
      <c r="AS25" s="715">
        <f t="shared" si="1"/>
        <v>0</v>
      </c>
      <c r="AT25" s="715">
        <f t="shared" si="2"/>
        <v>0</v>
      </c>
    </row>
    <row r="26" spans="1:48" s="557" customFormat="1" ht="36" customHeight="1">
      <c r="A26" s="911" t="s">
        <v>147</v>
      </c>
      <c r="B26" s="911" t="s">
        <v>1600</v>
      </c>
      <c r="C26" s="911" t="s">
        <v>1623</v>
      </c>
      <c r="D26" s="907" t="s">
        <v>1624</v>
      </c>
      <c r="E26" s="551">
        <v>1</v>
      </c>
      <c r="F26" s="552" t="s">
        <v>375</v>
      </c>
      <c r="G26" s="545" t="s">
        <v>1625</v>
      </c>
      <c r="H26" s="545" t="s">
        <v>1626</v>
      </c>
      <c r="I26" s="548">
        <v>4.7619047619047616E-2</v>
      </c>
      <c r="J26" s="551"/>
      <c r="K26" s="551">
        <v>20</v>
      </c>
      <c r="L26" s="553"/>
      <c r="M26" s="553">
        <v>1</v>
      </c>
      <c r="N26" s="553"/>
      <c r="O26" s="553"/>
      <c r="P26" s="553">
        <v>2000</v>
      </c>
      <c r="Q26" s="553"/>
      <c r="R26" s="553"/>
      <c r="S26" s="553"/>
      <c r="T26" s="553"/>
      <c r="U26" s="553"/>
      <c r="V26" s="553"/>
      <c r="W26" s="553"/>
      <c r="X26" s="553"/>
      <c r="Y26" s="553"/>
      <c r="Z26" s="553"/>
      <c r="AA26" s="553"/>
      <c r="AB26" s="553"/>
      <c r="AC26" s="553"/>
      <c r="AD26" s="553"/>
      <c r="AE26" s="553"/>
      <c r="AF26" s="553"/>
      <c r="AG26" s="553"/>
      <c r="AH26" s="553"/>
      <c r="AI26" s="553"/>
      <c r="AJ26" s="550">
        <f t="shared" ref="AJ26:AJ28" si="8">SUM(O26,P26,Q26,U26,V26,W26,AA26,AB26,AC26,AG26,AH26,AI26)</f>
        <v>2000</v>
      </c>
      <c r="AK26" s="550">
        <f t="shared" ref="AK26:AK28" si="9">AJ26</f>
        <v>2000</v>
      </c>
      <c r="AL26" s="553"/>
      <c r="AM26" s="553"/>
      <c r="AN26" s="553"/>
      <c r="AO26" s="553"/>
      <c r="AP26" s="547" t="s">
        <v>1573</v>
      </c>
      <c r="AQ26" s="547" t="s">
        <v>1627</v>
      </c>
      <c r="AR26" s="545"/>
      <c r="AS26" s="715">
        <f t="shared" si="1"/>
        <v>0</v>
      </c>
      <c r="AT26" s="715">
        <f t="shared" si="2"/>
        <v>0</v>
      </c>
    </row>
    <row r="27" spans="1:48" s="557" customFormat="1" ht="47.25">
      <c r="A27" s="912"/>
      <c r="B27" s="912"/>
      <c r="C27" s="912"/>
      <c r="D27" s="914"/>
      <c r="E27" s="551">
        <v>1</v>
      </c>
      <c r="F27" s="552" t="s">
        <v>1628</v>
      </c>
      <c r="G27" s="545" t="s">
        <v>1629</v>
      </c>
      <c r="H27" s="545" t="s">
        <v>1630</v>
      </c>
      <c r="I27" s="548">
        <v>4.7619047619047616E-2</v>
      </c>
      <c r="J27" s="551"/>
      <c r="K27" s="551">
        <v>15</v>
      </c>
      <c r="L27" s="553"/>
      <c r="M27" s="553"/>
      <c r="N27" s="553">
        <v>1</v>
      </c>
      <c r="O27" s="553"/>
      <c r="P27" s="553"/>
      <c r="Q27" s="553">
        <v>2000</v>
      </c>
      <c r="R27" s="553"/>
      <c r="S27" s="553"/>
      <c r="T27" s="553"/>
      <c r="U27" s="553"/>
      <c r="V27" s="553"/>
      <c r="W27" s="553"/>
      <c r="X27" s="553"/>
      <c r="Y27" s="553"/>
      <c r="Z27" s="553"/>
      <c r="AA27" s="553"/>
      <c r="AB27" s="553"/>
      <c r="AC27" s="553"/>
      <c r="AD27" s="553"/>
      <c r="AE27" s="553"/>
      <c r="AF27" s="553"/>
      <c r="AG27" s="553"/>
      <c r="AH27" s="553"/>
      <c r="AI27" s="553"/>
      <c r="AJ27" s="550">
        <f t="shared" si="8"/>
        <v>2000</v>
      </c>
      <c r="AK27" s="550">
        <f t="shared" si="9"/>
        <v>2000</v>
      </c>
      <c r="AL27" s="553"/>
      <c r="AM27" s="553"/>
      <c r="AN27" s="553"/>
      <c r="AO27" s="553"/>
      <c r="AP27" s="547" t="s">
        <v>1573</v>
      </c>
      <c r="AQ27" s="547" t="s">
        <v>1627</v>
      </c>
      <c r="AR27" s="545"/>
      <c r="AS27" s="715">
        <f t="shared" si="1"/>
        <v>0</v>
      </c>
      <c r="AT27" s="715">
        <f t="shared" si="2"/>
        <v>0</v>
      </c>
    </row>
    <row r="28" spans="1:48" s="557" customFormat="1" ht="47.25">
      <c r="A28" s="913"/>
      <c r="B28" s="913"/>
      <c r="C28" s="913"/>
      <c r="D28" s="908"/>
      <c r="E28" s="551">
        <v>8</v>
      </c>
      <c r="F28" s="552" t="s">
        <v>1631</v>
      </c>
      <c r="G28" s="545" t="s">
        <v>1632</v>
      </c>
      <c r="H28" s="545" t="s">
        <v>1633</v>
      </c>
      <c r="I28" s="548">
        <v>0.21428571428571427</v>
      </c>
      <c r="J28" s="551"/>
      <c r="K28" s="551">
        <v>15</v>
      </c>
      <c r="L28" s="553"/>
      <c r="M28" s="553"/>
      <c r="N28" s="553"/>
      <c r="O28" s="553"/>
      <c r="P28" s="553"/>
      <c r="Q28" s="553"/>
      <c r="R28" s="553"/>
      <c r="S28" s="553">
        <v>1</v>
      </c>
      <c r="T28" s="553">
        <v>1</v>
      </c>
      <c r="U28" s="553"/>
      <c r="V28" s="553">
        <v>1500</v>
      </c>
      <c r="W28" s="553">
        <v>1500</v>
      </c>
      <c r="X28" s="553">
        <v>1</v>
      </c>
      <c r="Y28" s="553">
        <v>1</v>
      </c>
      <c r="Z28" s="553">
        <v>1</v>
      </c>
      <c r="AA28" s="553">
        <v>1000</v>
      </c>
      <c r="AB28" s="553">
        <v>1000</v>
      </c>
      <c r="AC28" s="553">
        <v>1000</v>
      </c>
      <c r="AD28" s="553">
        <v>1</v>
      </c>
      <c r="AE28" s="553">
        <v>1</v>
      </c>
      <c r="AF28" s="553">
        <v>1</v>
      </c>
      <c r="AG28" s="553">
        <v>1000</v>
      </c>
      <c r="AH28" s="553">
        <v>1000</v>
      </c>
      <c r="AI28" s="553">
        <v>1000</v>
      </c>
      <c r="AJ28" s="550">
        <f t="shared" si="8"/>
        <v>9000</v>
      </c>
      <c r="AK28" s="550">
        <f t="shared" si="9"/>
        <v>9000</v>
      </c>
      <c r="AL28" s="553"/>
      <c r="AM28" s="553"/>
      <c r="AN28" s="553"/>
      <c r="AO28" s="553"/>
      <c r="AP28" s="547" t="s">
        <v>1573</v>
      </c>
      <c r="AQ28" s="547" t="s">
        <v>1627</v>
      </c>
      <c r="AR28" s="545"/>
      <c r="AS28" s="715">
        <f t="shared" si="1"/>
        <v>0</v>
      </c>
      <c r="AT28" s="715">
        <f t="shared" si="2"/>
        <v>0</v>
      </c>
    </row>
    <row r="29" spans="1:48" ht="78.75">
      <c r="A29" s="915" t="s">
        <v>147</v>
      </c>
      <c r="B29" s="915" t="s">
        <v>1600</v>
      </c>
      <c r="C29" s="915" t="s">
        <v>1634</v>
      </c>
      <c r="D29" s="909" t="s">
        <v>1635</v>
      </c>
      <c r="E29" s="549">
        <f>SUM(L29,M29,N29,R29,S29,T29,X29,Y29,Z29,AD29,AE29,AF29)</f>
        <v>1</v>
      </c>
      <c r="F29" s="554" t="s">
        <v>1636</v>
      </c>
      <c r="G29" s="547" t="s">
        <v>1637</v>
      </c>
      <c r="H29" s="547" t="s">
        <v>1638</v>
      </c>
      <c r="I29" s="548">
        <v>0.11904761904761904</v>
      </c>
      <c r="J29" s="549"/>
      <c r="K29" s="549">
        <v>8</v>
      </c>
      <c r="L29" s="550"/>
      <c r="M29" s="550"/>
      <c r="N29" s="550"/>
      <c r="O29" s="550"/>
      <c r="P29" s="550"/>
      <c r="Q29" s="550"/>
      <c r="R29" s="550">
        <v>1</v>
      </c>
      <c r="S29" s="550"/>
      <c r="T29" s="550"/>
      <c r="U29" s="550">
        <v>5000</v>
      </c>
      <c r="V29" s="550"/>
      <c r="W29" s="550"/>
      <c r="X29" s="550"/>
      <c r="Y29" s="550"/>
      <c r="Z29" s="550"/>
      <c r="AA29" s="550"/>
      <c r="AB29" s="550"/>
      <c r="AC29" s="550"/>
      <c r="AD29" s="550"/>
      <c r="AE29" s="550"/>
      <c r="AF29" s="550"/>
      <c r="AG29" s="550"/>
      <c r="AH29" s="550"/>
      <c r="AI29" s="550"/>
      <c r="AJ29" s="550">
        <f t="shared" si="0"/>
        <v>5000</v>
      </c>
      <c r="AK29" s="550">
        <f>AJ29</f>
        <v>5000</v>
      </c>
      <c r="AL29" s="550"/>
      <c r="AM29" s="550"/>
      <c r="AN29" s="550"/>
      <c r="AO29" s="550"/>
      <c r="AP29" s="547" t="s">
        <v>1573</v>
      </c>
      <c r="AQ29" s="547" t="s">
        <v>1627</v>
      </c>
      <c r="AR29" s="547"/>
      <c r="AS29" s="715">
        <f t="shared" si="1"/>
        <v>0</v>
      </c>
      <c r="AT29" s="715">
        <f t="shared" si="2"/>
        <v>0</v>
      </c>
    </row>
    <row r="30" spans="1:48" ht="47.25">
      <c r="A30" s="916"/>
      <c r="B30" s="916"/>
      <c r="C30" s="916"/>
      <c r="D30" s="918"/>
      <c r="E30" s="549">
        <v>12</v>
      </c>
      <c r="F30" s="554" t="s">
        <v>171</v>
      </c>
      <c r="G30" s="547" t="s">
        <v>1639</v>
      </c>
      <c r="H30" s="547" t="s">
        <v>1640</v>
      </c>
      <c r="I30" s="548">
        <v>0.2857142857142857</v>
      </c>
      <c r="J30" s="549"/>
      <c r="K30" s="549">
        <v>21</v>
      </c>
      <c r="L30" s="550">
        <v>1</v>
      </c>
      <c r="M30" s="550">
        <v>1</v>
      </c>
      <c r="N30" s="550">
        <v>1</v>
      </c>
      <c r="O30" s="550">
        <v>1000</v>
      </c>
      <c r="P30" s="550">
        <v>1000</v>
      </c>
      <c r="Q30" s="550">
        <v>1000</v>
      </c>
      <c r="R30" s="550">
        <v>1</v>
      </c>
      <c r="S30" s="550">
        <v>1</v>
      </c>
      <c r="T30" s="550">
        <v>1</v>
      </c>
      <c r="U30" s="550">
        <v>1000</v>
      </c>
      <c r="V30" s="550">
        <v>1000</v>
      </c>
      <c r="W30" s="550">
        <v>1000</v>
      </c>
      <c r="X30" s="550">
        <v>1</v>
      </c>
      <c r="Y30" s="550">
        <v>1</v>
      </c>
      <c r="Z30" s="550">
        <v>1</v>
      </c>
      <c r="AA30" s="550">
        <v>1000</v>
      </c>
      <c r="AB30" s="550">
        <v>1000</v>
      </c>
      <c r="AC30" s="550">
        <v>1000</v>
      </c>
      <c r="AD30" s="550">
        <v>1</v>
      </c>
      <c r="AE30" s="550">
        <v>1</v>
      </c>
      <c r="AF30" s="550">
        <v>1</v>
      </c>
      <c r="AG30" s="550">
        <v>1000</v>
      </c>
      <c r="AH30" s="550">
        <v>1000</v>
      </c>
      <c r="AI30" s="550">
        <v>1000</v>
      </c>
      <c r="AJ30" s="550">
        <f t="shared" si="0"/>
        <v>12000</v>
      </c>
      <c r="AK30" s="550">
        <f>AJ30</f>
        <v>12000</v>
      </c>
      <c r="AL30" s="550"/>
      <c r="AM30" s="550"/>
      <c r="AN30" s="550"/>
      <c r="AO30" s="550"/>
      <c r="AP30" s="547" t="s">
        <v>1573</v>
      </c>
      <c r="AQ30" s="547" t="s">
        <v>1627</v>
      </c>
      <c r="AR30" s="547"/>
      <c r="AS30" s="715">
        <f t="shared" si="1"/>
        <v>0</v>
      </c>
      <c r="AT30" s="715">
        <f t="shared" si="2"/>
        <v>0</v>
      </c>
    </row>
    <row r="31" spans="1:48" ht="141.75">
      <c r="A31" s="917"/>
      <c r="B31" s="917"/>
      <c r="C31" s="917"/>
      <c r="D31" s="910"/>
      <c r="E31" s="549">
        <v>12</v>
      </c>
      <c r="F31" s="554" t="s">
        <v>1641</v>
      </c>
      <c r="G31" s="547" t="s">
        <v>1642</v>
      </c>
      <c r="H31" s="547" t="s">
        <v>1643</v>
      </c>
      <c r="I31" s="548">
        <v>0.2857142857142857</v>
      </c>
      <c r="J31" s="549"/>
      <c r="K31" s="549">
        <v>21</v>
      </c>
      <c r="L31" s="550">
        <v>1</v>
      </c>
      <c r="M31" s="550">
        <v>1</v>
      </c>
      <c r="N31" s="550">
        <v>1</v>
      </c>
      <c r="O31" s="550">
        <v>1000</v>
      </c>
      <c r="P31" s="550">
        <v>1000</v>
      </c>
      <c r="Q31" s="550">
        <v>1000</v>
      </c>
      <c r="R31" s="550">
        <v>1</v>
      </c>
      <c r="S31" s="550">
        <v>1</v>
      </c>
      <c r="T31" s="550">
        <v>1</v>
      </c>
      <c r="U31" s="550">
        <v>1000</v>
      </c>
      <c r="V31" s="550">
        <v>1000</v>
      </c>
      <c r="W31" s="550">
        <v>1000</v>
      </c>
      <c r="X31" s="550">
        <v>1</v>
      </c>
      <c r="Y31" s="550">
        <v>1</v>
      </c>
      <c r="Z31" s="550">
        <v>1</v>
      </c>
      <c r="AA31" s="550">
        <v>1000</v>
      </c>
      <c r="AB31" s="550">
        <v>1000</v>
      </c>
      <c r="AC31" s="550">
        <v>1000</v>
      </c>
      <c r="AD31" s="550">
        <v>1</v>
      </c>
      <c r="AE31" s="550">
        <v>1</v>
      </c>
      <c r="AF31" s="550">
        <v>1</v>
      </c>
      <c r="AG31" s="550">
        <v>1000</v>
      </c>
      <c r="AH31" s="550">
        <v>1000</v>
      </c>
      <c r="AI31" s="550">
        <v>1000</v>
      </c>
      <c r="AJ31" s="550">
        <f t="shared" si="0"/>
        <v>12000</v>
      </c>
      <c r="AK31" s="550">
        <f>AJ31</f>
        <v>12000</v>
      </c>
      <c r="AL31" s="550"/>
      <c r="AM31" s="550"/>
      <c r="AN31" s="550"/>
      <c r="AO31" s="550"/>
      <c r="AP31" s="547" t="s">
        <v>1573</v>
      </c>
      <c r="AQ31" s="547" t="s">
        <v>1627</v>
      </c>
      <c r="AR31" s="547"/>
      <c r="AS31" s="715">
        <f t="shared" si="1"/>
        <v>0</v>
      </c>
      <c r="AT31" s="715">
        <f t="shared" si="2"/>
        <v>0</v>
      </c>
    </row>
    <row r="32" spans="1:48" ht="78.75">
      <c r="A32" s="558" t="s">
        <v>147</v>
      </c>
      <c r="B32" s="558" t="s">
        <v>1600</v>
      </c>
      <c r="C32" s="558" t="s">
        <v>1644</v>
      </c>
      <c r="D32" s="540" t="s">
        <v>1645</v>
      </c>
      <c r="E32" s="541"/>
      <c r="F32" s="542"/>
      <c r="G32" s="540"/>
      <c r="H32" s="540"/>
      <c r="I32" s="543">
        <v>8.763502563753911E-4</v>
      </c>
      <c r="J32" s="541">
        <v>1</v>
      </c>
      <c r="K32" s="541"/>
      <c r="L32" s="544"/>
      <c r="M32" s="544"/>
      <c r="N32" s="544"/>
      <c r="O32" s="544"/>
      <c r="P32" s="544">
        <f>SUM(P33)</f>
        <v>0</v>
      </c>
      <c r="Q32" s="544">
        <f>SUM(Q33)</f>
        <v>500</v>
      </c>
      <c r="R32" s="544"/>
      <c r="S32" s="544"/>
      <c r="T32" s="544"/>
      <c r="U32" s="544">
        <f>SUM(U33)</f>
        <v>0</v>
      </c>
      <c r="V32" s="544">
        <f>SUM(V33)</f>
        <v>700</v>
      </c>
      <c r="W32" s="544">
        <f>SUM(W33)</f>
        <v>700</v>
      </c>
      <c r="X32" s="544"/>
      <c r="Y32" s="544"/>
      <c r="Z32" s="544"/>
      <c r="AA32" s="544">
        <f>SUM(AA33)</f>
        <v>700</v>
      </c>
      <c r="AB32" s="544"/>
      <c r="AC32" s="544">
        <f>SUM(AC33)</f>
        <v>700</v>
      </c>
      <c r="AD32" s="544"/>
      <c r="AE32" s="544"/>
      <c r="AF32" s="544"/>
      <c r="AG32" s="544">
        <f>SUM(AG33)</f>
        <v>700</v>
      </c>
      <c r="AH32" s="544"/>
      <c r="AI32" s="544"/>
      <c r="AJ32" s="544">
        <f t="shared" si="0"/>
        <v>4000</v>
      </c>
      <c r="AK32" s="544">
        <f>SUM(AK33)</f>
        <v>4000</v>
      </c>
      <c r="AL32" s="544"/>
      <c r="AM32" s="544"/>
      <c r="AN32" s="544"/>
      <c r="AO32" s="544"/>
      <c r="AP32" s="540"/>
      <c r="AQ32" s="540" t="s">
        <v>1582</v>
      </c>
      <c r="AR32" s="540"/>
      <c r="AS32" s="715">
        <f t="shared" si="1"/>
        <v>0</v>
      </c>
      <c r="AT32" s="715">
        <f t="shared" si="2"/>
        <v>0</v>
      </c>
    </row>
    <row r="33" spans="1:47" ht="126">
      <c r="A33" s="559" t="s">
        <v>147</v>
      </c>
      <c r="B33" s="559" t="s">
        <v>1600</v>
      </c>
      <c r="C33" s="559" t="s">
        <v>1646</v>
      </c>
      <c r="D33" s="547" t="s">
        <v>1647</v>
      </c>
      <c r="E33" s="549">
        <v>6</v>
      </c>
      <c r="F33" s="554" t="s">
        <v>1593</v>
      </c>
      <c r="G33" s="547" t="s">
        <v>1648</v>
      </c>
      <c r="H33" s="547" t="s">
        <v>1649</v>
      </c>
      <c r="I33" s="548">
        <v>1</v>
      </c>
      <c r="J33" s="549"/>
      <c r="K33" s="549">
        <v>100</v>
      </c>
      <c r="L33" s="550"/>
      <c r="M33" s="550"/>
      <c r="N33" s="550">
        <v>1</v>
      </c>
      <c r="O33" s="550"/>
      <c r="P33" s="550"/>
      <c r="Q33" s="550">
        <v>500</v>
      </c>
      <c r="R33" s="550"/>
      <c r="S33" s="550">
        <v>1</v>
      </c>
      <c r="T33" s="550">
        <v>1</v>
      </c>
      <c r="U33" s="550"/>
      <c r="V33" s="550">
        <v>700</v>
      </c>
      <c r="W33" s="550">
        <v>700</v>
      </c>
      <c r="X33" s="550">
        <v>1</v>
      </c>
      <c r="Y33" s="550"/>
      <c r="Z33" s="550">
        <v>1</v>
      </c>
      <c r="AA33" s="550">
        <v>700</v>
      </c>
      <c r="AB33" s="550"/>
      <c r="AC33" s="550">
        <v>700</v>
      </c>
      <c r="AD33" s="550">
        <v>1</v>
      </c>
      <c r="AE33" s="550"/>
      <c r="AF33" s="550"/>
      <c r="AG33" s="550">
        <v>700</v>
      </c>
      <c r="AH33" s="550"/>
      <c r="AI33" s="550"/>
      <c r="AJ33" s="550">
        <f t="shared" si="0"/>
        <v>4000</v>
      </c>
      <c r="AK33" s="550">
        <f>AJ33</f>
        <v>4000</v>
      </c>
      <c r="AL33" s="550"/>
      <c r="AM33" s="550"/>
      <c r="AN33" s="550"/>
      <c r="AO33" s="550"/>
      <c r="AP33" s="547" t="s">
        <v>1573</v>
      </c>
      <c r="AQ33" s="547" t="s">
        <v>1574</v>
      </c>
      <c r="AR33" s="547"/>
      <c r="AS33" s="715">
        <f t="shared" si="1"/>
        <v>0</v>
      </c>
      <c r="AT33" s="715">
        <f t="shared" si="2"/>
        <v>0</v>
      </c>
      <c r="AU33" s="568">
        <f>1000/5</f>
        <v>200</v>
      </c>
    </row>
    <row r="34" spans="1:47" ht="78.75">
      <c r="A34" s="558" t="s">
        <v>147</v>
      </c>
      <c r="B34" s="558" t="s">
        <v>1459</v>
      </c>
      <c r="C34" s="558" t="s">
        <v>1650</v>
      </c>
      <c r="D34" s="540" t="s">
        <v>1651</v>
      </c>
      <c r="E34" s="541"/>
      <c r="F34" s="542"/>
      <c r="G34" s="540"/>
      <c r="H34" s="540"/>
      <c r="I34" s="543">
        <v>2.875525155082008E-2</v>
      </c>
      <c r="J34" s="541">
        <v>1</v>
      </c>
      <c r="K34" s="541"/>
      <c r="L34" s="544"/>
      <c r="M34" s="544"/>
      <c r="N34" s="544"/>
      <c r="O34" s="544">
        <f>SUM(O35:O35)</f>
        <v>0</v>
      </c>
      <c r="P34" s="544">
        <f>+P35+P36</f>
        <v>15059.38</v>
      </c>
      <c r="Q34" s="544">
        <f>+Q35+Q36</f>
        <v>15059.38</v>
      </c>
      <c r="R34" s="544"/>
      <c r="S34" s="544"/>
      <c r="T34" s="544"/>
      <c r="U34" s="544">
        <f t="shared" ref="U34:W34" si="10">+U35+U36</f>
        <v>15059.38</v>
      </c>
      <c r="V34" s="544">
        <f t="shared" si="10"/>
        <v>15059.38</v>
      </c>
      <c r="W34" s="544">
        <f t="shared" si="10"/>
        <v>5387.5</v>
      </c>
      <c r="X34" s="544"/>
      <c r="Y34" s="544"/>
      <c r="Z34" s="544"/>
      <c r="AA34" s="544">
        <f t="shared" ref="AA34:AC34" si="11">+AA35+AA36</f>
        <v>15059.38</v>
      </c>
      <c r="AB34" s="544">
        <f t="shared" si="11"/>
        <v>15059.38</v>
      </c>
      <c r="AC34" s="544">
        <f t="shared" si="11"/>
        <v>5387.5</v>
      </c>
      <c r="AD34" s="544"/>
      <c r="AE34" s="544"/>
      <c r="AF34" s="544"/>
      <c r="AG34" s="544">
        <f t="shared" ref="AG34:AH34" si="12">+AG35+AG36</f>
        <v>15059.38</v>
      </c>
      <c r="AH34" s="544">
        <f t="shared" si="12"/>
        <v>15059.38</v>
      </c>
      <c r="AI34" s="544"/>
      <c r="AJ34" s="544">
        <f t="shared" ref="AJ34:AK34" si="13">+AJ35+AJ36</f>
        <v>131250.03999999998</v>
      </c>
      <c r="AK34" s="544">
        <f t="shared" si="13"/>
        <v>131250.03999999998</v>
      </c>
      <c r="AL34" s="544"/>
      <c r="AM34" s="544"/>
      <c r="AN34" s="544"/>
      <c r="AO34" s="544"/>
      <c r="AP34" s="540"/>
      <c r="AQ34" s="540" t="s">
        <v>790</v>
      </c>
      <c r="AR34" s="540"/>
      <c r="AS34" s="715">
        <f t="shared" si="1"/>
        <v>0</v>
      </c>
      <c r="AT34" s="715">
        <f t="shared" si="2"/>
        <v>0</v>
      </c>
    </row>
    <row r="35" spans="1:47" ht="94.5">
      <c r="A35" s="559" t="s">
        <v>147</v>
      </c>
      <c r="B35" s="559" t="s">
        <v>1459</v>
      </c>
      <c r="C35" s="559" t="s">
        <v>1652</v>
      </c>
      <c r="D35" s="547" t="s">
        <v>1653</v>
      </c>
      <c r="E35" s="560">
        <v>8</v>
      </c>
      <c r="F35" s="561" t="s">
        <v>231</v>
      </c>
      <c r="G35" s="547" t="s">
        <v>1654</v>
      </c>
      <c r="H35" s="547" t="s">
        <v>1655</v>
      </c>
      <c r="I35" s="548">
        <v>0.58952393462127717</v>
      </c>
      <c r="J35" s="549"/>
      <c r="K35" s="549">
        <v>59</v>
      </c>
      <c r="L35" s="550"/>
      <c r="M35" s="550">
        <v>1</v>
      </c>
      <c r="N35" s="550">
        <v>1</v>
      </c>
      <c r="O35" s="550"/>
      <c r="P35" s="550">
        <v>9671.8799999999992</v>
      </c>
      <c r="Q35" s="550">
        <v>9671.8799999999992</v>
      </c>
      <c r="R35" s="550">
        <v>1</v>
      </c>
      <c r="S35" s="550">
        <v>1</v>
      </c>
      <c r="T35" s="550"/>
      <c r="U35" s="550">
        <v>9671.8799999999992</v>
      </c>
      <c r="V35" s="550">
        <v>9671.8799999999992</v>
      </c>
      <c r="W35" s="550"/>
      <c r="X35" s="550">
        <v>1</v>
      </c>
      <c r="Y35" s="550">
        <v>1</v>
      </c>
      <c r="Z35" s="550"/>
      <c r="AA35" s="550">
        <v>9671.8799999999992</v>
      </c>
      <c r="AB35" s="550">
        <v>9671.8799999999992</v>
      </c>
      <c r="AC35" s="550"/>
      <c r="AD35" s="550">
        <v>1</v>
      </c>
      <c r="AE35" s="550">
        <v>1</v>
      </c>
      <c r="AF35" s="550"/>
      <c r="AG35" s="550">
        <v>9671.8799999999992</v>
      </c>
      <c r="AH35" s="550">
        <v>9671.8799999999992</v>
      </c>
      <c r="AI35" s="550"/>
      <c r="AJ35" s="550">
        <f>+AI35+AH35+AG35+AC35+AB35+AA35+W35+V35+U35+Q35+P35+O35</f>
        <v>77375.039999999994</v>
      </c>
      <c r="AK35" s="562">
        <f>+AJ35</f>
        <v>77375.039999999994</v>
      </c>
      <c r="AL35" s="550"/>
      <c r="AM35" s="563"/>
      <c r="AN35" s="564"/>
      <c r="AO35" s="564"/>
      <c r="AP35" s="561" t="s">
        <v>657</v>
      </c>
      <c r="AQ35" s="561" t="s">
        <v>1656</v>
      </c>
      <c r="AR35" s="565"/>
      <c r="AS35" s="715">
        <f t="shared" si="1"/>
        <v>0</v>
      </c>
      <c r="AT35" s="715">
        <f t="shared" si="2"/>
        <v>0</v>
      </c>
    </row>
    <row r="36" spans="1:47" ht="110.25">
      <c r="A36" s="559" t="s">
        <v>147</v>
      </c>
      <c r="B36" s="559" t="s">
        <v>1459</v>
      </c>
      <c r="C36" s="559" t="s">
        <v>1657</v>
      </c>
      <c r="D36" s="547" t="s">
        <v>1658</v>
      </c>
      <c r="E36" s="560">
        <v>10</v>
      </c>
      <c r="F36" s="561" t="s">
        <v>168</v>
      </c>
      <c r="G36" s="547" t="s">
        <v>1659</v>
      </c>
      <c r="H36" s="547" t="s">
        <v>1660</v>
      </c>
      <c r="I36" s="548">
        <v>0.410476065378723</v>
      </c>
      <c r="J36" s="549"/>
      <c r="K36" s="549">
        <v>41</v>
      </c>
      <c r="L36" s="550"/>
      <c r="M36" s="550">
        <v>1</v>
      </c>
      <c r="N36" s="550">
        <v>1</v>
      </c>
      <c r="O36" s="550"/>
      <c r="P36" s="550">
        <v>5387.5</v>
      </c>
      <c r="Q36" s="550">
        <v>5387.5</v>
      </c>
      <c r="R36" s="550">
        <v>1</v>
      </c>
      <c r="S36" s="550">
        <v>1</v>
      </c>
      <c r="T36" s="550">
        <v>1</v>
      </c>
      <c r="U36" s="550">
        <v>5387.5</v>
      </c>
      <c r="V36" s="550">
        <v>5387.5</v>
      </c>
      <c r="W36" s="550">
        <v>5387.5</v>
      </c>
      <c r="X36" s="550">
        <v>1</v>
      </c>
      <c r="Y36" s="550">
        <v>1</v>
      </c>
      <c r="Z36" s="550">
        <v>1</v>
      </c>
      <c r="AA36" s="550">
        <v>5387.5</v>
      </c>
      <c r="AB36" s="550">
        <v>5387.5</v>
      </c>
      <c r="AC36" s="550">
        <v>5387.5</v>
      </c>
      <c r="AD36" s="550">
        <v>1</v>
      </c>
      <c r="AE36" s="550">
        <v>1</v>
      </c>
      <c r="AF36" s="550"/>
      <c r="AG36" s="550">
        <v>5387.5</v>
      </c>
      <c r="AH36" s="550">
        <v>5387.5</v>
      </c>
      <c r="AI36" s="550"/>
      <c r="AJ36" s="550">
        <f>+AI36+AH36+AG36+AC36+AB36+AA36+W36+V36+U36+Q36+P36+O36</f>
        <v>53875</v>
      </c>
      <c r="AK36" s="562">
        <f>+AJ36</f>
        <v>53875</v>
      </c>
      <c r="AL36" s="550"/>
      <c r="AM36" s="563"/>
      <c r="AN36" s="564"/>
      <c r="AO36" s="564"/>
      <c r="AP36" s="561" t="s">
        <v>657</v>
      </c>
      <c r="AQ36" s="561" t="s">
        <v>1656</v>
      </c>
      <c r="AR36" s="565"/>
      <c r="AS36" s="715">
        <f t="shared" si="1"/>
        <v>0</v>
      </c>
      <c r="AT36" s="715">
        <f t="shared" si="2"/>
        <v>0</v>
      </c>
    </row>
    <row r="37" spans="1:47" ht="141.75">
      <c r="A37" s="558" t="s">
        <v>147</v>
      </c>
      <c r="B37" s="558" t="s">
        <v>1459</v>
      </c>
      <c r="C37" s="558" t="s">
        <v>1661</v>
      </c>
      <c r="D37" s="540" t="s">
        <v>1662</v>
      </c>
      <c r="E37" s="541"/>
      <c r="F37" s="542"/>
      <c r="G37" s="540"/>
      <c r="H37" s="540"/>
      <c r="I37" s="543">
        <v>7.1345865247161536E-2</v>
      </c>
      <c r="J37" s="541">
        <v>5</v>
      </c>
      <c r="K37" s="541"/>
      <c r="L37" s="566"/>
      <c r="M37" s="566"/>
      <c r="N37" s="566"/>
      <c r="O37" s="544">
        <f>SUM(O39:O47)</f>
        <v>19520</v>
      </c>
      <c r="P37" s="544">
        <f>SUM(P39:P47)</f>
        <v>22830</v>
      </c>
      <c r="Q37" s="544">
        <f>SUM(Q39:Q47)</f>
        <v>26300</v>
      </c>
      <c r="R37" s="566"/>
      <c r="S37" s="566"/>
      <c r="T37" s="566"/>
      <c r="U37" s="544">
        <f>SUM(U39:U47)</f>
        <v>26235</v>
      </c>
      <c r="V37" s="544">
        <f>SUM(V39:V47)</f>
        <v>30235</v>
      </c>
      <c r="W37" s="544">
        <f>SUM(W39:W47)</f>
        <v>29270</v>
      </c>
      <c r="X37" s="566"/>
      <c r="Y37" s="566"/>
      <c r="Z37" s="566"/>
      <c r="AA37" s="544">
        <f>SUM(AA39:AA47)</f>
        <v>25400</v>
      </c>
      <c r="AB37" s="544">
        <f>SUM(AB39:AB47)</f>
        <v>29230</v>
      </c>
      <c r="AC37" s="544">
        <f>SUM(AC39:AC47)</f>
        <v>27200</v>
      </c>
      <c r="AD37" s="566"/>
      <c r="AE37" s="566"/>
      <c r="AF37" s="566"/>
      <c r="AG37" s="544">
        <f>SUM(AG39:AG47)</f>
        <v>31235</v>
      </c>
      <c r="AH37" s="544">
        <f>SUM(AH39:AH47)</f>
        <v>25400</v>
      </c>
      <c r="AI37" s="544">
        <f>SUM(AI39:AI47)</f>
        <v>20795</v>
      </c>
      <c r="AJ37" s="544">
        <f>SUM(O37,P37,Q37,U37,V37,W37,AA37,AB37,AC37,AG37,AH37,AI37)</f>
        <v>313650</v>
      </c>
      <c r="AK37" s="544">
        <f>+AJ37</f>
        <v>313650</v>
      </c>
      <c r="AL37" s="544"/>
      <c r="AM37" s="544"/>
      <c r="AN37" s="544"/>
      <c r="AO37" s="544"/>
      <c r="AP37" s="540"/>
      <c r="AQ37" s="540" t="s">
        <v>1663</v>
      </c>
      <c r="AR37" s="540"/>
      <c r="AS37" s="715">
        <f t="shared" si="1"/>
        <v>0</v>
      </c>
      <c r="AT37" s="715">
        <f t="shared" si="2"/>
        <v>0</v>
      </c>
    </row>
    <row r="38" spans="1:47" ht="78.75">
      <c r="A38" s="567" t="s">
        <v>147</v>
      </c>
      <c r="B38" s="559" t="s">
        <v>1459</v>
      </c>
      <c r="C38" s="559" t="s">
        <v>1674</v>
      </c>
      <c r="D38" s="545" t="s">
        <v>1675</v>
      </c>
      <c r="E38" s="551">
        <v>100</v>
      </c>
      <c r="F38" s="552" t="s">
        <v>1676</v>
      </c>
      <c r="G38" s="545" t="s">
        <v>1677</v>
      </c>
      <c r="H38" s="545" t="s">
        <v>1678</v>
      </c>
      <c r="I38" s="548">
        <v>3.6849378166743434E-2</v>
      </c>
      <c r="J38" s="567"/>
      <c r="K38" s="551">
        <v>10</v>
      </c>
      <c r="L38" s="553"/>
      <c r="M38" s="553">
        <v>10</v>
      </c>
      <c r="N38" s="553">
        <v>10</v>
      </c>
      <c r="O38" s="553"/>
      <c r="P38" s="553">
        <v>1200</v>
      </c>
      <c r="Q38" s="553">
        <v>1200</v>
      </c>
      <c r="R38" s="553">
        <v>10</v>
      </c>
      <c r="S38" s="553">
        <v>10</v>
      </c>
      <c r="T38" s="553">
        <v>10</v>
      </c>
      <c r="U38" s="553">
        <v>1200</v>
      </c>
      <c r="V38" s="553">
        <v>1200</v>
      </c>
      <c r="W38" s="553">
        <v>1200</v>
      </c>
      <c r="X38" s="553">
        <v>10</v>
      </c>
      <c r="Y38" s="553">
        <v>10</v>
      </c>
      <c r="Z38" s="553">
        <v>10</v>
      </c>
      <c r="AA38" s="553">
        <v>1200</v>
      </c>
      <c r="AB38" s="553">
        <v>1200</v>
      </c>
      <c r="AC38" s="553">
        <v>1200</v>
      </c>
      <c r="AD38" s="553">
        <v>10</v>
      </c>
      <c r="AE38" s="553">
        <v>5</v>
      </c>
      <c r="AF38" s="553">
        <v>5</v>
      </c>
      <c r="AG38" s="553">
        <v>1200</v>
      </c>
      <c r="AH38" s="553">
        <v>1200</v>
      </c>
      <c r="AI38" s="553"/>
      <c r="AJ38" s="550">
        <f>+AI38+AH38+AG38+AC38+AB38+AA38+W38+V38+U38+Q38+P38+O38</f>
        <v>12000</v>
      </c>
      <c r="AK38" s="562">
        <f>+AJ38</f>
        <v>12000</v>
      </c>
      <c r="AL38" s="553"/>
      <c r="AM38" s="553"/>
      <c r="AN38" s="553"/>
      <c r="AO38" s="553"/>
      <c r="AP38" s="561" t="s">
        <v>657</v>
      </c>
      <c r="AQ38" s="545" t="s">
        <v>1667</v>
      </c>
      <c r="AR38" s="545"/>
      <c r="AS38" s="715">
        <f>AJ38-(O38+P38+Q38+U38+V38+W38+AA38+AB38+AC38+AG38+AH38+AI38)</f>
        <v>0</v>
      </c>
      <c r="AT38" s="715">
        <f>AJ38-(AK38+AL38+AM38+AN38+AO38)</f>
        <v>0</v>
      </c>
    </row>
    <row r="39" spans="1:47" ht="110.25">
      <c r="A39" s="567" t="s">
        <v>147</v>
      </c>
      <c r="B39" s="559" t="s">
        <v>1459</v>
      </c>
      <c r="C39" s="559" t="s">
        <v>2318</v>
      </c>
      <c r="D39" s="545" t="s">
        <v>1664</v>
      </c>
      <c r="E39" s="551">
        <v>100</v>
      </c>
      <c r="F39" s="552" t="s">
        <v>234</v>
      </c>
      <c r="G39" s="545" t="s">
        <v>1665</v>
      </c>
      <c r="H39" s="545" t="s">
        <v>1666</v>
      </c>
      <c r="I39" s="548">
        <v>2.4566252111162291E-2</v>
      </c>
      <c r="J39" s="567"/>
      <c r="K39" s="551">
        <v>10</v>
      </c>
      <c r="L39" s="553"/>
      <c r="M39" s="553"/>
      <c r="N39" s="553"/>
      <c r="O39" s="553"/>
      <c r="P39" s="553"/>
      <c r="Q39" s="553"/>
      <c r="R39" s="553"/>
      <c r="S39" s="553">
        <v>25</v>
      </c>
      <c r="T39" s="553">
        <v>25</v>
      </c>
      <c r="U39" s="553"/>
      <c r="V39" s="553">
        <v>2000</v>
      </c>
      <c r="W39" s="553">
        <v>2000</v>
      </c>
      <c r="X39" s="553"/>
      <c r="Y39" s="553"/>
      <c r="Z39" s="553"/>
      <c r="AA39" s="553"/>
      <c r="AB39" s="553"/>
      <c r="AC39" s="553"/>
      <c r="AD39" s="553">
        <v>25</v>
      </c>
      <c r="AE39" s="553">
        <v>25</v>
      </c>
      <c r="AF39" s="553"/>
      <c r="AG39" s="553">
        <v>2000</v>
      </c>
      <c r="AH39" s="553">
        <v>2000</v>
      </c>
      <c r="AI39" s="553"/>
      <c r="AJ39" s="550">
        <f t="shared" ref="AJ39:AJ47" si="14">+AI39+AH39+AG39+AC39+AB39+AA39+W39+V39+U39+Q39+P39+O39</f>
        <v>8000</v>
      </c>
      <c r="AK39" s="562">
        <f t="shared" ref="AK39:AK47" si="15">+AJ39</f>
        <v>8000</v>
      </c>
      <c r="AL39" s="553"/>
      <c r="AM39" s="553"/>
      <c r="AN39" s="553"/>
      <c r="AO39" s="553"/>
      <c r="AP39" s="561" t="s">
        <v>657</v>
      </c>
      <c r="AQ39" s="545" t="s">
        <v>1667</v>
      </c>
      <c r="AR39" s="545"/>
      <c r="AS39" s="715">
        <f t="shared" si="1"/>
        <v>0</v>
      </c>
      <c r="AT39" s="715">
        <f t="shared" si="2"/>
        <v>0</v>
      </c>
    </row>
    <row r="40" spans="1:47" ht="126">
      <c r="A40" s="567" t="s">
        <v>147</v>
      </c>
      <c r="B40" s="559" t="s">
        <v>1459</v>
      </c>
      <c r="C40" s="559" t="s">
        <v>2319</v>
      </c>
      <c r="D40" s="545" t="s">
        <v>1668</v>
      </c>
      <c r="E40" s="551">
        <v>100</v>
      </c>
      <c r="F40" s="552" t="s">
        <v>234</v>
      </c>
      <c r="G40" s="545" t="s">
        <v>1669</v>
      </c>
      <c r="H40" s="545" t="s">
        <v>1670</v>
      </c>
      <c r="I40" s="548">
        <v>5.2817442038998928E-2</v>
      </c>
      <c r="J40" s="567"/>
      <c r="K40" s="551">
        <v>8</v>
      </c>
      <c r="L40" s="553">
        <v>8</v>
      </c>
      <c r="M40" s="553">
        <v>8</v>
      </c>
      <c r="N40" s="553">
        <v>8</v>
      </c>
      <c r="O40" s="553">
        <v>1500</v>
      </c>
      <c r="P40" s="553">
        <v>1500</v>
      </c>
      <c r="Q40" s="553">
        <v>1500</v>
      </c>
      <c r="R40" s="553">
        <v>8</v>
      </c>
      <c r="S40" s="553">
        <v>8</v>
      </c>
      <c r="T40" s="553">
        <v>8</v>
      </c>
      <c r="U40" s="553">
        <v>1500</v>
      </c>
      <c r="V40" s="553">
        <v>1500</v>
      </c>
      <c r="W40" s="553">
        <v>1500</v>
      </c>
      <c r="X40" s="553">
        <v>8</v>
      </c>
      <c r="Y40" s="553">
        <v>8</v>
      </c>
      <c r="Z40" s="553">
        <v>8</v>
      </c>
      <c r="AA40" s="553">
        <v>1500</v>
      </c>
      <c r="AB40" s="553">
        <v>1500</v>
      </c>
      <c r="AC40" s="553">
        <v>1500</v>
      </c>
      <c r="AD40" s="553">
        <v>8</v>
      </c>
      <c r="AE40" s="553">
        <v>10</v>
      </c>
      <c r="AF40" s="553">
        <v>10</v>
      </c>
      <c r="AG40" s="553">
        <v>1500</v>
      </c>
      <c r="AH40" s="553">
        <v>2000</v>
      </c>
      <c r="AI40" s="553">
        <v>200</v>
      </c>
      <c r="AJ40" s="550">
        <f t="shared" si="14"/>
        <v>17200</v>
      </c>
      <c r="AK40" s="562">
        <f t="shared" si="15"/>
        <v>17200</v>
      </c>
      <c r="AL40" s="553"/>
      <c r="AM40" s="553"/>
      <c r="AN40" s="553"/>
      <c r="AO40" s="553"/>
      <c r="AP40" s="561" t="s">
        <v>657</v>
      </c>
      <c r="AQ40" s="545" t="s">
        <v>1667</v>
      </c>
      <c r="AR40" s="545"/>
      <c r="AS40" s="715">
        <f t="shared" si="1"/>
        <v>0</v>
      </c>
      <c r="AT40" s="715">
        <f t="shared" si="2"/>
        <v>0</v>
      </c>
    </row>
    <row r="41" spans="1:47" ht="84" customHeight="1">
      <c r="A41" s="567" t="s">
        <v>147</v>
      </c>
      <c r="B41" s="559" t="s">
        <v>1459</v>
      </c>
      <c r="C41" s="559" t="s">
        <v>2320</v>
      </c>
      <c r="D41" s="545" t="s">
        <v>1671</v>
      </c>
      <c r="E41" s="551">
        <v>100</v>
      </c>
      <c r="F41" s="552" t="s">
        <v>234</v>
      </c>
      <c r="G41" s="545" t="s">
        <v>1672</v>
      </c>
      <c r="H41" s="545" t="s">
        <v>1673</v>
      </c>
      <c r="I41" s="548">
        <v>7.554122524182405E-2</v>
      </c>
      <c r="J41" s="567"/>
      <c r="K41" s="551">
        <v>10</v>
      </c>
      <c r="L41" s="553">
        <v>5</v>
      </c>
      <c r="M41" s="553">
        <v>5</v>
      </c>
      <c r="N41" s="553">
        <v>10</v>
      </c>
      <c r="O41" s="553">
        <v>2000</v>
      </c>
      <c r="P41" s="553">
        <v>200</v>
      </c>
      <c r="Q41" s="553">
        <v>2300</v>
      </c>
      <c r="R41" s="553">
        <v>10</v>
      </c>
      <c r="S41" s="553">
        <v>10</v>
      </c>
      <c r="T41" s="553">
        <v>10</v>
      </c>
      <c r="U41" s="553">
        <v>2300</v>
      </c>
      <c r="V41" s="553">
        <v>2300</v>
      </c>
      <c r="W41" s="553">
        <v>2300</v>
      </c>
      <c r="X41" s="553">
        <v>10</v>
      </c>
      <c r="Y41" s="553">
        <v>10</v>
      </c>
      <c r="Z41" s="553">
        <v>10</v>
      </c>
      <c r="AA41" s="553">
        <v>2300</v>
      </c>
      <c r="AB41" s="553">
        <v>2300</v>
      </c>
      <c r="AC41" s="553">
        <v>2300</v>
      </c>
      <c r="AD41" s="553">
        <v>10</v>
      </c>
      <c r="AE41" s="553">
        <v>5</v>
      </c>
      <c r="AF41" s="553">
        <v>5</v>
      </c>
      <c r="AG41" s="553">
        <v>2300</v>
      </c>
      <c r="AH41" s="553">
        <v>2000</v>
      </c>
      <c r="AI41" s="553">
        <v>2000</v>
      </c>
      <c r="AJ41" s="550">
        <f t="shared" si="14"/>
        <v>24600</v>
      </c>
      <c r="AK41" s="562">
        <f t="shared" si="15"/>
        <v>24600</v>
      </c>
      <c r="AL41" s="553"/>
      <c r="AM41" s="553"/>
      <c r="AN41" s="553"/>
      <c r="AO41" s="553"/>
      <c r="AP41" s="561" t="s">
        <v>657</v>
      </c>
      <c r="AQ41" s="545" t="s">
        <v>1667</v>
      </c>
      <c r="AR41" s="545"/>
      <c r="AS41" s="715">
        <f t="shared" si="1"/>
        <v>0</v>
      </c>
      <c r="AT41" s="715">
        <f t="shared" si="2"/>
        <v>0</v>
      </c>
    </row>
    <row r="42" spans="1:47" ht="189">
      <c r="A42" s="567" t="s">
        <v>147</v>
      </c>
      <c r="B42" s="559" t="s">
        <v>1459</v>
      </c>
      <c r="C42" s="559" t="s">
        <v>2321</v>
      </c>
      <c r="D42" s="545" t="s">
        <v>1679</v>
      </c>
      <c r="E42" s="551">
        <v>6</v>
      </c>
      <c r="F42" s="552" t="s">
        <v>98</v>
      </c>
      <c r="G42" s="545" t="s">
        <v>1680</v>
      </c>
      <c r="H42" s="545" t="s">
        <v>1681</v>
      </c>
      <c r="I42" s="548">
        <v>3.3778596652848152E-2</v>
      </c>
      <c r="J42" s="567"/>
      <c r="K42" s="551">
        <v>10</v>
      </c>
      <c r="L42" s="553"/>
      <c r="M42" s="553">
        <v>1</v>
      </c>
      <c r="N42" s="553"/>
      <c r="O42" s="553"/>
      <c r="P42" s="553">
        <v>1830</v>
      </c>
      <c r="Q42" s="553"/>
      <c r="R42" s="553">
        <v>1</v>
      </c>
      <c r="S42" s="553"/>
      <c r="T42" s="553">
        <v>1</v>
      </c>
      <c r="U42" s="553">
        <v>1835</v>
      </c>
      <c r="V42" s="553">
        <v>1835</v>
      </c>
      <c r="W42" s="553"/>
      <c r="X42" s="553"/>
      <c r="Y42" s="553">
        <v>1</v>
      </c>
      <c r="Z42" s="553"/>
      <c r="AA42" s="553"/>
      <c r="AB42" s="553">
        <v>1830</v>
      </c>
      <c r="AC42" s="553"/>
      <c r="AD42" s="553">
        <v>1</v>
      </c>
      <c r="AE42" s="553"/>
      <c r="AF42" s="553">
        <v>1</v>
      </c>
      <c r="AG42" s="553">
        <v>1835</v>
      </c>
      <c r="AH42" s="553"/>
      <c r="AI42" s="553">
        <v>1835</v>
      </c>
      <c r="AJ42" s="550">
        <f t="shared" si="14"/>
        <v>11000</v>
      </c>
      <c r="AK42" s="562">
        <f t="shared" si="15"/>
        <v>11000</v>
      </c>
      <c r="AL42" s="553"/>
      <c r="AM42" s="553"/>
      <c r="AN42" s="553"/>
      <c r="AO42" s="553"/>
      <c r="AP42" s="561" t="s">
        <v>657</v>
      </c>
      <c r="AQ42" s="545" t="s">
        <v>1667</v>
      </c>
      <c r="AR42" s="545" t="s">
        <v>1071</v>
      </c>
      <c r="AS42" s="715">
        <f t="shared" si="1"/>
        <v>0</v>
      </c>
      <c r="AT42" s="715">
        <f t="shared" si="2"/>
        <v>0</v>
      </c>
    </row>
    <row r="43" spans="1:47" ht="94.5">
      <c r="A43" s="567" t="s">
        <v>147</v>
      </c>
      <c r="B43" s="559" t="s">
        <v>1459</v>
      </c>
      <c r="C43" s="559" t="s">
        <v>2322</v>
      </c>
      <c r="D43" s="545" t="s">
        <v>1682</v>
      </c>
      <c r="E43" s="551">
        <f>SUM(L43,M43,N43,R43,S43,T43,X43,Y43,Z43,AD43,AE43,AF43)</f>
        <v>100</v>
      </c>
      <c r="F43" s="552" t="s">
        <v>234</v>
      </c>
      <c r="G43" s="545" t="s">
        <v>1683</v>
      </c>
      <c r="H43" s="545" t="s">
        <v>1684</v>
      </c>
      <c r="I43" s="548">
        <v>4.9132504222324583E-2</v>
      </c>
      <c r="J43" s="567"/>
      <c r="K43" s="551">
        <v>8</v>
      </c>
      <c r="L43" s="553">
        <v>5</v>
      </c>
      <c r="M43" s="553">
        <v>5</v>
      </c>
      <c r="N43" s="553">
        <v>10</v>
      </c>
      <c r="O43" s="553">
        <v>800</v>
      </c>
      <c r="P43" s="553">
        <v>800</v>
      </c>
      <c r="Q43" s="553">
        <v>1600</v>
      </c>
      <c r="R43" s="553">
        <v>10</v>
      </c>
      <c r="S43" s="553">
        <v>10</v>
      </c>
      <c r="T43" s="553">
        <v>10</v>
      </c>
      <c r="U43" s="553">
        <v>1600</v>
      </c>
      <c r="V43" s="553">
        <v>1600</v>
      </c>
      <c r="W43" s="553">
        <v>1600</v>
      </c>
      <c r="X43" s="553">
        <v>10</v>
      </c>
      <c r="Y43" s="553">
        <v>10</v>
      </c>
      <c r="Z43" s="553">
        <v>10</v>
      </c>
      <c r="AA43" s="553">
        <v>1600</v>
      </c>
      <c r="AB43" s="553">
        <v>1600</v>
      </c>
      <c r="AC43" s="553">
        <v>1600</v>
      </c>
      <c r="AD43" s="553">
        <v>10</v>
      </c>
      <c r="AE43" s="553">
        <v>5</v>
      </c>
      <c r="AF43" s="553">
        <v>5</v>
      </c>
      <c r="AG43" s="553">
        <v>1600</v>
      </c>
      <c r="AH43" s="553">
        <v>800</v>
      </c>
      <c r="AI43" s="553">
        <v>800</v>
      </c>
      <c r="AJ43" s="550">
        <f t="shared" si="14"/>
        <v>16000</v>
      </c>
      <c r="AK43" s="562">
        <f t="shared" si="15"/>
        <v>16000</v>
      </c>
      <c r="AL43" s="553"/>
      <c r="AM43" s="553"/>
      <c r="AN43" s="553"/>
      <c r="AO43" s="553"/>
      <c r="AP43" s="561" t="s">
        <v>657</v>
      </c>
      <c r="AQ43" s="545" t="s">
        <v>1667</v>
      </c>
      <c r="AR43" s="545"/>
      <c r="AS43" s="715">
        <f t="shared" si="1"/>
        <v>0</v>
      </c>
      <c r="AT43" s="715">
        <f t="shared" si="2"/>
        <v>0</v>
      </c>
    </row>
    <row r="44" spans="1:47" ht="189">
      <c r="A44" s="567" t="s">
        <v>147</v>
      </c>
      <c r="B44" s="559" t="s">
        <v>1459</v>
      </c>
      <c r="C44" s="559" t="s">
        <v>2323</v>
      </c>
      <c r="D44" s="545" t="s">
        <v>1685</v>
      </c>
      <c r="E44" s="551">
        <f>SUM(L44,M44,N44,R44,S44,T44,X44,Y44,Z44,AD44,AE44,AF44)</f>
        <v>100</v>
      </c>
      <c r="F44" s="552" t="s">
        <v>234</v>
      </c>
      <c r="G44" s="545" t="s">
        <v>1686</v>
      </c>
      <c r="H44" s="545" t="s">
        <v>1687</v>
      </c>
      <c r="I44" s="548">
        <v>0.36235221863964379</v>
      </c>
      <c r="J44" s="567"/>
      <c r="K44" s="551">
        <v>18</v>
      </c>
      <c r="L44" s="553">
        <v>5</v>
      </c>
      <c r="M44" s="553">
        <v>5</v>
      </c>
      <c r="N44" s="553">
        <v>10</v>
      </c>
      <c r="O44" s="553">
        <v>7500</v>
      </c>
      <c r="P44" s="553">
        <v>7500</v>
      </c>
      <c r="Q44" s="553">
        <v>11000</v>
      </c>
      <c r="R44" s="553">
        <v>10</v>
      </c>
      <c r="S44" s="553">
        <v>10</v>
      </c>
      <c r="T44" s="553">
        <v>10</v>
      </c>
      <c r="U44" s="553">
        <v>11000</v>
      </c>
      <c r="V44" s="553">
        <v>11000</v>
      </c>
      <c r="W44" s="553">
        <v>11000</v>
      </c>
      <c r="X44" s="553">
        <v>10</v>
      </c>
      <c r="Y44" s="553">
        <v>10</v>
      </c>
      <c r="Z44" s="553">
        <v>10</v>
      </c>
      <c r="AA44" s="553">
        <v>11000</v>
      </c>
      <c r="AB44" s="553">
        <v>11000</v>
      </c>
      <c r="AC44" s="553">
        <v>11000</v>
      </c>
      <c r="AD44" s="553">
        <v>10</v>
      </c>
      <c r="AE44" s="553">
        <v>5</v>
      </c>
      <c r="AF44" s="553">
        <v>5</v>
      </c>
      <c r="AG44" s="553">
        <v>11000</v>
      </c>
      <c r="AH44" s="553">
        <v>7500</v>
      </c>
      <c r="AI44" s="553">
        <v>7500</v>
      </c>
      <c r="AJ44" s="550">
        <f t="shared" si="14"/>
        <v>118000</v>
      </c>
      <c r="AK44" s="562">
        <f t="shared" si="15"/>
        <v>118000</v>
      </c>
      <c r="AL44" s="553"/>
      <c r="AM44" s="553"/>
      <c r="AN44" s="553"/>
      <c r="AO44" s="553"/>
      <c r="AP44" s="561" t="s">
        <v>657</v>
      </c>
      <c r="AQ44" s="545" t="s">
        <v>1667</v>
      </c>
      <c r="AR44" s="545"/>
      <c r="AS44" s="715">
        <f t="shared" si="1"/>
        <v>0</v>
      </c>
      <c r="AT44" s="715">
        <f t="shared" si="2"/>
        <v>0</v>
      </c>
    </row>
    <row r="45" spans="1:47" ht="173.25">
      <c r="A45" s="567" t="s">
        <v>147</v>
      </c>
      <c r="B45" s="559" t="s">
        <v>1459</v>
      </c>
      <c r="C45" s="559" t="s">
        <v>2324</v>
      </c>
      <c r="D45" s="545" t="s">
        <v>1688</v>
      </c>
      <c r="E45" s="551">
        <f>SUM(L45,M45,N45,R45,S45,T45,X45,Y45,Z45,AD45,AE45,AF45)</f>
        <v>100</v>
      </c>
      <c r="F45" s="552" t="s">
        <v>234</v>
      </c>
      <c r="G45" s="545" t="s">
        <v>1689</v>
      </c>
      <c r="H45" s="545" t="s">
        <v>1690</v>
      </c>
      <c r="I45" s="548">
        <v>0.25441424842622445</v>
      </c>
      <c r="J45" s="567"/>
      <c r="K45" s="551">
        <v>10</v>
      </c>
      <c r="L45" s="553">
        <v>5</v>
      </c>
      <c r="M45" s="553">
        <v>10</v>
      </c>
      <c r="N45" s="553">
        <v>10</v>
      </c>
      <c r="O45" s="553">
        <v>4720</v>
      </c>
      <c r="P45" s="553">
        <v>8000</v>
      </c>
      <c r="Q45" s="553">
        <v>6900</v>
      </c>
      <c r="R45" s="553">
        <v>5</v>
      </c>
      <c r="S45" s="553">
        <v>10</v>
      </c>
      <c r="T45" s="553">
        <v>10</v>
      </c>
      <c r="U45" s="553">
        <v>5000</v>
      </c>
      <c r="V45" s="553">
        <v>7000</v>
      </c>
      <c r="W45" s="553">
        <v>7870</v>
      </c>
      <c r="X45" s="553">
        <v>10</v>
      </c>
      <c r="Y45" s="553">
        <v>5</v>
      </c>
      <c r="Z45" s="553">
        <v>10</v>
      </c>
      <c r="AA45" s="553">
        <v>6000</v>
      </c>
      <c r="AB45" s="553">
        <v>8000</v>
      </c>
      <c r="AC45" s="553">
        <v>7800</v>
      </c>
      <c r="AD45" s="553">
        <v>10</v>
      </c>
      <c r="AE45" s="553">
        <v>10</v>
      </c>
      <c r="AF45" s="553">
        <v>5</v>
      </c>
      <c r="AG45" s="553">
        <v>8000</v>
      </c>
      <c r="AH45" s="553">
        <v>8100</v>
      </c>
      <c r="AI45" s="553">
        <v>5460</v>
      </c>
      <c r="AJ45" s="550">
        <f t="shared" si="14"/>
        <v>82850</v>
      </c>
      <c r="AK45" s="562">
        <f t="shared" si="15"/>
        <v>82850</v>
      </c>
      <c r="AL45" s="553"/>
      <c r="AM45" s="553"/>
      <c r="AN45" s="553"/>
      <c r="AO45" s="553"/>
      <c r="AP45" s="561" t="s">
        <v>657</v>
      </c>
      <c r="AQ45" s="545" t="s">
        <v>1667</v>
      </c>
      <c r="AR45" s="545"/>
      <c r="AS45" s="715">
        <f t="shared" si="1"/>
        <v>0</v>
      </c>
      <c r="AT45" s="715">
        <f t="shared" si="2"/>
        <v>0</v>
      </c>
    </row>
    <row r="46" spans="1:47" ht="110.25">
      <c r="A46" s="567" t="s">
        <v>147</v>
      </c>
      <c r="B46" s="559" t="s">
        <v>1459</v>
      </c>
      <c r="C46" s="559" t="s">
        <v>2325</v>
      </c>
      <c r="D46" s="545" t="s">
        <v>1691</v>
      </c>
      <c r="E46" s="551">
        <v>1100</v>
      </c>
      <c r="F46" s="552" t="s">
        <v>1676</v>
      </c>
      <c r="G46" s="545" t="s">
        <v>1692</v>
      </c>
      <c r="H46" s="545" t="s">
        <v>1693</v>
      </c>
      <c r="I46" s="548">
        <v>3.6849378166743434E-2</v>
      </c>
      <c r="J46" s="567"/>
      <c r="K46" s="551">
        <v>8</v>
      </c>
      <c r="L46" s="553">
        <v>0</v>
      </c>
      <c r="M46" s="553">
        <v>100</v>
      </c>
      <c r="N46" s="553">
        <v>100</v>
      </c>
      <c r="O46" s="553">
        <v>1000</v>
      </c>
      <c r="P46" s="553">
        <v>1000</v>
      </c>
      <c r="Q46" s="553">
        <v>1000</v>
      </c>
      <c r="R46" s="553">
        <v>100</v>
      </c>
      <c r="S46" s="553">
        <v>100</v>
      </c>
      <c r="T46" s="553">
        <v>100</v>
      </c>
      <c r="U46" s="553">
        <v>1000</v>
      </c>
      <c r="V46" s="553">
        <v>1000</v>
      </c>
      <c r="W46" s="553">
        <v>1000</v>
      </c>
      <c r="X46" s="553">
        <v>100</v>
      </c>
      <c r="Y46" s="553">
        <v>100</v>
      </c>
      <c r="Z46" s="553">
        <v>100</v>
      </c>
      <c r="AA46" s="553">
        <v>1000</v>
      </c>
      <c r="AB46" s="553">
        <v>1000</v>
      </c>
      <c r="AC46" s="553">
        <v>1000</v>
      </c>
      <c r="AD46" s="553">
        <v>100</v>
      </c>
      <c r="AE46" s="553">
        <v>100</v>
      </c>
      <c r="AF46" s="553">
        <v>100</v>
      </c>
      <c r="AG46" s="553">
        <v>1000</v>
      </c>
      <c r="AH46" s="553">
        <v>1000</v>
      </c>
      <c r="AI46" s="553">
        <v>1000</v>
      </c>
      <c r="AJ46" s="550">
        <f t="shared" si="14"/>
        <v>12000</v>
      </c>
      <c r="AK46" s="562">
        <f t="shared" si="15"/>
        <v>12000</v>
      </c>
      <c r="AL46" s="553"/>
      <c r="AM46" s="553"/>
      <c r="AN46" s="553"/>
      <c r="AO46" s="553"/>
      <c r="AP46" s="561" t="s">
        <v>657</v>
      </c>
      <c r="AQ46" s="545" t="s">
        <v>1667</v>
      </c>
      <c r="AR46" s="545"/>
      <c r="AS46" s="715">
        <f t="shared" si="1"/>
        <v>0</v>
      </c>
      <c r="AT46" s="715">
        <f t="shared" si="2"/>
        <v>0</v>
      </c>
    </row>
    <row r="47" spans="1:47" ht="126">
      <c r="A47" s="567" t="s">
        <v>147</v>
      </c>
      <c r="B47" s="559" t="s">
        <v>1459</v>
      </c>
      <c r="C47" s="559" t="s">
        <v>2326</v>
      </c>
      <c r="D47" s="545" t="s">
        <v>1694</v>
      </c>
      <c r="E47" s="551">
        <v>2400</v>
      </c>
      <c r="F47" s="552" t="s">
        <v>1676</v>
      </c>
      <c r="G47" s="545" t="s">
        <v>1695</v>
      </c>
      <c r="H47" s="545" t="s">
        <v>1696</v>
      </c>
      <c r="I47" s="548">
        <v>7.3698756333486867E-2</v>
      </c>
      <c r="J47" s="567"/>
      <c r="K47" s="551">
        <v>8</v>
      </c>
      <c r="L47" s="553">
        <v>200</v>
      </c>
      <c r="M47" s="553">
        <v>200</v>
      </c>
      <c r="N47" s="553">
        <v>200</v>
      </c>
      <c r="O47" s="553">
        <v>2000</v>
      </c>
      <c r="P47" s="553">
        <v>2000</v>
      </c>
      <c r="Q47" s="553">
        <v>2000</v>
      </c>
      <c r="R47" s="553">
        <v>200</v>
      </c>
      <c r="S47" s="553">
        <v>200</v>
      </c>
      <c r="T47" s="553">
        <v>200</v>
      </c>
      <c r="U47" s="553">
        <v>2000</v>
      </c>
      <c r="V47" s="553">
        <v>2000</v>
      </c>
      <c r="W47" s="553">
        <v>2000</v>
      </c>
      <c r="X47" s="553">
        <v>200</v>
      </c>
      <c r="Y47" s="553">
        <v>200</v>
      </c>
      <c r="Z47" s="553">
        <v>200</v>
      </c>
      <c r="AA47" s="553">
        <v>2000</v>
      </c>
      <c r="AB47" s="553">
        <v>2000</v>
      </c>
      <c r="AC47" s="553">
        <v>2000</v>
      </c>
      <c r="AD47" s="553">
        <v>200</v>
      </c>
      <c r="AE47" s="553">
        <v>200</v>
      </c>
      <c r="AF47" s="553">
        <v>200</v>
      </c>
      <c r="AG47" s="553">
        <v>2000</v>
      </c>
      <c r="AH47" s="553">
        <v>2000</v>
      </c>
      <c r="AI47" s="553">
        <v>2000</v>
      </c>
      <c r="AJ47" s="550">
        <f t="shared" si="14"/>
        <v>24000</v>
      </c>
      <c r="AK47" s="562">
        <f t="shared" si="15"/>
        <v>24000</v>
      </c>
      <c r="AL47" s="553"/>
      <c r="AM47" s="553"/>
      <c r="AN47" s="553"/>
      <c r="AO47" s="553"/>
      <c r="AP47" s="561" t="s">
        <v>657</v>
      </c>
      <c r="AQ47" s="545" t="s">
        <v>1667</v>
      </c>
      <c r="AR47" s="545"/>
      <c r="AS47" s="715">
        <f t="shared" si="1"/>
        <v>0</v>
      </c>
      <c r="AT47" s="715">
        <f t="shared" si="2"/>
        <v>0</v>
      </c>
    </row>
    <row r="48" spans="1:47" ht="110.25">
      <c r="A48" s="558" t="s">
        <v>285</v>
      </c>
      <c r="B48" s="558" t="s">
        <v>2327</v>
      </c>
      <c r="C48" s="558" t="s">
        <v>2332</v>
      </c>
      <c r="D48" s="540" t="s">
        <v>1697</v>
      </c>
      <c r="E48" s="541"/>
      <c r="F48" s="542"/>
      <c r="G48" s="540"/>
      <c r="H48" s="540"/>
      <c r="I48" s="543">
        <v>0.19060618076164756</v>
      </c>
      <c r="J48" s="541">
        <v>16</v>
      </c>
      <c r="K48" s="541"/>
      <c r="L48" s="544"/>
      <c r="M48" s="544"/>
      <c r="N48" s="544"/>
      <c r="O48" s="544">
        <f>SUM(O49:O54)</f>
        <v>15000</v>
      </c>
      <c r="P48" s="544">
        <f>SUM(P49:P54)</f>
        <v>18000</v>
      </c>
      <c r="Q48" s="544">
        <f>SUM(Q49:Q54)</f>
        <v>158000</v>
      </c>
      <c r="R48" s="544"/>
      <c r="S48" s="544"/>
      <c r="T48" s="544"/>
      <c r="U48" s="544">
        <f>SUM(U49:U54)</f>
        <v>17000</v>
      </c>
      <c r="V48" s="544">
        <f>SUM(V49:V54)</f>
        <v>18000</v>
      </c>
      <c r="W48" s="544">
        <f>SUM(W49:W54)</f>
        <v>158000</v>
      </c>
      <c r="X48" s="544"/>
      <c r="Y48" s="544"/>
      <c r="Z48" s="544"/>
      <c r="AA48" s="544">
        <f>SUM(AA49:AA54)</f>
        <v>18000</v>
      </c>
      <c r="AB48" s="544">
        <f>SUM(AB49:AB54)</f>
        <v>17000</v>
      </c>
      <c r="AC48" s="544">
        <f>SUM(AC49:AC54)</f>
        <v>157000</v>
      </c>
      <c r="AD48" s="544"/>
      <c r="AE48" s="544"/>
      <c r="AF48" s="544"/>
      <c r="AG48" s="544">
        <f>SUM(AG49:AG54)</f>
        <v>18000</v>
      </c>
      <c r="AH48" s="544">
        <f>SUM(AH49:AH54)</f>
        <v>69000</v>
      </c>
      <c r="AI48" s="544">
        <f>SUM(AI49:AI54)</f>
        <v>207000</v>
      </c>
      <c r="AJ48" s="544">
        <f>SUM(O48,P48,Q48,U48,V48,W48,AA48,AB48,AC48,AG48,AH48,AI48)</f>
        <v>870000</v>
      </c>
      <c r="AK48" s="544">
        <f>SUM(AK49:AK54)</f>
        <v>870000</v>
      </c>
      <c r="AL48" s="544"/>
      <c r="AM48" s="544"/>
      <c r="AN48" s="544"/>
      <c r="AO48" s="544"/>
      <c r="AP48" s="540"/>
      <c r="AQ48" s="540" t="s">
        <v>1698</v>
      </c>
      <c r="AR48" s="540"/>
      <c r="AS48" s="715">
        <f t="shared" si="1"/>
        <v>0</v>
      </c>
      <c r="AT48" s="715">
        <f t="shared" si="2"/>
        <v>0</v>
      </c>
    </row>
    <row r="49" spans="1:46" ht="141.75">
      <c r="A49" s="567" t="s">
        <v>285</v>
      </c>
      <c r="B49" s="567" t="s">
        <v>2327</v>
      </c>
      <c r="C49" s="552" t="s">
        <v>1699</v>
      </c>
      <c r="D49" s="545" t="s">
        <v>1700</v>
      </c>
      <c r="E49" s="551">
        <f t="shared" ref="E49:E54" si="16">SUM(L49,M49,N49,R49,S49,T49,X49,Y49,Z49,AD49,AE49,AF49)</f>
        <v>4</v>
      </c>
      <c r="F49" s="552" t="s">
        <v>168</v>
      </c>
      <c r="G49" s="545" t="s">
        <v>1701</v>
      </c>
      <c r="H49" s="547" t="s">
        <v>1702</v>
      </c>
      <c r="I49" s="548">
        <v>0.32183908045977011</v>
      </c>
      <c r="J49" s="549"/>
      <c r="K49" s="549">
        <v>32</v>
      </c>
      <c r="L49" s="550"/>
      <c r="M49" s="550"/>
      <c r="N49" s="550">
        <v>1</v>
      </c>
      <c r="O49" s="550"/>
      <c r="P49" s="550"/>
      <c r="Q49" s="550">
        <v>70000</v>
      </c>
      <c r="R49" s="550"/>
      <c r="S49" s="550"/>
      <c r="T49" s="550">
        <v>1</v>
      </c>
      <c r="U49" s="550"/>
      <c r="V49" s="550"/>
      <c r="W49" s="550">
        <v>70000</v>
      </c>
      <c r="X49" s="550"/>
      <c r="Y49" s="550"/>
      <c r="Z49" s="550">
        <v>1</v>
      </c>
      <c r="AA49" s="550"/>
      <c r="AB49" s="550"/>
      <c r="AC49" s="550">
        <v>70000</v>
      </c>
      <c r="AD49" s="550"/>
      <c r="AE49" s="550"/>
      <c r="AF49" s="550">
        <v>1</v>
      </c>
      <c r="AG49" s="550"/>
      <c r="AH49" s="550"/>
      <c r="AI49" s="550">
        <v>70000</v>
      </c>
      <c r="AJ49" s="550">
        <f t="shared" ref="AJ49:AJ54" si="17">SUM(O49,P49,Q49,U49,V49,W49,AA49,AB49,AC49,AG49,AH49,AI49)</f>
        <v>280000</v>
      </c>
      <c r="AK49" s="550">
        <f t="shared" ref="AK49:AK54" si="18">AJ49</f>
        <v>280000</v>
      </c>
      <c r="AL49" s="550"/>
      <c r="AM49" s="550"/>
      <c r="AN49" s="550"/>
      <c r="AO49" s="550"/>
      <c r="AP49" s="547" t="s">
        <v>1703</v>
      </c>
      <c r="AQ49" s="547" t="s">
        <v>1704</v>
      </c>
      <c r="AR49" s="547"/>
      <c r="AS49" s="715">
        <f t="shared" si="1"/>
        <v>0</v>
      </c>
      <c r="AT49" s="715">
        <f t="shared" si="2"/>
        <v>0</v>
      </c>
    </row>
    <row r="50" spans="1:46" ht="157.5">
      <c r="A50" s="567" t="s">
        <v>285</v>
      </c>
      <c r="B50" s="567" t="s">
        <v>2327</v>
      </c>
      <c r="C50" s="552" t="s">
        <v>1705</v>
      </c>
      <c r="D50" s="545" t="s">
        <v>1706</v>
      </c>
      <c r="E50" s="551">
        <f t="shared" si="16"/>
        <v>4</v>
      </c>
      <c r="F50" s="552" t="s">
        <v>168</v>
      </c>
      <c r="G50" s="545" t="s">
        <v>1707</v>
      </c>
      <c r="H50" s="547" t="s">
        <v>1708</v>
      </c>
      <c r="I50" s="548">
        <v>0.32183908045977011</v>
      </c>
      <c r="J50" s="549"/>
      <c r="K50" s="549">
        <v>32</v>
      </c>
      <c r="L50" s="550"/>
      <c r="M50" s="550"/>
      <c r="N50" s="550">
        <v>1</v>
      </c>
      <c r="O50" s="550"/>
      <c r="P50" s="550"/>
      <c r="Q50" s="550">
        <v>70000</v>
      </c>
      <c r="R50" s="550"/>
      <c r="S50" s="550"/>
      <c r="T50" s="550">
        <v>1</v>
      </c>
      <c r="U50" s="550"/>
      <c r="V50" s="550"/>
      <c r="W50" s="550">
        <v>70000</v>
      </c>
      <c r="X50" s="550"/>
      <c r="Y50" s="550"/>
      <c r="Z50" s="550">
        <v>1</v>
      </c>
      <c r="AA50" s="550"/>
      <c r="AB50" s="550"/>
      <c r="AC50" s="550">
        <v>70000</v>
      </c>
      <c r="AD50" s="550"/>
      <c r="AE50" s="550"/>
      <c r="AF50" s="550">
        <v>1</v>
      </c>
      <c r="AG50" s="550"/>
      <c r="AH50" s="550"/>
      <c r="AI50" s="550">
        <v>70000</v>
      </c>
      <c r="AJ50" s="550">
        <f t="shared" si="17"/>
        <v>280000</v>
      </c>
      <c r="AK50" s="550">
        <f t="shared" si="18"/>
        <v>280000</v>
      </c>
      <c r="AL50" s="550"/>
      <c r="AM50" s="550"/>
      <c r="AN50" s="550"/>
      <c r="AO50" s="550"/>
      <c r="AP50" s="547" t="s">
        <v>1703</v>
      </c>
      <c r="AQ50" s="547" t="s">
        <v>1704</v>
      </c>
      <c r="AR50" s="547"/>
      <c r="AS50" s="715">
        <f t="shared" si="1"/>
        <v>0</v>
      </c>
      <c r="AT50" s="715">
        <f t="shared" si="2"/>
        <v>0</v>
      </c>
    </row>
    <row r="51" spans="1:46" ht="29.25" customHeight="1">
      <c r="A51" s="905" t="s">
        <v>285</v>
      </c>
      <c r="B51" s="905" t="s">
        <v>2327</v>
      </c>
      <c r="C51" s="905" t="s">
        <v>1709</v>
      </c>
      <c r="D51" s="907" t="s">
        <v>1710</v>
      </c>
      <c r="E51" s="551">
        <f t="shared" si="16"/>
        <v>560</v>
      </c>
      <c r="F51" s="552" t="s">
        <v>131</v>
      </c>
      <c r="G51" s="907" t="s">
        <v>1711</v>
      </c>
      <c r="H51" s="909" t="s">
        <v>1712</v>
      </c>
      <c r="I51" s="548">
        <v>0.18390804597701149</v>
      </c>
      <c r="J51" s="903"/>
      <c r="K51" s="903">
        <v>24</v>
      </c>
      <c r="L51" s="550">
        <v>30</v>
      </c>
      <c r="M51" s="550">
        <v>50</v>
      </c>
      <c r="N51" s="550">
        <v>50</v>
      </c>
      <c r="O51" s="550">
        <v>3000</v>
      </c>
      <c r="P51" s="550">
        <v>5000</v>
      </c>
      <c r="Q51" s="550">
        <v>5000</v>
      </c>
      <c r="R51" s="550">
        <v>50</v>
      </c>
      <c r="S51" s="550">
        <v>50</v>
      </c>
      <c r="T51" s="550">
        <v>50</v>
      </c>
      <c r="U51" s="550">
        <v>5000</v>
      </c>
      <c r="V51" s="550">
        <v>5000</v>
      </c>
      <c r="W51" s="550">
        <v>5000</v>
      </c>
      <c r="X51" s="550">
        <v>50</v>
      </c>
      <c r="Y51" s="550">
        <v>50</v>
      </c>
      <c r="Z51" s="550">
        <v>50</v>
      </c>
      <c r="AA51" s="550">
        <v>5000</v>
      </c>
      <c r="AB51" s="550">
        <v>5000</v>
      </c>
      <c r="AC51" s="550">
        <v>5000</v>
      </c>
      <c r="AD51" s="550">
        <v>50</v>
      </c>
      <c r="AE51" s="550">
        <v>50</v>
      </c>
      <c r="AF51" s="550">
        <v>30</v>
      </c>
      <c r="AG51" s="550">
        <v>5000</v>
      </c>
      <c r="AH51" s="550">
        <v>56000</v>
      </c>
      <c r="AI51" s="550">
        <v>56000</v>
      </c>
      <c r="AJ51" s="550">
        <f t="shared" si="17"/>
        <v>160000</v>
      </c>
      <c r="AK51" s="550">
        <f t="shared" si="18"/>
        <v>160000</v>
      </c>
      <c r="AL51" s="550"/>
      <c r="AM51" s="550"/>
      <c r="AN51" s="550"/>
      <c r="AO51" s="550"/>
      <c r="AP51" s="547" t="s">
        <v>1713</v>
      </c>
      <c r="AQ51" s="547" t="s">
        <v>1704</v>
      </c>
      <c r="AR51" s="547"/>
      <c r="AS51" s="715">
        <f t="shared" si="1"/>
        <v>0</v>
      </c>
      <c r="AT51" s="715">
        <f t="shared" si="2"/>
        <v>0</v>
      </c>
    </row>
    <row r="52" spans="1:46" ht="75.75" customHeight="1">
      <c r="A52" s="906" t="s">
        <v>285</v>
      </c>
      <c r="B52" s="906" t="s">
        <v>2327</v>
      </c>
      <c r="C52" s="906" t="s">
        <v>1714</v>
      </c>
      <c r="D52" s="908"/>
      <c r="E52" s="551">
        <f t="shared" si="16"/>
        <v>230</v>
      </c>
      <c r="F52" s="552" t="s">
        <v>134</v>
      </c>
      <c r="G52" s="908"/>
      <c r="H52" s="910"/>
      <c r="I52" s="548">
        <v>5.1724137931034482E-2</v>
      </c>
      <c r="J52" s="904"/>
      <c r="K52" s="904"/>
      <c r="L52" s="550">
        <v>15</v>
      </c>
      <c r="M52" s="550">
        <v>20</v>
      </c>
      <c r="N52" s="550">
        <v>20</v>
      </c>
      <c r="O52" s="550">
        <v>3000</v>
      </c>
      <c r="P52" s="550">
        <v>4000</v>
      </c>
      <c r="Q52" s="550">
        <v>4000</v>
      </c>
      <c r="R52" s="550">
        <v>20</v>
      </c>
      <c r="S52" s="550">
        <v>20</v>
      </c>
      <c r="T52" s="550">
        <v>20</v>
      </c>
      <c r="U52" s="550">
        <v>4000</v>
      </c>
      <c r="V52" s="550">
        <v>4000</v>
      </c>
      <c r="W52" s="550">
        <v>4000</v>
      </c>
      <c r="X52" s="550">
        <v>20</v>
      </c>
      <c r="Y52" s="550">
        <v>20</v>
      </c>
      <c r="Z52" s="550">
        <v>20</v>
      </c>
      <c r="AA52" s="550">
        <v>4000</v>
      </c>
      <c r="AB52" s="550">
        <v>4000</v>
      </c>
      <c r="AC52" s="550">
        <v>3000</v>
      </c>
      <c r="AD52" s="550">
        <v>20</v>
      </c>
      <c r="AE52" s="550">
        <v>20</v>
      </c>
      <c r="AF52" s="550">
        <v>15</v>
      </c>
      <c r="AG52" s="550">
        <v>4000</v>
      </c>
      <c r="AH52" s="550">
        <v>4000</v>
      </c>
      <c r="AI52" s="550">
        <v>3000</v>
      </c>
      <c r="AJ52" s="550">
        <f t="shared" si="17"/>
        <v>45000</v>
      </c>
      <c r="AK52" s="550">
        <f t="shared" si="18"/>
        <v>45000</v>
      </c>
      <c r="AL52" s="550"/>
      <c r="AM52" s="550"/>
      <c r="AN52" s="550"/>
      <c r="AO52" s="550"/>
      <c r="AP52" s="547" t="s">
        <v>1713</v>
      </c>
      <c r="AQ52" s="547" t="s">
        <v>1704</v>
      </c>
      <c r="AR52" s="547"/>
      <c r="AS52" s="715">
        <f t="shared" si="1"/>
        <v>0</v>
      </c>
      <c r="AT52" s="715">
        <f t="shared" si="2"/>
        <v>0</v>
      </c>
    </row>
    <row r="53" spans="1:46" ht="37.5" customHeight="1">
      <c r="A53" s="905" t="s">
        <v>285</v>
      </c>
      <c r="B53" s="905" t="s">
        <v>2327</v>
      </c>
      <c r="C53" s="905" t="s">
        <v>1715</v>
      </c>
      <c r="D53" s="907" t="s">
        <v>1716</v>
      </c>
      <c r="E53" s="551">
        <f t="shared" si="16"/>
        <v>4861</v>
      </c>
      <c r="F53" s="552" t="s">
        <v>131</v>
      </c>
      <c r="G53" s="907" t="s">
        <v>1717</v>
      </c>
      <c r="H53" s="909" t="s">
        <v>1718</v>
      </c>
      <c r="I53" s="548">
        <v>6.5517241379310351E-2</v>
      </c>
      <c r="J53" s="903"/>
      <c r="K53" s="903">
        <v>12</v>
      </c>
      <c r="L53" s="550">
        <v>413</v>
      </c>
      <c r="M53" s="550">
        <v>403</v>
      </c>
      <c r="N53" s="550">
        <v>423</v>
      </c>
      <c r="O53" s="550">
        <v>5000</v>
      </c>
      <c r="P53" s="550">
        <v>5000</v>
      </c>
      <c r="Q53" s="550">
        <v>5000</v>
      </c>
      <c r="R53" s="550">
        <v>334</v>
      </c>
      <c r="S53" s="550">
        <v>433</v>
      </c>
      <c r="T53" s="550">
        <v>418</v>
      </c>
      <c r="U53" s="550">
        <v>4000</v>
      </c>
      <c r="V53" s="550">
        <v>5000</v>
      </c>
      <c r="W53" s="550">
        <v>5000</v>
      </c>
      <c r="X53" s="550">
        <v>458</v>
      </c>
      <c r="Y53" s="550">
        <v>333</v>
      </c>
      <c r="Z53" s="550">
        <v>457</v>
      </c>
      <c r="AA53" s="550">
        <v>5000</v>
      </c>
      <c r="AB53" s="550">
        <v>4000</v>
      </c>
      <c r="AC53" s="550">
        <v>5000</v>
      </c>
      <c r="AD53" s="550">
        <v>438</v>
      </c>
      <c r="AE53" s="550">
        <v>438</v>
      </c>
      <c r="AF53" s="550">
        <v>313</v>
      </c>
      <c r="AG53" s="550">
        <v>5000</v>
      </c>
      <c r="AH53" s="550">
        <v>5000</v>
      </c>
      <c r="AI53" s="550">
        <v>4000</v>
      </c>
      <c r="AJ53" s="550">
        <f t="shared" si="17"/>
        <v>57000</v>
      </c>
      <c r="AK53" s="550">
        <f t="shared" si="18"/>
        <v>57000</v>
      </c>
      <c r="AL53" s="550"/>
      <c r="AM53" s="550"/>
      <c r="AN53" s="550"/>
      <c r="AO53" s="550"/>
      <c r="AP53" s="547" t="s">
        <v>1719</v>
      </c>
      <c r="AQ53" s="547" t="s">
        <v>1704</v>
      </c>
      <c r="AR53" s="547"/>
      <c r="AS53" s="715">
        <f t="shared" si="1"/>
        <v>0</v>
      </c>
      <c r="AT53" s="715">
        <f t="shared" si="2"/>
        <v>0</v>
      </c>
    </row>
    <row r="54" spans="1:46" ht="37.5" customHeight="1">
      <c r="A54" s="906" t="s">
        <v>285</v>
      </c>
      <c r="B54" s="906" t="s">
        <v>2327</v>
      </c>
      <c r="C54" s="906" t="s">
        <v>1720</v>
      </c>
      <c r="D54" s="908"/>
      <c r="E54" s="551">
        <f t="shared" si="16"/>
        <v>3419</v>
      </c>
      <c r="F54" s="552" t="s">
        <v>134</v>
      </c>
      <c r="G54" s="908"/>
      <c r="H54" s="910" t="s">
        <v>1721</v>
      </c>
      <c r="I54" s="548">
        <v>5.5172413793103448E-2</v>
      </c>
      <c r="J54" s="904"/>
      <c r="K54" s="904"/>
      <c r="L54" s="550">
        <v>282</v>
      </c>
      <c r="M54" s="550">
        <v>282</v>
      </c>
      <c r="N54" s="550">
        <v>292</v>
      </c>
      <c r="O54" s="550">
        <v>4000</v>
      </c>
      <c r="P54" s="550">
        <v>4000</v>
      </c>
      <c r="Q54" s="550">
        <v>4000</v>
      </c>
      <c r="R54" s="550">
        <v>251</v>
      </c>
      <c r="S54" s="550">
        <v>297</v>
      </c>
      <c r="T54" s="550">
        <v>298</v>
      </c>
      <c r="U54" s="550">
        <v>4000</v>
      </c>
      <c r="V54" s="550">
        <v>4000</v>
      </c>
      <c r="W54" s="550">
        <v>4000</v>
      </c>
      <c r="X54" s="550">
        <v>322</v>
      </c>
      <c r="Y54" s="550">
        <v>242</v>
      </c>
      <c r="Z54" s="550">
        <v>318</v>
      </c>
      <c r="AA54" s="550">
        <v>4000</v>
      </c>
      <c r="AB54" s="550">
        <v>4000</v>
      </c>
      <c r="AC54" s="550">
        <v>4000</v>
      </c>
      <c r="AD54" s="550">
        <v>308</v>
      </c>
      <c r="AE54" s="550">
        <v>307</v>
      </c>
      <c r="AF54" s="550">
        <v>220</v>
      </c>
      <c r="AG54" s="550">
        <v>4000</v>
      </c>
      <c r="AH54" s="550">
        <v>4000</v>
      </c>
      <c r="AI54" s="550">
        <v>4000</v>
      </c>
      <c r="AJ54" s="550">
        <f t="shared" si="17"/>
        <v>48000</v>
      </c>
      <c r="AK54" s="550">
        <f t="shared" si="18"/>
        <v>48000</v>
      </c>
      <c r="AL54" s="550"/>
      <c r="AM54" s="550"/>
      <c r="AN54" s="550"/>
      <c r="AO54" s="550"/>
      <c r="AP54" s="547" t="s">
        <v>1719</v>
      </c>
      <c r="AQ54" s="547" t="s">
        <v>1704</v>
      </c>
      <c r="AR54" s="547"/>
      <c r="AS54" s="715">
        <f t="shared" si="1"/>
        <v>0</v>
      </c>
      <c r="AT54" s="715">
        <f t="shared" si="2"/>
        <v>0</v>
      </c>
    </row>
    <row r="55" spans="1:46" ht="94.5">
      <c r="A55" s="558" t="s">
        <v>285</v>
      </c>
      <c r="B55" s="558" t="s">
        <v>2328</v>
      </c>
      <c r="C55" s="558" t="s">
        <v>2330</v>
      </c>
      <c r="D55" s="540" t="s">
        <v>1722</v>
      </c>
      <c r="E55" s="541"/>
      <c r="F55" s="542"/>
      <c r="G55" s="540"/>
      <c r="H55" s="540"/>
      <c r="I55" s="543">
        <v>0.53203443152114094</v>
      </c>
      <c r="J55" s="541">
        <v>58</v>
      </c>
      <c r="K55" s="541"/>
      <c r="L55" s="544"/>
      <c r="M55" s="544"/>
      <c r="N55" s="544"/>
      <c r="O55" s="544">
        <f>SUM(O56:O70)</f>
        <v>131000</v>
      </c>
      <c r="P55" s="544">
        <f>SUM(P56:P70)</f>
        <v>356000</v>
      </c>
      <c r="Q55" s="544">
        <f>SUM(Q56:Q70)</f>
        <v>366000</v>
      </c>
      <c r="R55" s="544"/>
      <c r="S55" s="544"/>
      <c r="T55" s="544"/>
      <c r="U55" s="544">
        <f>SUM(U56:U70)</f>
        <v>116000</v>
      </c>
      <c r="V55" s="544">
        <f>SUM(V56:V70)</f>
        <v>106000</v>
      </c>
      <c r="W55" s="544">
        <f>SUM(W56:W70)</f>
        <v>306000</v>
      </c>
      <c r="X55" s="544"/>
      <c r="Y55" s="544"/>
      <c r="Z55" s="544"/>
      <c r="AA55" s="544">
        <f>SUM(AA56:AA70)</f>
        <v>101000</v>
      </c>
      <c r="AB55" s="544">
        <f>SUM(AB56:AB70)</f>
        <v>106000</v>
      </c>
      <c r="AC55" s="544">
        <f>SUM(AC56:AC70)</f>
        <v>206000</v>
      </c>
      <c r="AD55" s="544"/>
      <c r="AE55" s="544"/>
      <c r="AF55" s="544"/>
      <c r="AG55" s="544">
        <f>SUM(AG56:AG70)</f>
        <v>100700</v>
      </c>
      <c r="AH55" s="544">
        <f>SUM(AH56:AH70)</f>
        <v>105700</v>
      </c>
      <c r="AI55" s="544">
        <f>SUM(AI56:AI70)</f>
        <v>427410</v>
      </c>
      <c r="AJ55" s="544">
        <f>SUM(O55,P55,Q55,U55,V55,W55,AA55,AB55,AC55,AG55,AH55,AI55)</f>
        <v>2427810</v>
      </c>
      <c r="AK55" s="544">
        <f>SUM(AK56:AK70)</f>
        <v>2427810</v>
      </c>
      <c r="AL55" s="544"/>
      <c r="AM55" s="544"/>
      <c r="AN55" s="544"/>
      <c r="AO55" s="544"/>
      <c r="AP55" s="540"/>
      <c r="AQ55" s="540" t="s">
        <v>1723</v>
      </c>
      <c r="AR55" s="540"/>
      <c r="AS55" s="715">
        <f t="shared" si="1"/>
        <v>0</v>
      </c>
      <c r="AT55" s="715">
        <f t="shared" si="2"/>
        <v>0</v>
      </c>
    </row>
    <row r="56" spans="1:46" ht="126">
      <c r="A56" s="559" t="s">
        <v>285</v>
      </c>
      <c r="B56" s="559" t="s">
        <v>2328</v>
      </c>
      <c r="C56" s="559" t="s">
        <v>1724</v>
      </c>
      <c r="D56" s="547" t="s">
        <v>1725</v>
      </c>
      <c r="E56" s="549">
        <f t="shared" ref="E56:E69" si="19">SUM(L56,M56,N56,R56,S56,T56,X56,Y56,Z56,AD56,AE56,AF56)</f>
        <v>9</v>
      </c>
      <c r="F56" s="554" t="s">
        <v>1726</v>
      </c>
      <c r="G56" s="547" t="s">
        <v>1727</v>
      </c>
      <c r="H56" s="547" t="s">
        <v>1728</v>
      </c>
      <c r="I56" s="548">
        <v>8.2358415588800901E-2</v>
      </c>
      <c r="J56" s="549"/>
      <c r="K56" s="549">
        <v>11</v>
      </c>
      <c r="L56" s="550"/>
      <c r="M56" s="550"/>
      <c r="N56" s="550"/>
      <c r="O56" s="550"/>
      <c r="P56" s="550"/>
      <c r="Q56" s="550"/>
      <c r="R56" s="550"/>
      <c r="S56" s="550"/>
      <c r="T56" s="550">
        <v>7</v>
      </c>
      <c r="U56" s="550"/>
      <c r="V56" s="550"/>
      <c r="W56" s="550">
        <v>100000</v>
      </c>
      <c r="X56" s="550"/>
      <c r="Y56" s="550"/>
      <c r="Z56" s="550"/>
      <c r="AA56" s="550"/>
      <c r="AB56" s="550"/>
      <c r="AC56" s="550"/>
      <c r="AD56" s="550"/>
      <c r="AE56" s="550"/>
      <c r="AF56" s="550">
        <v>2</v>
      </c>
      <c r="AG56" s="550"/>
      <c r="AH56" s="550"/>
      <c r="AI56" s="550">
        <v>100000</v>
      </c>
      <c r="AJ56" s="550">
        <f>SUM(O56,P56,Q56,U56,V56,W56,AA56,AB56,AC56,AG56,AH56,AI56)</f>
        <v>200000</v>
      </c>
      <c r="AK56" s="550">
        <f t="shared" ref="AK56:AK70" si="20">AJ56</f>
        <v>200000</v>
      </c>
      <c r="AL56" s="550"/>
      <c r="AM56" s="550"/>
      <c r="AN56" s="550"/>
      <c r="AO56" s="550"/>
      <c r="AP56" s="547" t="s">
        <v>1729</v>
      </c>
      <c r="AQ56" s="547" t="s">
        <v>1730</v>
      </c>
      <c r="AR56" s="547"/>
      <c r="AS56" s="715">
        <f t="shared" si="1"/>
        <v>0</v>
      </c>
      <c r="AT56" s="715">
        <f t="shared" si="2"/>
        <v>0</v>
      </c>
    </row>
    <row r="57" spans="1:46" ht="63">
      <c r="A57" s="559" t="s">
        <v>285</v>
      </c>
      <c r="B57" s="559" t="s">
        <v>2328</v>
      </c>
      <c r="C57" s="559" t="s">
        <v>1731</v>
      </c>
      <c r="D57" s="547" t="s">
        <v>1732</v>
      </c>
      <c r="E57" s="549">
        <f t="shared" si="19"/>
        <v>2</v>
      </c>
      <c r="F57" s="554" t="s">
        <v>168</v>
      </c>
      <c r="G57" s="547" t="s">
        <v>1733</v>
      </c>
      <c r="H57" s="547" t="s">
        <v>1734</v>
      </c>
      <c r="I57" s="548">
        <v>0.10294801948600113</v>
      </c>
      <c r="J57" s="549"/>
      <c r="K57" s="549">
        <v>11</v>
      </c>
      <c r="L57" s="550"/>
      <c r="M57" s="550"/>
      <c r="N57" s="550">
        <v>1</v>
      </c>
      <c r="O57" s="550"/>
      <c r="P57" s="550"/>
      <c r="Q57" s="550">
        <v>125000</v>
      </c>
      <c r="R57" s="550"/>
      <c r="S57" s="550"/>
      <c r="T57" s="550"/>
      <c r="U57" s="550"/>
      <c r="V57" s="550"/>
      <c r="W57" s="550"/>
      <c r="X57" s="550"/>
      <c r="Y57" s="550"/>
      <c r="Z57" s="550"/>
      <c r="AA57" s="550"/>
      <c r="AB57" s="550"/>
      <c r="AC57" s="550"/>
      <c r="AD57" s="550"/>
      <c r="AE57" s="550"/>
      <c r="AF57" s="550">
        <v>1</v>
      </c>
      <c r="AG57" s="550"/>
      <c r="AH57" s="550"/>
      <c r="AI57" s="550">
        <v>75000</v>
      </c>
      <c r="AJ57" s="550">
        <f t="shared" ref="AJ57:AJ70" si="21">SUM(O57,P57,Q57,U57,V57,W57,AA57,AB57,AC57,AG57,AH57,AI57)</f>
        <v>200000</v>
      </c>
      <c r="AK57" s="550">
        <f t="shared" si="20"/>
        <v>200000</v>
      </c>
      <c r="AL57" s="550"/>
      <c r="AM57" s="550"/>
      <c r="AN57" s="550"/>
      <c r="AO57" s="550"/>
      <c r="AP57" s="547" t="s">
        <v>1729</v>
      </c>
      <c r="AQ57" s="547" t="s">
        <v>1730</v>
      </c>
      <c r="AR57" s="547"/>
      <c r="AS57" s="715">
        <f t="shared" si="1"/>
        <v>0</v>
      </c>
      <c r="AT57" s="715">
        <f t="shared" si="2"/>
        <v>0</v>
      </c>
    </row>
    <row r="58" spans="1:46" ht="63">
      <c r="A58" s="559" t="s">
        <v>285</v>
      </c>
      <c r="B58" s="559" t="s">
        <v>2328</v>
      </c>
      <c r="C58" s="559" t="s">
        <v>1735</v>
      </c>
      <c r="D58" s="547" t="s">
        <v>1736</v>
      </c>
      <c r="E58" s="549">
        <f t="shared" si="19"/>
        <v>1</v>
      </c>
      <c r="F58" s="554" t="s">
        <v>168</v>
      </c>
      <c r="G58" s="547" t="s">
        <v>1737</v>
      </c>
      <c r="H58" s="547" t="s">
        <v>1738</v>
      </c>
      <c r="I58" s="548">
        <v>0.10294801948600113</v>
      </c>
      <c r="J58" s="549"/>
      <c r="K58" s="549">
        <v>11</v>
      </c>
      <c r="L58" s="550"/>
      <c r="M58" s="550"/>
      <c r="N58" s="550"/>
      <c r="O58" s="550"/>
      <c r="P58" s="550"/>
      <c r="Q58" s="550"/>
      <c r="R58" s="550"/>
      <c r="S58" s="550"/>
      <c r="T58" s="550"/>
      <c r="U58" s="550"/>
      <c r="V58" s="550"/>
      <c r="W58" s="550"/>
      <c r="X58" s="550"/>
      <c r="Y58" s="550"/>
      <c r="Z58" s="550"/>
      <c r="AA58" s="550"/>
      <c r="AB58" s="550"/>
      <c r="AC58" s="550"/>
      <c r="AD58" s="550"/>
      <c r="AE58" s="550">
        <v>1</v>
      </c>
      <c r="AF58" s="550"/>
      <c r="AG58" s="550"/>
      <c r="AH58" s="550"/>
      <c r="AI58" s="550">
        <v>50000</v>
      </c>
      <c r="AJ58" s="550">
        <f t="shared" si="21"/>
        <v>50000</v>
      </c>
      <c r="AK58" s="550">
        <f t="shared" si="20"/>
        <v>50000</v>
      </c>
      <c r="AL58" s="550"/>
      <c r="AM58" s="550"/>
      <c r="AN58" s="550"/>
      <c r="AO58" s="550"/>
      <c r="AP58" s="547" t="s">
        <v>1729</v>
      </c>
      <c r="AQ58" s="547" t="s">
        <v>1730</v>
      </c>
      <c r="AR58" s="547"/>
      <c r="AS58" s="715">
        <f t="shared" si="1"/>
        <v>0</v>
      </c>
      <c r="AT58" s="715">
        <f t="shared" si="2"/>
        <v>0</v>
      </c>
    </row>
    <row r="59" spans="1:46" ht="94.5">
      <c r="A59" s="559" t="s">
        <v>285</v>
      </c>
      <c r="B59" s="559" t="s">
        <v>2328</v>
      </c>
      <c r="C59" s="559" t="s">
        <v>1739</v>
      </c>
      <c r="D59" s="547" t="s">
        <v>1740</v>
      </c>
      <c r="E59" s="549">
        <f t="shared" si="19"/>
        <v>1</v>
      </c>
      <c r="F59" s="554" t="s">
        <v>213</v>
      </c>
      <c r="G59" s="547" t="s">
        <v>1741</v>
      </c>
      <c r="H59" s="547" t="s">
        <v>1742</v>
      </c>
      <c r="I59" s="548">
        <v>0.10294801948600113</v>
      </c>
      <c r="J59" s="549"/>
      <c r="K59" s="549">
        <v>9</v>
      </c>
      <c r="L59" s="550"/>
      <c r="M59" s="550">
        <v>1</v>
      </c>
      <c r="N59" s="550"/>
      <c r="O59" s="550"/>
      <c r="P59" s="550">
        <v>250000</v>
      </c>
      <c r="Q59" s="550"/>
      <c r="R59" s="550"/>
      <c r="S59" s="550"/>
      <c r="T59" s="550"/>
      <c r="U59" s="550"/>
      <c r="V59" s="550"/>
      <c r="W59" s="550"/>
      <c r="X59" s="550"/>
      <c r="Y59" s="550"/>
      <c r="Z59" s="550"/>
      <c r="AA59" s="550"/>
      <c r="AB59" s="550"/>
      <c r="AC59" s="550"/>
      <c r="AD59" s="550"/>
      <c r="AE59" s="550"/>
      <c r="AF59" s="550"/>
      <c r="AG59" s="550"/>
      <c r="AH59" s="550"/>
      <c r="AI59" s="550"/>
      <c r="AJ59" s="550">
        <f t="shared" si="21"/>
        <v>250000</v>
      </c>
      <c r="AK59" s="550">
        <f t="shared" si="20"/>
        <v>250000</v>
      </c>
      <c r="AL59" s="550"/>
      <c r="AM59" s="550"/>
      <c r="AN59" s="550"/>
      <c r="AO59" s="550"/>
      <c r="AP59" s="547" t="s">
        <v>1729</v>
      </c>
      <c r="AQ59" s="547" t="s">
        <v>1730</v>
      </c>
      <c r="AR59" s="547"/>
      <c r="AS59" s="715">
        <f t="shared" si="1"/>
        <v>0</v>
      </c>
      <c r="AT59" s="715">
        <f t="shared" si="2"/>
        <v>0</v>
      </c>
    </row>
    <row r="60" spans="1:46" ht="157.5">
      <c r="A60" s="559" t="s">
        <v>285</v>
      </c>
      <c r="B60" s="559" t="s">
        <v>2328</v>
      </c>
      <c r="C60" s="559" t="s">
        <v>1743</v>
      </c>
      <c r="D60" s="547" t="s">
        <v>1744</v>
      </c>
      <c r="E60" s="549">
        <f t="shared" si="19"/>
        <v>12</v>
      </c>
      <c r="F60" s="554" t="s">
        <v>1745</v>
      </c>
      <c r="G60" s="547" t="s">
        <v>1746</v>
      </c>
      <c r="H60" s="547" t="s">
        <v>1747</v>
      </c>
      <c r="I60" s="548">
        <v>0.14000930650096152</v>
      </c>
      <c r="J60" s="549"/>
      <c r="K60" s="549">
        <v>12</v>
      </c>
      <c r="L60" s="550">
        <v>1</v>
      </c>
      <c r="M60" s="550">
        <v>1</v>
      </c>
      <c r="N60" s="550">
        <v>1</v>
      </c>
      <c r="O60" s="550">
        <v>25000</v>
      </c>
      <c r="P60" s="550">
        <v>30000</v>
      </c>
      <c r="Q60" s="550">
        <v>30000</v>
      </c>
      <c r="R60" s="550">
        <v>1</v>
      </c>
      <c r="S60" s="550">
        <v>1</v>
      </c>
      <c r="T60" s="550">
        <v>1</v>
      </c>
      <c r="U60" s="550">
        <v>25000</v>
      </c>
      <c r="V60" s="550">
        <v>30000</v>
      </c>
      <c r="W60" s="550">
        <v>30000</v>
      </c>
      <c r="X60" s="550">
        <v>1</v>
      </c>
      <c r="Y60" s="550">
        <v>1</v>
      </c>
      <c r="Z60" s="550">
        <v>1</v>
      </c>
      <c r="AA60" s="550">
        <v>25000</v>
      </c>
      <c r="AB60" s="550">
        <v>30000</v>
      </c>
      <c r="AC60" s="550">
        <v>30000</v>
      </c>
      <c r="AD60" s="550">
        <v>1</v>
      </c>
      <c r="AE60" s="550">
        <v>1</v>
      </c>
      <c r="AF60" s="550">
        <v>1</v>
      </c>
      <c r="AG60" s="550">
        <v>25000</v>
      </c>
      <c r="AH60" s="550">
        <v>30000</v>
      </c>
      <c r="AI60" s="550">
        <v>30000</v>
      </c>
      <c r="AJ60" s="550">
        <f t="shared" si="21"/>
        <v>340000</v>
      </c>
      <c r="AK60" s="550">
        <f t="shared" si="20"/>
        <v>340000</v>
      </c>
      <c r="AL60" s="550"/>
      <c r="AM60" s="550"/>
      <c r="AN60" s="550"/>
      <c r="AO60" s="550"/>
      <c r="AP60" s="547" t="s">
        <v>1729</v>
      </c>
      <c r="AQ60" s="547" t="s">
        <v>1730</v>
      </c>
      <c r="AR60" s="547"/>
      <c r="AS60" s="715">
        <f t="shared" si="1"/>
        <v>0</v>
      </c>
      <c r="AT60" s="715">
        <f t="shared" si="2"/>
        <v>0</v>
      </c>
    </row>
    <row r="61" spans="1:46" ht="78.75">
      <c r="A61" s="559" t="s">
        <v>285</v>
      </c>
      <c r="B61" s="559" t="s">
        <v>2328</v>
      </c>
      <c r="C61" s="559" t="s">
        <v>1748</v>
      </c>
      <c r="D61" s="547" t="s">
        <v>1749</v>
      </c>
      <c r="E61" s="549">
        <f t="shared" si="19"/>
        <v>12</v>
      </c>
      <c r="F61" s="554" t="s">
        <v>1745</v>
      </c>
      <c r="G61" s="547" t="s">
        <v>1750</v>
      </c>
      <c r="H61" s="547" t="s">
        <v>1751</v>
      </c>
      <c r="I61" s="548">
        <v>0.14511964618824663</v>
      </c>
      <c r="J61" s="549"/>
      <c r="K61" s="549">
        <v>11</v>
      </c>
      <c r="L61" s="550">
        <v>1</v>
      </c>
      <c r="M61" s="550">
        <v>1</v>
      </c>
      <c r="N61" s="550">
        <v>1</v>
      </c>
      <c r="O61" s="550">
        <v>28000</v>
      </c>
      <c r="P61" s="550">
        <v>28000</v>
      </c>
      <c r="Q61" s="550">
        <v>33000</v>
      </c>
      <c r="R61" s="550">
        <v>1</v>
      </c>
      <c r="S61" s="550">
        <v>1</v>
      </c>
      <c r="T61" s="550">
        <v>1</v>
      </c>
      <c r="U61" s="550">
        <v>28000</v>
      </c>
      <c r="V61" s="550">
        <v>28000</v>
      </c>
      <c r="W61" s="550">
        <v>28000</v>
      </c>
      <c r="X61" s="550">
        <v>1</v>
      </c>
      <c r="Y61" s="550">
        <v>1</v>
      </c>
      <c r="Z61" s="550">
        <v>1</v>
      </c>
      <c r="AA61" s="550">
        <v>28000</v>
      </c>
      <c r="AB61" s="550">
        <v>28000</v>
      </c>
      <c r="AC61" s="550">
        <v>28000</v>
      </c>
      <c r="AD61" s="550">
        <v>1</v>
      </c>
      <c r="AE61" s="550">
        <v>1</v>
      </c>
      <c r="AF61" s="550">
        <v>1</v>
      </c>
      <c r="AG61" s="550">
        <f>28000-300</f>
        <v>27700</v>
      </c>
      <c r="AH61" s="550">
        <f>28000-300</f>
        <v>27700</v>
      </c>
      <c r="AI61" s="550">
        <f>25000-590</f>
        <v>24410</v>
      </c>
      <c r="AJ61" s="550">
        <f t="shared" si="21"/>
        <v>336810</v>
      </c>
      <c r="AK61" s="550">
        <f t="shared" si="20"/>
        <v>336810</v>
      </c>
      <c r="AL61" s="550"/>
      <c r="AM61" s="550"/>
      <c r="AN61" s="550"/>
      <c r="AO61" s="550"/>
      <c r="AP61" s="547" t="s">
        <v>1729</v>
      </c>
      <c r="AQ61" s="547" t="s">
        <v>1730</v>
      </c>
      <c r="AR61" s="547"/>
      <c r="AS61" s="715">
        <f t="shared" si="1"/>
        <v>0</v>
      </c>
      <c r="AT61" s="715">
        <f t="shared" si="2"/>
        <v>0</v>
      </c>
    </row>
    <row r="62" spans="1:46" ht="141.75">
      <c r="A62" s="559" t="s">
        <v>285</v>
      </c>
      <c r="B62" s="559" t="s">
        <v>2328</v>
      </c>
      <c r="C62" s="559" t="s">
        <v>1752</v>
      </c>
      <c r="D62" s="547" t="s">
        <v>1753</v>
      </c>
      <c r="E62" s="549">
        <f t="shared" si="19"/>
        <v>12</v>
      </c>
      <c r="F62" s="554" t="s">
        <v>1745</v>
      </c>
      <c r="G62" s="547" t="s">
        <v>1754</v>
      </c>
      <c r="H62" s="547" t="s">
        <v>1755</v>
      </c>
      <c r="I62" s="548">
        <v>6.4239564159264698E-2</v>
      </c>
      <c r="J62" s="549"/>
      <c r="K62" s="549">
        <v>9</v>
      </c>
      <c r="L62" s="550">
        <v>1</v>
      </c>
      <c r="M62" s="550">
        <v>1</v>
      </c>
      <c r="N62" s="550">
        <v>1</v>
      </c>
      <c r="O62" s="550">
        <v>13000</v>
      </c>
      <c r="P62" s="550">
        <v>13000</v>
      </c>
      <c r="Q62" s="550">
        <v>13000</v>
      </c>
      <c r="R62" s="550">
        <v>1</v>
      </c>
      <c r="S62" s="550">
        <v>1</v>
      </c>
      <c r="T62" s="550">
        <v>1</v>
      </c>
      <c r="U62" s="550">
        <v>13000</v>
      </c>
      <c r="V62" s="550">
        <v>13000</v>
      </c>
      <c r="W62" s="550">
        <v>13000</v>
      </c>
      <c r="X62" s="550">
        <v>1</v>
      </c>
      <c r="Y62" s="550">
        <v>1</v>
      </c>
      <c r="Z62" s="550">
        <v>1</v>
      </c>
      <c r="AA62" s="550">
        <v>13000</v>
      </c>
      <c r="AB62" s="550">
        <v>13000</v>
      </c>
      <c r="AC62" s="550">
        <v>13000</v>
      </c>
      <c r="AD62" s="550">
        <v>1</v>
      </c>
      <c r="AE62" s="550">
        <v>1</v>
      </c>
      <c r="AF62" s="550">
        <v>1</v>
      </c>
      <c r="AG62" s="550">
        <v>13000</v>
      </c>
      <c r="AH62" s="550">
        <v>13000</v>
      </c>
      <c r="AI62" s="550">
        <v>13000</v>
      </c>
      <c r="AJ62" s="550">
        <f t="shared" si="21"/>
        <v>156000</v>
      </c>
      <c r="AK62" s="550">
        <f t="shared" si="20"/>
        <v>156000</v>
      </c>
      <c r="AL62" s="550"/>
      <c r="AM62" s="550"/>
      <c r="AN62" s="550"/>
      <c r="AO62" s="550"/>
      <c r="AP62" s="547" t="s">
        <v>1729</v>
      </c>
      <c r="AQ62" s="547" t="s">
        <v>1730</v>
      </c>
      <c r="AR62" s="547"/>
      <c r="AS62" s="715">
        <f t="shared" si="1"/>
        <v>0</v>
      </c>
      <c r="AT62" s="715">
        <f t="shared" si="2"/>
        <v>0</v>
      </c>
    </row>
    <row r="63" spans="1:46" ht="126">
      <c r="A63" s="559" t="s">
        <v>285</v>
      </c>
      <c r="B63" s="559" t="s">
        <v>2328</v>
      </c>
      <c r="C63" s="559" t="s">
        <v>1756</v>
      </c>
      <c r="D63" s="547" t="s">
        <v>1757</v>
      </c>
      <c r="E63" s="549">
        <f t="shared" si="19"/>
        <v>2400</v>
      </c>
      <c r="F63" s="554" t="s">
        <v>1745</v>
      </c>
      <c r="G63" s="547" t="s">
        <v>1758</v>
      </c>
      <c r="H63" s="547" t="s">
        <v>1759</v>
      </c>
      <c r="I63" s="548">
        <v>4.9415049353280539E-2</v>
      </c>
      <c r="J63" s="549"/>
      <c r="K63" s="549">
        <v>10</v>
      </c>
      <c r="L63" s="550">
        <v>200</v>
      </c>
      <c r="M63" s="550">
        <v>200</v>
      </c>
      <c r="N63" s="550">
        <v>200</v>
      </c>
      <c r="O63" s="550">
        <v>10000</v>
      </c>
      <c r="P63" s="550">
        <v>10000</v>
      </c>
      <c r="Q63" s="550">
        <v>10000</v>
      </c>
      <c r="R63" s="550">
        <v>200</v>
      </c>
      <c r="S63" s="550">
        <v>200</v>
      </c>
      <c r="T63" s="550">
        <v>200</v>
      </c>
      <c r="U63" s="550">
        <v>10000</v>
      </c>
      <c r="V63" s="550">
        <v>10000</v>
      </c>
      <c r="W63" s="550">
        <v>10000</v>
      </c>
      <c r="X63" s="550">
        <v>200</v>
      </c>
      <c r="Y63" s="550">
        <v>200</v>
      </c>
      <c r="Z63" s="550">
        <v>200</v>
      </c>
      <c r="AA63" s="550">
        <v>10000</v>
      </c>
      <c r="AB63" s="550">
        <v>10000</v>
      </c>
      <c r="AC63" s="550">
        <v>10000</v>
      </c>
      <c r="AD63" s="550">
        <v>200</v>
      </c>
      <c r="AE63" s="550">
        <v>200</v>
      </c>
      <c r="AF63" s="550">
        <v>200</v>
      </c>
      <c r="AG63" s="550">
        <v>10000</v>
      </c>
      <c r="AH63" s="550">
        <v>10000</v>
      </c>
      <c r="AI63" s="550">
        <v>10000</v>
      </c>
      <c r="AJ63" s="550">
        <f t="shared" si="21"/>
        <v>120000</v>
      </c>
      <c r="AK63" s="550">
        <f t="shared" si="20"/>
        <v>120000</v>
      </c>
      <c r="AL63" s="550"/>
      <c r="AM63" s="550"/>
      <c r="AN63" s="550"/>
      <c r="AO63" s="550"/>
      <c r="AP63" s="547" t="s">
        <v>1729</v>
      </c>
      <c r="AQ63" s="547" t="s">
        <v>1730</v>
      </c>
      <c r="AR63" s="547"/>
      <c r="AS63" s="715">
        <f t="shared" si="1"/>
        <v>0</v>
      </c>
      <c r="AT63" s="715">
        <f t="shared" si="2"/>
        <v>0</v>
      </c>
    </row>
    <row r="64" spans="1:46" ht="94.5">
      <c r="A64" s="559" t="s">
        <v>285</v>
      </c>
      <c r="B64" s="559" t="s">
        <v>2328</v>
      </c>
      <c r="C64" s="559" t="s">
        <v>1760</v>
      </c>
      <c r="D64" s="547" t="s">
        <v>1761</v>
      </c>
      <c r="E64" s="549">
        <f t="shared" si="19"/>
        <v>1</v>
      </c>
      <c r="F64" s="554" t="s">
        <v>1745</v>
      </c>
      <c r="G64" s="547" t="s">
        <v>1762</v>
      </c>
      <c r="H64" s="547" t="s">
        <v>1763</v>
      </c>
      <c r="I64" s="548">
        <v>1.2353762338320135E-2</v>
      </c>
      <c r="J64" s="549"/>
      <c r="K64" s="549">
        <v>2</v>
      </c>
      <c r="L64" s="550">
        <v>1</v>
      </c>
      <c r="M64" s="550"/>
      <c r="N64" s="550"/>
      <c r="O64" s="550">
        <v>30000</v>
      </c>
      <c r="P64" s="550"/>
      <c r="Q64" s="550"/>
      <c r="R64" s="550"/>
      <c r="S64" s="550"/>
      <c r="T64" s="550"/>
      <c r="U64" s="550"/>
      <c r="V64" s="550"/>
      <c r="W64" s="550"/>
      <c r="X64" s="550"/>
      <c r="Y64" s="550"/>
      <c r="Z64" s="550"/>
      <c r="AA64" s="550"/>
      <c r="AB64" s="550"/>
      <c r="AC64" s="550"/>
      <c r="AD64" s="550"/>
      <c r="AE64" s="550"/>
      <c r="AF64" s="550"/>
      <c r="AG64" s="550"/>
      <c r="AH64" s="550"/>
      <c r="AI64" s="550"/>
      <c r="AJ64" s="550">
        <f t="shared" si="21"/>
        <v>30000</v>
      </c>
      <c r="AK64" s="550">
        <f t="shared" si="20"/>
        <v>30000</v>
      </c>
      <c r="AL64" s="550"/>
      <c r="AM64" s="550"/>
      <c r="AN64" s="550"/>
      <c r="AO64" s="550"/>
      <c r="AP64" s="547" t="s">
        <v>1729</v>
      </c>
      <c r="AQ64" s="547" t="s">
        <v>1730</v>
      </c>
      <c r="AR64" s="547"/>
      <c r="AS64" s="715">
        <f t="shared" si="1"/>
        <v>0</v>
      </c>
      <c r="AT64" s="715">
        <f t="shared" si="2"/>
        <v>0</v>
      </c>
    </row>
    <row r="65" spans="1:46" ht="78.75">
      <c r="A65" s="559" t="s">
        <v>285</v>
      </c>
      <c r="B65" s="559" t="s">
        <v>2328</v>
      </c>
      <c r="C65" s="559" t="s">
        <v>1764</v>
      </c>
      <c r="D65" s="547" t="s">
        <v>1765</v>
      </c>
      <c r="E65" s="549">
        <f t="shared" si="19"/>
        <v>1</v>
      </c>
      <c r="F65" s="554" t="s">
        <v>1745</v>
      </c>
      <c r="G65" s="547" t="s">
        <v>1766</v>
      </c>
      <c r="H65" s="547" t="s">
        <v>1767</v>
      </c>
      <c r="I65" s="548">
        <v>1.2353762338320135E-2</v>
      </c>
      <c r="J65" s="549"/>
      <c r="K65" s="549">
        <v>2</v>
      </c>
      <c r="L65" s="550"/>
      <c r="M65" s="550"/>
      <c r="N65" s="550">
        <v>1</v>
      </c>
      <c r="O65" s="550"/>
      <c r="P65" s="550"/>
      <c r="Q65" s="550">
        <v>30000</v>
      </c>
      <c r="R65" s="550"/>
      <c r="S65" s="550"/>
      <c r="T65" s="550"/>
      <c r="U65" s="550"/>
      <c r="V65" s="550"/>
      <c r="W65" s="550"/>
      <c r="X65" s="550"/>
      <c r="Y65" s="550"/>
      <c r="Z65" s="550"/>
      <c r="AA65" s="550"/>
      <c r="AB65" s="550"/>
      <c r="AC65" s="550"/>
      <c r="AD65" s="550"/>
      <c r="AE65" s="550"/>
      <c r="AF65" s="550"/>
      <c r="AG65" s="550"/>
      <c r="AH65" s="550"/>
      <c r="AI65" s="550"/>
      <c r="AJ65" s="550">
        <f t="shared" si="21"/>
        <v>30000</v>
      </c>
      <c r="AK65" s="550">
        <f t="shared" si="20"/>
        <v>30000</v>
      </c>
      <c r="AL65" s="550"/>
      <c r="AM65" s="550"/>
      <c r="AN65" s="550"/>
      <c r="AO65" s="550"/>
      <c r="AP65" s="547" t="s">
        <v>1729</v>
      </c>
      <c r="AQ65" s="547" t="s">
        <v>1730</v>
      </c>
      <c r="AR65" s="547"/>
      <c r="AS65" s="715">
        <f t="shared" si="1"/>
        <v>0</v>
      </c>
      <c r="AT65" s="715">
        <f t="shared" si="2"/>
        <v>0</v>
      </c>
    </row>
    <row r="66" spans="1:46" ht="173.25">
      <c r="A66" s="559" t="s">
        <v>285</v>
      </c>
      <c r="B66" s="559" t="s">
        <v>2328</v>
      </c>
      <c r="C66" s="559" t="s">
        <v>1768</v>
      </c>
      <c r="D66" s="547" t="s">
        <v>1769</v>
      </c>
      <c r="E66" s="549">
        <f t="shared" si="19"/>
        <v>12</v>
      </c>
      <c r="F66" s="554" t="s">
        <v>1745</v>
      </c>
      <c r="G66" s="547" t="s">
        <v>1770</v>
      </c>
      <c r="H66" s="547" t="s">
        <v>1771</v>
      </c>
      <c r="I66" s="548">
        <v>0.12353762338320136</v>
      </c>
      <c r="J66" s="549"/>
      <c r="K66" s="549">
        <v>11</v>
      </c>
      <c r="L66" s="550">
        <v>1</v>
      </c>
      <c r="M66" s="550">
        <v>1</v>
      </c>
      <c r="N66" s="550">
        <v>1</v>
      </c>
      <c r="O66" s="550">
        <v>25000</v>
      </c>
      <c r="P66" s="550">
        <v>25000</v>
      </c>
      <c r="Q66" s="550">
        <v>25000</v>
      </c>
      <c r="R66" s="550">
        <v>1</v>
      </c>
      <c r="S66" s="550">
        <v>1</v>
      </c>
      <c r="T66" s="550">
        <v>1</v>
      </c>
      <c r="U66" s="550">
        <v>25000</v>
      </c>
      <c r="V66" s="550">
        <v>25000</v>
      </c>
      <c r="W66" s="550">
        <v>25000</v>
      </c>
      <c r="X66" s="550">
        <v>1</v>
      </c>
      <c r="Y66" s="550">
        <v>1</v>
      </c>
      <c r="Z66" s="550">
        <v>1</v>
      </c>
      <c r="AA66" s="550">
        <v>25000</v>
      </c>
      <c r="AB66" s="550">
        <v>25000</v>
      </c>
      <c r="AC66" s="550">
        <v>25000</v>
      </c>
      <c r="AD66" s="550">
        <v>1</v>
      </c>
      <c r="AE66" s="550">
        <v>1</v>
      </c>
      <c r="AF66" s="550">
        <v>1</v>
      </c>
      <c r="AG66" s="550">
        <v>25000</v>
      </c>
      <c r="AH66" s="550">
        <v>25000</v>
      </c>
      <c r="AI66" s="550">
        <v>25000</v>
      </c>
      <c r="AJ66" s="550">
        <f t="shared" si="21"/>
        <v>300000</v>
      </c>
      <c r="AK66" s="550">
        <f t="shared" si="20"/>
        <v>300000</v>
      </c>
      <c r="AL66" s="550"/>
      <c r="AM66" s="550"/>
      <c r="AN66" s="550"/>
      <c r="AO66" s="550"/>
      <c r="AP66" s="547" t="s">
        <v>1729</v>
      </c>
      <c r="AQ66" s="547" t="s">
        <v>1730</v>
      </c>
      <c r="AR66" s="547"/>
      <c r="AS66" s="715">
        <f t="shared" si="1"/>
        <v>0</v>
      </c>
      <c r="AT66" s="715">
        <f t="shared" si="2"/>
        <v>0</v>
      </c>
    </row>
    <row r="67" spans="1:46" ht="110.25">
      <c r="A67" s="559" t="s">
        <v>285</v>
      </c>
      <c r="B67" s="559" t="s">
        <v>2328</v>
      </c>
      <c r="C67" s="559" t="s">
        <v>1772</v>
      </c>
      <c r="D67" s="547" t="s">
        <v>1773</v>
      </c>
      <c r="E67" s="549">
        <f t="shared" si="19"/>
        <v>4</v>
      </c>
      <c r="F67" s="554" t="s">
        <v>168</v>
      </c>
      <c r="G67" s="547" t="s">
        <v>1774</v>
      </c>
      <c r="H67" s="547" t="s">
        <v>1775</v>
      </c>
      <c r="I67" s="548">
        <v>4.9415049353280539E-2</v>
      </c>
      <c r="J67" s="549"/>
      <c r="K67" s="549">
        <v>4</v>
      </c>
      <c r="L67" s="550"/>
      <c r="M67" s="550"/>
      <c r="N67" s="550">
        <v>1</v>
      </c>
      <c r="O67" s="550"/>
      <c r="P67" s="550"/>
      <c r="Q67" s="550">
        <v>30000</v>
      </c>
      <c r="R67" s="550"/>
      <c r="S67" s="550"/>
      <c r="T67" s="550">
        <v>1</v>
      </c>
      <c r="U67" s="550"/>
      <c r="V67" s="550"/>
      <c r="W67" s="550">
        <v>30000</v>
      </c>
      <c r="X67" s="550"/>
      <c r="Y67" s="550"/>
      <c r="Z67" s="550">
        <v>1</v>
      </c>
      <c r="AA67" s="550"/>
      <c r="AB67" s="550"/>
      <c r="AC67" s="550">
        <v>30000</v>
      </c>
      <c r="AD67" s="550"/>
      <c r="AE67" s="550"/>
      <c r="AF67" s="550">
        <v>1</v>
      </c>
      <c r="AG67" s="550"/>
      <c r="AH67" s="550"/>
      <c r="AI67" s="550">
        <v>30000</v>
      </c>
      <c r="AJ67" s="550">
        <f t="shared" si="21"/>
        <v>120000</v>
      </c>
      <c r="AK67" s="550">
        <f t="shared" si="20"/>
        <v>120000</v>
      </c>
      <c r="AL67" s="550"/>
      <c r="AM67" s="550"/>
      <c r="AN67" s="550"/>
      <c r="AO67" s="550"/>
      <c r="AP67" s="547" t="s">
        <v>1729</v>
      </c>
      <c r="AQ67" s="547" t="s">
        <v>1730</v>
      </c>
      <c r="AR67" s="547"/>
      <c r="AS67" s="715">
        <f t="shared" si="1"/>
        <v>0</v>
      </c>
      <c r="AT67" s="715">
        <f t="shared" si="2"/>
        <v>0</v>
      </c>
    </row>
    <row r="68" spans="1:46" ht="110.25">
      <c r="A68" s="559" t="s">
        <v>285</v>
      </c>
      <c r="B68" s="559" t="s">
        <v>2328</v>
      </c>
      <c r="C68" s="559" t="s">
        <v>1776</v>
      </c>
      <c r="D68" s="547" t="s">
        <v>1777</v>
      </c>
      <c r="E68" s="549">
        <f t="shared" si="19"/>
        <v>4</v>
      </c>
      <c r="F68" s="554" t="s">
        <v>1745</v>
      </c>
      <c r="G68" s="547" t="s">
        <v>1778</v>
      </c>
      <c r="H68" s="547" t="s">
        <v>1779</v>
      </c>
      <c r="I68" s="548">
        <v>5.7650890912160635E-2</v>
      </c>
      <c r="J68" s="549"/>
      <c r="K68" s="549">
        <v>4</v>
      </c>
      <c r="L68" s="550"/>
      <c r="M68" s="550"/>
      <c r="N68" s="550">
        <v>1</v>
      </c>
      <c r="O68" s="550"/>
      <c r="P68" s="550"/>
      <c r="Q68" s="550">
        <v>35000</v>
      </c>
      <c r="R68" s="550"/>
      <c r="S68" s="550"/>
      <c r="T68" s="550">
        <v>1</v>
      </c>
      <c r="U68" s="550"/>
      <c r="V68" s="550"/>
      <c r="W68" s="550">
        <v>35000</v>
      </c>
      <c r="X68" s="550"/>
      <c r="Y68" s="550"/>
      <c r="Z68" s="550">
        <v>1</v>
      </c>
      <c r="AA68" s="550"/>
      <c r="AB68" s="550"/>
      <c r="AC68" s="550">
        <v>35000</v>
      </c>
      <c r="AD68" s="550"/>
      <c r="AE68" s="550"/>
      <c r="AF68" s="550">
        <v>1</v>
      </c>
      <c r="AG68" s="550"/>
      <c r="AH68" s="550"/>
      <c r="AI68" s="550">
        <v>35000</v>
      </c>
      <c r="AJ68" s="550">
        <f t="shared" si="21"/>
        <v>140000</v>
      </c>
      <c r="AK68" s="550">
        <f t="shared" si="20"/>
        <v>140000</v>
      </c>
      <c r="AL68" s="550"/>
      <c r="AM68" s="550"/>
      <c r="AN68" s="550"/>
      <c r="AO68" s="550"/>
      <c r="AP68" s="547" t="s">
        <v>1729</v>
      </c>
      <c r="AQ68" s="547" t="s">
        <v>1730</v>
      </c>
      <c r="AR68" s="547"/>
      <c r="AS68" s="715">
        <f t="shared" si="1"/>
        <v>0</v>
      </c>
      <c r="AT68" s="715">
        <f t="shared" si="2"/>
        <v>0</v>
      </c>
    </row>
    <row r="69" spans="1:46" ht="157.5">
      <c r="A69" s="559" t="s">
        <v>285</v>
      </c>
      <c r="B69" s="559" t="s">
        <v>2328</v>
      </c>
      <c r="C69" s="559" t="s">
        <v>1780</v>
      </c>
      <c r="D69" s="547" t="s">
        <v>2333</v>
      </c>
      <c r="E69" s="549">
        <f t="shared" si="19"/>
        <v>4</v>
      </c>
      <c r="F69" s="554" t="s">
        <v>1745</v>
      </c>
      <c r="G69" s="547" t="s">
        <v>1781</v>
      </c>
      <c r="H69" s="547" t="s">
        <v>1782</v>
      </c>
      <c r="I69" s="548">
        <v>5.7650890912160635E-2</v>
      </c>
      <c r="J69" s="549"/>
      <c r="K69" s="549">
        <v>3</v>
      </c>
      <c r="L69" s="550"/>
      <c r="M69" s="550"/>
      <c r="N69" s="550">
        <v>1</v>
      </c>
      <c r="O69" s="550"/>
      <c r="P69" s="550"/>
      <c r="Q69" s="550">
        <v>35000</v>
      </c>
      <c r="R69" s="550"/>
      <c r="S69" s="550"/>
      <c r="T69" s="550">
        <v>1</v>
      </c>
      <c r="U69" s="550"/>
      <c r="V69" s="550"/>
      <c r="W69" s="550">
        <v>35000</v>
      </c>
      <c r="X69" s="550"/>
      <c r="Y69" s="550"/>
      <c r="Z69" s="550">
        <v>1</v>
      </c>
      <c r="AA69" s="550"/>
      <c r="AB69" s="550"/>
      <c r="AC69" s="550">
        <v>35000</v>
      </c>
      <c r="AD69" s="550"/>
      <c r="AE69" s="550"/>
      <c r="AF69" s="550">
        <v>1</v>
      </c>
      <c r="AG69" s="550"/>
      <c r="AH69" s="550"/>
      <c r="AI69" s="550">
        <v>35000</v>
      </c>
      <c r="AJ69" s="550">
        <f t="shared" si="21"/>
        <v>140000</v>
      </c>
      <c r="AK69" s="550">
        <f t="shared" si="20"/>
        <v>140000</v>
      </c>
      <c r="AL69" s="550"/>
      <c r="AM69" s="550"/>
      <c r="AN69" s="550"/>
      <c r="AO69" s="550"/>
      <c r="AP69" s="547" t="s">
        <v>1729</v>
      </c>
      <c r="AQ69" s="547" t="s">
        <v>1730</v>
      </c>
      <c r="AR69" s="547"/>
      <c r="AS69" s="715">
        <f t="shared" si="1"/>
        <v>0</v>
      </c>
      <c r="AT69" s="715">
        <f t="shared" si="2"/>
        <v>0</v>
      </c>
    </row>
    <row r="70" spans="1:46" ht="110.25">
      <c r="A70" s="559" t="s">
        <v>285</v>
      </c>
      <c r="B70" s="559" t="s">
        <v>2328</v>
      </c>
      <c r="C70" s="559" t="s">
        <v>1783</v>
      </c>
      <c r="D70" s="547" t="s">
        <v>1784</v>
      </c>
      <c r="E70" s="549">
        <v>1</v>
      </c>
      <c r="F70" s="554" t="s">
        <v>213</v>
      </c>
      <c r="G70" s="547" t="s">
        <v>1785</v>
      </c>
      <c r="H70" s="547" t="s">
        <v>1786</v>
      </c>
      <c r="I70" s="548">
        <v>5.7650890912160635E-2</v>
      </c>
      <c r="J70" s="549"/>
      <c r="K70" s="549">
        <v>1</v>
      </c>
      <c r="L70" s="550"/>
      <c r="M70" s="550"/>
      <c r="N70" s="550"/>
      <c r="O70" s="550"/>
      <c r="P70" s="550"/>
      <c r="Q70" s="550"/>
      <c r="R70" s="550">
        <v>1</v>
      </c>
      <c r="S70" s="550"/>
      <c r="T70" s="550"/>
      <c r="U70" s="550">
        <v>15000</v>
      </c>
      <c r="V70" s="550"/>
      <c r="W70" s="550"/>
      <c r="X70" s="550"/>
      <c r="Y70" s="550"/>
      <c r="Z70" s="550"/>
      <c r="AA70" s="550"/>
      <c r="AB70" s="550"/>
      <c r="AC70" s="550"/>
      <c r="AD70" s="550"/>
      <c r="AE70" s="550"/>
      <c r="AF70" s="550"/>
      <c r="AG70" s="550"/>
      <c r="AH70" s="550"/>
      <c r="AI70" s="550"/>
      <c r="AJ70" s="550">
        <f t="shared" si="21"/>
        <v>15000</v>
      </c>
      <c r="AK70" s="550">
        <f t="shared" si="20"/>
        <v>15000</v>
      </c>
      <c r="AL70" s="550"/>
      <c r="AM70" s="550"/>
      <c r="AN70" s="550"/>
      <c r="AO70" s="550"/>
      <c r="AP70" s="547" t="s">
        <v>1729</v>
      </c>
      <c r="AQ70" s="547" t="s">
        <v>1730</v>
      </c>
      <c r="AR70" s="547"/>
      <c r="AS70" s="715">
        <f t="shared" si="1"/>
        <v>0</v>
      </c>
      <c r="AT70" s="715">
        <f t="shared" si="2"/>
        <v>0</v>
      </c>
    </row>
    <row r="71" spans="1:46" ht="110.25">
      <c r="A71" s="558" t="s">
        <v>285</v>
      </c>
      <c r="B71" s="558" t="s">
        <v>2329</v>
      </c>
      <c r="C71" s="558" t="s">
        <v>2331</v>
      </c>
      <c r="D71" s="540" t="s">
        <v>1787</v>
      </c>
      <c r="E71" s="541"/>
      <c r="F71" s="542"/>
      <c r="G71" s="540"/>
      <c r="H71" s="540"/>
      <c r="I71" s="543">
        <v>0.15517424445857003</v>
      </c>
      <c r="J71" s="541">
        <v>15</v>
      </c>
      <c r="K71" s="541"/>
      <c r="L71" s="544"/>
      <c r="M71" s="544"/>
      <c r="N71" s="544"/>
      <c r="O71" s="544">
        <f t="shared" ref="O71:AK71" si="22">SUM(O72:O79)</f>
        <v>32200</v>
      </c>
      <c r="P71" s="544">
        <f t="shared" si="22"/>
        <v>35200</v>
      </c>
      <c r="Q71" s="544">
        <f t="shared" si="22"/>
        <v>125870</v>
      </c>
      <c r="R71" s="544"/>
      <c r="S71" s="544"/>
      <c r="T71" s="544"/>
      <c r="U71" s="544">
        <f t="shared" si="22"/>
        <v>37225</v>
      </c>
      <c r="V71" s="544">
        <f t="shared" si="22"/>
        <v>38200</v>
      </c>
      <c r="W71" s="544">
        <f t="shared" si="22"/>
        <v>78870</v>
      </c>
      <c r="X71" s="544"/>
      <c r="Y71" s="544"/>
      <c r="Z71" s="544"/>
      <c r="AA71" s="544">
        <f t="shared" si="22"/>
        <v>38200</v>
      </c>
      <c r="AB71" s="544">
        <f t="shared" si="22"/>
        <v>38200</v>
      </c>
      <c r="AC71" s="544">
        <f t="shared" si="22"/>
        <v>128860</v>
      </c>
      <c r="AD71" s="544"/>
      <c r="AE71" s="544"/>
      <c r="AF71" s="544"/>
      <c r="AG71" s="544">
        <f t="shared" si="22"/>
        <v>38200</v>
      </c>
      <c r="AH71" s="544">
        <f t="shared" si="22"/>
        <v>38200</v>
      </c>
      <c r="AI71" s="544">
        <f t="shared" si="22"/>
        <v>79050</v>
      </c>
      <c r="AJ71" s="544">
        <f>SUM(O71,P71,Q71,U71,V71,W71,AA71,AB71,AC71,AG71,AH71,AI71)</f>
        <v>708275</v>
      </c>
      <c r="AK71" s="544">
        <f t="shared" si="22"/>
        <v>708275</v>
      </c>
      <c r="AL71" s="544"/>
      <c r="AM71" s="544"/>
      <c r="AN71" s="544"/>
      <c r="AO71" s="544"/>
      <c r="AP71" s="540"/>
      <c r="AQ71" s="540" t="s">
        <v>1788</v>
      </c>
      <c r="AR71" s="540"/>
      <c r="AS71" s="715">
        <f t="shared" si="1"/>
        <v>0</v>
      </c>
      <c r="AT71" s="715">
        <f t="shared" si="2"/>
        <v>0</v>
      </c>
    </row>
    <row r="72" spans="1:46" ht="78.75">
      <c r="A72" s="559" t="s">
        <v>285</v>
      </c>
      <c r="B72" s="559" t="s">
        <v>2329</v>
      </c>
      <c r="C72" s="559" t="s">
        <v>1789</v>
      </c>
      <c r="D72" s="547" t="s">
        <v>1790</v>
      </c>
      <c r="E72" s="549">
        <f t="shared" ref="E72:E79" si="23">SUM(L72,M72,N72,R72,S72,T72,X72,Y72,Z72,AD72,AE72,AF72)</f>
        <v>4</v>
      </c>
      <c r="F72" s="554" t="s">
        <v>168</v>
      </c>
      <c r="G72" s="547" t="s">
        <v>1791</v>
      </c>
      <c r="H72" s="547" t="s">
        <v>1792</v>
      </c>
      <c r="I72" s="548">
        <v>2.3649006388761426E-3</v>
      </c>
      <c r="J72" s="549"/>
      <c r="K72" s="549">
        <v>1</v>
      </c>
      <c r="L72" s="550"/>
      <c r="M72" s="550"/>
      <c r="N72" s="550">
        <v>1</v>
      </c>
      <c r="O72" s="550"/>
      <c r="P72" s="550"/>
      <c r="Q72" s="550">
        <v>420</v>
      </c>
      <c r="R72" s="550"/>
      <c r="S72" s="550"/>
      <c r="T72" s="550">
        <v>1</v>
      </c>
      <c r="U72" s="550"/>
      <c r="V72" s="550"/>
      <c r="W72" s="550">
        <v>420</v>
      </c>
      <c r="X72" s="550"/>
      <c r="Y72" s="550"/>
      <c r="Z72" s="550">
        <v>1</v>
      </c>
      <c r="AA72" s="550"/>
      <c r="AB72" s="550"/>
      <c r="AC72" s="550">
        <v>410</v>
      </c>
      <c r="AD72" s="550"/>
      <c r="AE72" s="550"/>
      <c r="AF72" s="550">
        <v>1</v>
      </c>
      <c r="AG72" s="550"/>
      <c r="AH72" s="550"/>
      <c r="AI72" s="550">
        <v>425</v>
      </c>
      <c r="AJ72" s="550">
        <f>SUM(O72,P72,Q72,U72,V72,W72,AA72,AB72,AC72,AG72,AH72,AI72)</f>
        <v>1675</v>
      </c>
      <c r="AK72" s="550">
        <f t="shared" ref="AK72:AK79" si="24">AJ72</f>
        <v>1675</v>
      </c>
      <c r="AL72" s="550"/>
      <c r="AM72" s="550"/>
      <c r="AN72" s="550"/>
      <c r="AO72" s="550"/>
      <c r="AP72" s="547" t="s">
        <v>1793</v>
      </c>
      <c r="AQ72" s="547" t="s">
        <v>1794</v>
      </c>
      <c r="AR72" s="547"/>
      <c r="AS72" s="715">
        <f t="shared" si="1"/>
        <v>0</v>
      </c>
      <c r="AT72" s="715">
        <f t="shared" si="2"/>
        <v>0</v>
      </c>
    </row>
    <row r="73" spans="1:46" ht="94.5">
      <c r="A73" s="559" t="s">
        <v>285</v>
      </c>
      <c r="B73" s="559" t="s">
        <v>2329</v>
      </c>
      <c r="C73" s="559" t="s">
        <v>1795</v>
      </c>
      <c r="D73" s="547" t="s">
        <v>1796</v>
      </c>
      <c r="E73" s="549">
        <f t="shared" si="23"/>
        <v>4</v>
      </c>
      <c r="F73" s="554" t="s">
        <v>168</v>
      </c>
      <c r="G73" s="547" t="s">
        <v>1797</v>
      </c>
      <c r="H73" s="547" t="s">
        <v>1798</v>
      </c>
      <c r="I73" s="548">
        <v>1.6589601496593837E-3</v>
      </c>
      <c r="J73" s="549"/>
      <c r="K73" s="549">
        <v>1</v>
      </c>
      <c r="L73" s="550"/>
      <c r="M73" s="550"/>
      <c r="N73" s="550">
        <v>1</v>
      </c>
      <c r="O73" s="550"/>
      <c r="P73" s="550"/>
      <c r="Q73" s="550">
        <v>250</v>
      </c>
      <c r="R73" s="550"/>
      <c r="S73" s="550"/>
      <c r="T73" s="550">
        <v>1</v>
      </c>
      <c r="U73" s="550"/>
      <c r="V73" s="550"/>
      <c r="W73" s="550">
        <v>250</v>
      </c>
      <c r="X73" s="550"/>
      <c r="Y73" s="550"/>
      <c r="Z73" s="550">
        <v>1</v>
      </c>
      <c r="AA73" s="550"/>
      <c r="AB73" s="550"/>
      <c r="AC73" s="550">
        <v>250</v>
      </c>
      <c r="AD73" s="550"/>
      <c r="AE73" s="550"/>
      <c r="AF73" s="550">
        <v>1</v>
      </c>
      <c r="AG73" s="550"/>
      <c r="AH73" s="550"/>
      <c r="AI73" s="550">
        <v>425</v>
      </c>
      <c r="AJ73" s="550">
        <f t="shared" ref="AJ73:AJ79" si="25">SUM(O73,P73,Q73,U73,V73,W73,AA73,AB73,AC73,AG73,AH73,AI73)</f>
        <v>1175</v>
      </c>
      <c r="AK73" s="550">
        <f t="shared" si="24"/>
        <v>1175</v>
      </c>
      <c r="AL73" s="550"/>
      <c r="AM73" s="550"/>
      <c r="AN73" s="550"/>
      <c r="AO73" s="550"/>
      <c r="AP73" s="547" t="s">
        <v>1793</v>
      </c>
      <c r="AQ73" s="547" t="s">
        <v>1794</v>
      </c>
      <c r="AR73" s="547"/>
      <c r="AS73" s="715">
        <f t="shared" si="1"/>
        <v>0</v>
      </c>
      <c r="AT73" s="715">
        <f t="shared" si="2"/>
        <v>0</v>
      </c>
    </row>
    <row r="74" spans="1:46" ht="110.25">
      <c r="A74" s="559" t="s">
        <v>285</v>
      </c>
      <c r="B74" s="559" t="s">
        <v>2329</v>
      </c>
      <c r="C74" s="559" t="s">
        <v>1799</v>
      </c>
      <c r="D74" s="547" t="s">
        <v>1800</v>
      </c>
      <c r="E74" s="549">
        <f t="shared" si="23"/>
        <v>4</v>
      </c>
      <c r="F74" s="554" t="s">
        <v>168</v>
      </c>
      <c r="G74" s="547" t="s">
        <v>1801</v>
      </c>
      <c r="H74" s="547" t="s">
        <v>1802</v>
      </c>
      <c r="I74" s="548">
        <v>0.2259009565493629</v>
      </c>
      <c r="J74" s="549"/>
      <c r="K74" s="549">
        <v>24</v>
      </c>
      <c r="L74" s="550"/>
      <c r="M74" s="550"/>
      <c r="N74" s="550">
        <v>1</v>
      </c>
      <c r="O74" s="550"/>
      <c r="P74" s="550"/>
      <c r="Q74" s="550">
        <v>40000</v>
      </c>
      <c r="R74" s="550"/>
      <c r="S74" s="550"/>
      <c r="T74" s="550">
        <v>1</v>
      </c>
      <c r="U74" s="550"/>
      <c r="V74" s="550"/>
      <c r="W74" s="550">
        <v>40000</v>
      </c>
      <c r="X74" s="550"/>
      <c r="Y74" s="550"/>
      <c r="Z74" s="550">
        <v>1</v>
      </c>
      <c r="AA74" s="550"/>
      <c r="AB74" s="550"/>
      <c r="AC74" s="550">
        <v>40000</v>
      </c>
      <c r="AD74" s="550"/>
      <c r="AE74" s="550"/>
      <c r="AF74" s="550">
        <v>1</v>
      </c>
      <c r="AG74" s="550"/>
      <c r="AH74" s="550"/>
      <c r="AI74" s="550">
        <v>40000</v>
      </c>
      <c r="AJ74" s="550">
        <f t="shared" si="25"/>
        <v>160000</v>
      </c>
      <c r="AK74" s="550">
        <f t="shared" si="24"/>
        <v>160000</v>
      </c>
      <c r="AL74" s="550"/>
      <c r="AM74" s="550"/>
      <c r="AN74" s="550"/>
      <c r="AO74" s="550"/>
      <c r="AP74" s="547" t="s">
        <v>1793</v>
      </c>
      <c r="AQ74" s="547" t="s">
        <v>1794</v>
      </c>
      <c r="AR74" s="547"/>
      <c r="AS74" s="715">
        <f t="shared" ref="AS74:AS80" si="26">AJ74-(O74+P74+Q74+U74+V74+W74+AA74+AB74+AC74+AG74+AH74+AI74)</f>
        <v>0</v>
      </c>
      <c r="AT74" s="715">
        <f t="shared" ref="AT74:AT80" si="27">AJ74-(AK74+AL74+AM74+AN74+AO74)</f>
        <v>0</v>
      </c>
    </row>
    <row r="75" spans="1:46" ht="63">
      <c r="A75" s="559" t="s">
        <v>285</v>
      </c>
      <c r="B75" s="559" t="s">
        <v>2329</v>
      </c>
      <c r="C75" s="559" t="s">
        <v>1803</v>
      </c>
      <c r="D75" s="547" t="s">
        <v>1804</v>
      </c>
      <c r="E75" s="549">
        <f t="shared" si="23"/>
        <v>2</v>
      </c>
      <c r="F75" s="554" t="s">
        <v>168</v>
      </c>
      <c r="G75" s="547" t="s">
        <v>1805</v>
      </c>
      <c r="H75" s="547" t="s">
        <v>1806</v>
      </c>
      <c r="I75" s="548">
        <v>0.14118809784335182</v>
      </c>
      <c r="J75" s="549"/>
      <c r="K75" s="549">
        <v>12</v>
      </c>
      <c r="L75" s="550"/>
      <c r="M75" s="550"/>
      <c r="N75" s="550">
        <v>1</v>
      </c>
      <c r="O75" s="550"/>
      <c r="P75" s="550"/>
      <c r="Q75" s="550">
        <v>50000</v>
      </c>
      <c r="R75" s="550"/>
      <c r="S75" s="550"/>
      <c r="T75" s="550"/>
      <c r="U75" s="550"/>
      <c r="V75" s="550"/>
      <c r="W75" s="550"/>
      <c r="X75" s="550"/>
      <c r="Y75" s="550"/>
      <c r="Z75" s="550">
        <v>1</v>
      </c>
      <c r="AA75" s="550"/>
      <c r="AB75" s="550"/>
      <c r="AC75" s="550">
        <v>50000</v>
      </c>
      <c r="AD75" s="550"/>
      <c r="AE75" s="550"/>
      <c r="AF75" s="550"/>
      <c r="AG75" s="550"/>
      <c r="AH75" s="550"/>
      <c r="AI75" s="550"/>
      <c r="AJ75" s="550">
        <f t="shared" si="25"/>
        <v>100000</v>
      </c>
      <c r="AK75" s="550">
        <f t="shared" si="24"/>
        <v>100000</v>
      </c>
      <c r="AL75" s="550"/>
      <c r="AM75" s="550"/>
      <c r="AN75" s="550"/>
      <c r="AO75" s="550"/>
      <c r="AP75" s="547" t="s">
        <v>1793</v>
      </c>
      <c r="AQ75" s="547" t="s">
        <v>1794</v>
      </c>
      <c r="AR75" s="547"/>
      <c r="AS75" s="715">
        <f t="shared" si="26"/>
        <v>0</v>
      </c>
      <c r="AT75" s="715">
        <f t="shared" si="27"/>
        <v>0</v>
      </c>
    </row>
    <row r="76" spans="1:46" ht="141.75">
      <c r="A76" s="559" t="s">
        <v>285</v>
      </c>
      <c r="B76" s="559" t="s">
        <v>2329</v>
      </c>
      <c r="C76" s="559" t="s">
        <v>1807</v>
      </c>
      <c r="D76" s="547" t="s">
        <v>1808</v>
      </c>
      <c r="E76" s="549">
        <f>SUM(L76,M76,N76,R76,S76,T76,X76,Y76,Z76,AD76,AE76,AF76)</f>
        <v>12</v>
      </c>
      <c r="F76" s="554" t="s">
        <v>1745</v>
      </c>
      <c r="G76" s="547" t="s">
        <v>1809</v>
      </c>
      <c r="H76" s="547" t="s">
        <v>1755</v>
      </c>
      <c r="I76" s="548">
        <v>0.32190886308284211</v>
      </c>
      <c r="J76" s="549"/>
      <c r="K76" s="549">
        <v>23</v>
      </c>
      <c r="L76" s="550">
        <v>1</v>
      </c>
      <c r="M76" s="550">
        <v>1</v>
      </c>
      <c r="N76" s="550">
        <v>1</v>
      </c>
      <c r="O76" s="550">
        <v>19000</v>
      </c>
      <c r="P76" s="550">
        <v>19000</v>
      </c>
      <c r="Q76" s="550">
        <v>19000</v>
      </c>
      <c r="R76" s="550">
        <v>1</v>
      </c>
      <c r="S76" s="550">
        <v>1</v>
      </c>
      <c r="T76" s="550">
        <v>1</v>
      </c>
      <c r="U76" s="550">
        <v>19000</v>
      </c>
      <c r="V76" s="550">
        <v>19000</v>
      </c>
      <c r="W76" s="550">
        <v>19000</v>
      </c>
      <c r="X76" s="550">
        <v>1</v>
      </c>
      <c r="Y76" s="550">
        <v>1</v>
      </c>
      <c r="Z76" s="550">
        <v>1</v>
      </c>
      <c r="AA76" s="550">
        <v>19000</v>
      </c>
      <c r="AB76" s="550">
        <v>19000</v>
      </c>
      <c r="AC76" s="550">
        <v>19000</v>
      </c>
      <c r="AD76" s="550">
        <v>1</v>
      </c>
      <c r="AE76" s="550">
        <v>1</v>
      </c>
      <c r="AF76" s="550">
        <v>1</v>
      </c>
      <c r="AG76" s="550">
        <v>19000</v>
      </c>
      <c r="AH76" s="550">
        <v>19000</v>
      </c>
      <c r="AI76" s="550">
        <v>19000</v>
      </c>
      <c r="AJ76" s="550">
        <f t="shared" si="25"/>
        <v>228000</v>
      </c>
      <c r="AK76" s="550">
        <f t="shared" si="24"/>
        <v>228000</v>
      </c>
      <c r="AL76" s="550"/>
      <c r="AM76" s="550"/>
      <c r="AN76" s="550"/>
      <c r="AO76" s="550"/>
      <c r="AP76" s="547" t="s">
        <v>1793</v>
      </c>
      <c r="AQ76" s="547" t="s">
        <v>1794</v>
      </c>
      <c r="AR76" s="547"/>
      <c r="AS76" s="715">
        <f t="shared" si="26"/>
        <v>0</v>
      </c>
      <c r="AT76" s="715">
        <f t="shared" si="27"/>
        <v>0</v>
      </c>
    </row>
    <row r="77" spans="1:46" ht="126">
      <c r="A77" s="559" t="s">
        <v>285</v>
      </c>
      <c r="B77" s="559" t="s">
        <v>2329</v>
      </c>
      <c r="C77" s="559" t="s">
        <v>1810</v>
      </c>
      <c r="D77" s="547" t="s">
        <v>1811</v>
      </c>
      <c r="E77" s="549">
        <f>SUM(L77,M77,N77,R77,S77,T77,X77,Y77,Z77,AD77,AE77,AF77)</f>
        <v>12</v>
      </c>
      <c r="F77" s="554" t="s">
        <v>1745</v>
      </c>
      <c r="G77" s="547" t="s">
        <v>1812</v>
      </c>
      <c r="H77" s="547" t="s">
        <v>1813</v>
      </c>
      <c r="I77" s="548">
        <v>1.1859800218841551E-2</v>
      </c>
      <c r="J77" s="549"/>
      <c r="K77" s="549">
        <v>1</v>
      </c>
      <c r="L77" s="550">
        <v>1</v>
      </c>
      <c r="M77" s="550">
        <v>1</v>
      </c>
      <c r="N77" s="550">
        <v>1</v>
      </c>
      <c r="O77" s="550">
        <v>700</v>
      </c>
      <c r="P77" s="550">
        <v>700</v>
      </c>
      <c r="Q77" s="550">
        <v>700</v>
      </c>
      <c r="R77" s="550">
        <v>1</v>
      </c>
      <c r="S77" s="550">
        <v>1</v>
      </c>
      <c r="T77" s="550">
        <v>1</v>
      </c>
      <c r="U77" s="550">
        <v>700</v>
      </c>
      <c r="V77" s="550">
        <v>700</v>
      </c>
      <c r="W77" s="550">
        <v>700</v>
      </c>
      <c r="X77" s="550">
        <v>1</v>
      </c>
      <c r="Y77" s="550">
        <v>1</v>
      </c>
      <c r="Z77" s="550">
        <v>1</v>
      </c>
      <c r="AA77" s="550">
        <v>700</v>
      </c>
      <c r="AB77" s="550">
        <v>700</v>
      </c>
      <c r="AC77" s="550">
        <v>700</v>
      </c>
      <c r="AD77" s="550">
        <v>1</v>
      </c>
      <c r="AE77" s="550">
        <v>1</v>
      </c>
      <c r="AF77" s="550">
        <v>1</v>
      </c>
      <c r="AG77" s="550">
        <v>700</v>
      </c>
      <c r="AH77" s="550">
        <v>700</v>
      </c>
      <c r="AI77" s="550">
        <v>700</v>
      </c>
      <c r="AJ77" s="550">
        <f t="shared" si="25"/>
        <v>8400</v>
      </c>
      <c r="AK77" s="550">
        <f t="shared" si="24"/>
        <v>8400</v>
      </c>
      <c r="AL77" s="550"/>
      <c r="AM77" s="550"/>
      <c r="AN77" s="550"/>
      <c r="AO77" s="550"/>
      <c r="AP77" s="547" t="s">
        <v>1793</v>
      </c>
      <c r="AQ77" s="547" t="s">
        <v>1794</v>
      </c>
      <c r="AR77" s="547"/>
      <c r="AS77" s="715">
        <f t="shared" si="26"/>
        <v>0</v>
      </c>
      <c r="AT77" s="715">
        <f t="shared" si="27"/>
        <v>0</v>
      </c>
    </row>
    <row r="78" spans="1:46" ht="141.75">
      <c r="A78" s="559" t="s">
        <v>285</v>
      </c>
      <c r="B78" s="559" t="s">
        <v>2329</v>
      </c>
      <c r="C78" s="559" t="s">
        <v>1814</v>
      </c>
      <c r="D78" s="547" t="s">
        <v>1815</v>
      </c>
      <c r="E78" s="549">
        <f t="shared" si="23"/>
        <v>12</v>
      </c>
      <c r="F78" s="554" t="s">
        <v>168</v>
      </c>
      <c r="G78" s="547" t="s">
        <v>1816</v>
      </c>
      <c r="H78" s="547" t="s">
        <v>1817</v>
      </c>
      <c r="I78" s="548">
        <v>0.2400550633581589</v>
      </c>
      <c r="J78" s="549"/>
      <c r="K78" s="549">
        <v>31</v>
      </c>
      <c r="L78" s="550">
        <v>1</v>
      </c>
      <c r="M78" s="550">
        <v>1</v>
      </c>
      <c r="N78" s="550">
        <v>1</v>
      </c>
      <c r="O78" s="550">
        <v>12000</v>
      </c>
      <c r="P78" s="550">
        <v>12000</v>
      </c>
      <c r="Q78" s="550">
        <v>12000</v>
      </c>
      <c r="R78" s="550">
        <v>1</v>
      </c>
      <c r="S78" s="550">
        <v>1</v>
      </c>
      <c r="T78" s="550">
        <v>1</v>
      </c>
      <c r="U78" s="550">
        <f>15000-975</f>
        <v>14025</v>
      </c>
      <c r="V78" s="550">
        <v>15000</v>
      </c>
      <c r="W78" s="550">
        <v>15000</v>
      </c>
      <c r="X78" s="550">
        <v>1</v>
      </c>
      <c r="Y78" s="550">
        <v>1</v>
      </c>
      <c r="Z78" s="550">
        <v>1</v>
      </c>
      <c r="AA78" s="550">
        <v>15000</v>
      </c>
      <c r="AB78" s="550">
        <v>15000</v>
      </c>
      <c r="AC78" s="550">
        <v>15000</v>
      </c>
      <c r="AD78" s="550">
        <v>1</v>
      </c>
      <c r="AE78" s="550">
        <v>1</v>
      </c>
      <c r="AF78" s="550">
        <v>1</v>
      </c>
      <c r="AG78" s="550">
        <v>15000</v>
      </c>
      <c r="AH78" s="550">
        <v>15000</v>
      </c>
      <c r="AI78" s="550">
        <v>15000</v>
      </c>
      <c r="AJ78" s="550">
        <f t="shared" si="25"/>
        <v>170025</v>
      </c>
      <c r="AK78" s="550">
        <f t="shared" si="24"/>
        <v>170025</v>
      </c>
      <c r="AL78" s="550"/>
      <c r="AM78" s="550"/>
      <c r="AN78" s="550"/>
      <c r="AO78" s="550"/>
      <c r="AP78" s="547" t="s">
        <v>1793</v>
      </c>
      <c r="AQ78" s="547" t="s">
        <v>1794</v>
      </c>
      <c r="AR78" s="547"/>
      <c r="AS78" s="715">
        <f t="shared" si="26"/>
        <v>0</v>
      </c>
      <c r="AT78" s="715">
        <f t="shared" si="27"/>
        <v>0</v>
      </c>
    </row>
    <row r="79" spans="1:46" ht="141.75">
      <c r="A79" s="559" t="s">
        <v>285</v>
      </c>
      <c r="B79" s="559" t="s">
        <v>2329</v>
      </c>
      <c r="C79" s="559" t="s">
        <v>1818</v>
      </c>
      <c r="D79" s="547" t="s">
        <v>1819</v>
      </c>
      <c r="E79" s="549">
        <f t="shared" si="23"/>
        <v>12</v>
      </c>
      <c r="F79" s="554" t="s">
        <v>168</v>
      </c>
      <c r="G79" s="547" t="s">
        <v>1820</v>
      </c>
      <c r="H79" s="547" t="s">
        <v>1821</v>
      </c>
      <c r="I79" s="548">
        <v>5.5063358158907207E-2</v>
      </c>
      <c r="J79" s="549"/>
      <c r="K79" s="549">
        <v>7</v>
      </c>
      <c r="L79" s="550">
        <v>1</v>
      </c>
      <c r="M79" s="550">
        <v>1</v>
      </c>
      <c r="N79" s="550">
        <v>1</v>
      </c>
      <c r="O79" s="550">
        <v>500</v>
      </c>
      <c r="P79" s="550">
        <v>3500</v>
      </c>
      <c r="Q79" s="550">
        <v>3500</v>
      </c>
      <c r="R79" s="550">
        <v>1</v>
      </c>
      <c r="S79" s="550">
        <v>1</v>
      </c>
      <c r="T79" s="550">
        <v>1</v>
      </c>
      <c r="U79" s="550">
        <v>3500</v>
      </c>
      <c r="V79" s="550">
        <v>3500</v>
      </c>
      <c r="W79" s="550">
        <v>3500</v>
      </c>
      <c r="X79" s="550">
        <v>1</v>
      </c>
      <c r="Y79" s="550">
        <v>1</v>
      </c>
      <c r="Z79" s="550">
        <v>1</v>
      </c>
      <c r="AA79" s="550">
        <v>3500</v>
      </c>
      <c r="AB79" s="550">
        <v>3500</v>
      </c>
      <c r="AC79" s="550">
        <v>3500</v>
      </c>
      <c r="AD79" s="550">
        <v>1</v>
      </c>
      <c r="AE79" s="550">
        <v>1</v>
      </c>
      <c r="AF79" s="550">
        <v>1</v>
      </c>
      <c r="AG79" s="550">
        <v>3500</v>
      </c>
      <c r="AH79" s="550">
        <v>3500</v>
      </c>
      <c r="AI79" s="550">
        <v>3500</v>
      </c>
      <c r="AJ79" s="550">
        <f t="shared" si="25"/>
        <v>39000</v>
      </c>
      <c r="AK79" s="550">
        <f t="shared" si="24"/>
        <v>39000</v>
      </c>
      <c r="AL79" s="550"/>
      <c r="AM79" s="550"/>
      <c r="AN79" s="550"/>
      <c r="AO79" s="550"/>
      <c r="AP79" s="547" t="s">
        <v>1793</v>
      </c>
      <c r="AQ79" s="547" t="s">
        <v>1794</v>
      </c>
      <c r="AR79" s="547"/>
      <c r="AS79" s="715">
        <f t="shared" si="26"/>
        <v>0</v>
      </c>
      <c r="AT79" s="715">
        <f t="shared" si="27"/>
        <v>0</v>
      </c>
    </row>
    <row r="80" spans="1:46">
      <c r="A80" s="569"/>
      <c r="B80" s="569"/>
      <c r="C80" s="569"/>
      <c r="D80" s="570" t="s">
        <v>156</v>
      </c>
      <c r="E80" s="571"/>
      <c r="F80" s="570"/>
      <c r="G80" s="572"/>
      <c r="H80" s="572"/>
      <c r="I80" s="571"/>
      <c r="J80" s="571">
        <f>+J10+J13+J15+J20+J25+J32+J34+J37+J48+J55+J71</f>
        <v>101</v>
      </c>
      <c r="K80" s="571"/>
      <c r="L80" s="573"/>
      <c r="M80" s="573"/>
      <c r="N80" s="573"/>
      <c r="O80" s="573">
        <f>+O10+O13+O15+O20+O25+O32+O34+O37+O48+O55+O71</f>
        <v>200620</v>
      </c>
      <c r="P80" s="573">
        <f>+P10+P13+P15+P20+P25+P32+P34+P37+P48+P55+P71</f>
        <v>458089.38</v>
      </c>
      <c r="Q80" s="573">
        <f>+Q10+Q13+Q15+Q20+Q25+Q32+Q34+Q37+Q48+Q55+Q71</f>
        <v>707529.38</v>
      </c>
      <c r="R80" s="573"/>
      <c r="S80" s="573"/>
      <c r="T80" s="573"/>
      <c r="U80" s="573">
        <f>+U10+U13+U15+U20+U25+U32+U34+U37+U48+U55+U71</f>
        <v>219419.38</v>
      </c>
      <c r="V80" s="573">
        <f>+V10+V13+V15+V20+V25+V32+V34+V37+V48+V55+V71</f>
        <v>215194.38</v>
      </c>
      <c r="W80" s="573">
        <f>+W10+W13+W15+W20+W25+W32+W34+W37+W48+W55+W71</f>
        <v>588727.5</v>
      </c>
      <c r="X80" s="573"/>
      <c r="Y80" s="573"/>
      <c r="Z80" s="573"/>
      <c r="AA80" s="573">
        <f>+AA10+AA13+AA15+AA20+AA25+AA32+AA34+AA37+AA48+AA55+AA71</f>
        <v>205259.38</v>
      </c>
      <c r="AB80" s="573">
        <f>+AB10+AB13+AB15+AB20+AB25+AB32+AB34+AB37+AB48+AB55+AB71</f>
        <v>213489.38</v>
      </c>
      <c r="AC80" s="573">
        <f>+AC10+AC13+AC15+AC20+AC25+AC32+AC34+AC37+AC48+AC55+AC71</f>
        <v>533647.5</v>
      </c>
      <c r="AD80" s="573"/>
      <c r="AE80" s="573"/>
      <c r="AF80" s="573"/>
      <c r="AG80" s="573">
        <f>+AG10+AG13+AG15+AG20+AG25+AG32+AG34+AG37+AG48+AG55+AG71</f>
        <v>207794.38</v>
      </c>
      <c r="AH80" s="573">
        <f>+AH10+AH13+AH15+AH20+AH25+AH32+AH34+AH37+AH48+AH55+AH71</f>
        <v>259559.38</v>
      </c>
      <c r="AI80" s="573">
        <f>+AI10+AI13+AI15+AI20+AI25+AI32+AI34+AI37+AI48+AI55+AI71</f>
        <v>743955</v>
      </c>
      <c r="AJ80" s="573">
        <f>+AJ10+AJ13+AJ15+AJ20+AJ25+AJ32+AJ34+AJ37+AJ48+AJ55+AJ71</f>
        <v>4553285.04</v>
      </c>
      <c r="AK80" s="573">
        <f>+AK10+AK13+AK15+AK20+AK25+AK32+AK34+AK37+AK48+AK55+AK71</f>
        <v>4553285.04</v>
      </c>
      <c r="AL80" s="573"/>
      <c r="AM80" s="573"/>
      <c r="AN80" s="573"/>
      <c r="AO80" s="573"/>
      <c r="AP80" s="572"/>
      <c r="AQ80" s="572"/>
      <c r="AR80" s="572"/>
      <c r="AS80" s="715">
        <f t="shared" si="26"/>
        <v>0</v>
      </c>
      <c r="AT80" s="715">
        <f t="shared" si="27"/>
        <v>0</v>
      </c>
    </row>
  </sheetData>
  <mergeCells count="69">
    <mergeCell ref="A1:AR1"/>
    <mergeCell ref="A2:AR2"/>
    <mergeCell ref="A6:C6"/>
    <mergeCell ref="D6:D9"/>
    <mergeCell ref="E6:E9"/>
    <mergeCell ref="F6:F9"/>
    <mergeCell ref="G6:G9"/>
    <mergeCell ref="H6:H9"/>
    <mergeCell ref="I6:I9"/>
    <mergeCell ref="J6:J9"/>
    <mergeCell ref="AP6:AP9"/>
    <mergeCell ref="AQ6:AQ9"/>
    <mergeCell ref="AR6:AR9"/>
    <mergeCell ref="AD7:AI7"/>
    <mergeCell ref="AJ7:AJ9"/>
    <mergeCell ref="AK7:AK9"/>
    <mergeCell ref="AL7:AL9"/>
    <mergeCell ref="AN7:AN9"/>
    <mergeCell ref="AO7:AO9"/>
    <mergeCell ref="L8:N8"/>
    <mergeCell ref="O8:Q8"/>
    <mergeCell ref="R8:T8"/>
    <mergeCell ref="U8:W8"/>
    <mergeCell ref="X8:Z8"/>
    <mergeCell ref="AA8:AC8"/>
    <mergeCell ref="AD8:AF8"/>
    <mergeCell ref="L7:Q7"/>
    <mergeCell ref="R7:W7"/>
    <mergeCell ref="X7:AC7"/>
    <mergeCell ref="A18:A19"/>
    <mergeCell ref="B18:B19"/>
    <mergeCell ref="C18:C19"/>
    <mergeCell ref="D18:D19"/>
    <mergeCell ref="AM7:AM9"/>
    <mergeCell ref="A7:A9"/>
    <mergeCell ref="B7:B9"/>
    <mergeCell ref="C7:C9"/>
    <mergeCell ref="K6:K9"/>
    <mergeCell ref="L6:AJ6"/>
    <mergeCell ref="AK6:AO6"/>
    <mergeCell ref="AG8:AI8"/>
    <mergeCell ref="A16:A17"/>
    <mergeCell ref="B16:B17"/>
    <mergeCell ref="C16:C17"/>
    <mergeCell ref="D16:D17"/>
    <mergeCell ref="A26:A28"/>
    <mergeCell ref="B26:B28"/>
    <mergeCell ref="C26:C28"/>
    <mergeCell ref="D26:D28"/>
    <mergeCell ref="A29:A31"/>
    <mergeCell ref="B29:B31"/>
    <mergeCell ref="C29:C31"/>
    <mergeCell ref="D29:D31"/>
    <mergeCell ref="J51:J52"/>
    <mergeCell ref="K51:K52"/>
    <mergeCell ref="A53:A54"/>
    <mergeCell ref="B53:B54"/>
    <mergeCell ref="C53:C54"/>
    <mergeCell ref="D53:D54"/>
    <mergeCell ref="G53:G54"/>
    <mergeCell ref="H53:H54"/>
    <mergeCell ref="J53:J54"/>
    <mergeCell ref="K53:K54"/>
    <mergeCell ref="A51:A52"/>
    <mergeCell ref="B51:B52"/>
    <mergeCell ref="C51:C52"/>
    <mergeCell ref="D51:D52"/>
    <mergeCell ref="G51:G52"/>
    <mergeCell ref="H51:H52"/>
  </mergeCells>
  <printOptions horizontalCentered="1"/>
  <pageMargins left="0.98425196850393704" right="0.78740157480314965" top="0.98425196850393704" bottom="0.78740157480314965" header="0.31496062992125984" footer="0.31496062992125984"/>
  <pageSetup paperSize="5" scale="39" orientation="landscape" r:id="rId1"/>
  <headerFooter>
    <oddFooter>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</sheetPr>
  <dimension ref="A1:BT26"/>
  <sheetViews>
    <sheetView showGridLines="0" view="pageBreakPreview" topLeftCell="X1" zoomScaleNormal="100" zoomScaleSheetLayoutView="100" workbookViewId="0">
      <selection activeCell="D6" sqref="D6:D9"/>
    </sheetView>
  </sheetViews>
  <sheetFormatPr baseColWidth="10" defaultRowHeight="15.75"/>
  <cols>
    <col min="1" max="1" width="5" style="433" bestFit="1" customWidth="1"/>
    <col min="2" max="2" width="10.5703125" style="433" bestFit="1" customWidth="1"/>
    <col min="3" max="3" width="18.5703125" style="433" bestFit="1" customWidth="1"/>
    <col min="4" max="4" width="39.85546875" style="433" customWidth="1"/>
    <col min="5" max="5" width="6.140625" style="433" customWidth="1"/>
    <col min="6" max="6" width="11.42578125" style="433" bestFit="1" customWidth="1"/>
    <col min="7" max="7" width="22" style="433" customWidth="1"/>
    <col min="8" max="8" width="23.7109375" style="433" customWidth="1"/>
    <col min="9" max="9" width="11.7109375" style="433" bestFit="1" customWidth="1"/>
    <col min="10" max="10" width="13" style="433" customWidth="1"/>
    <col min="11" max="11" width="13.140625" style="433" customWidth="1"/>
    <col min="12" max="14" width="3.28515625" style="433" bestFit="1" customWidth="1"/>
    <col min="15" max="17" width="6.140625" style="470" bestFit="1" customWidth="1"/>
    <col min="18" max="20" width="3.28515625" style="470" bestFit="1" customWidth="1"/>
    <col min="21" max="22" width="6.140625" style="470" bestFit="1" customWidth="1"/>
    <col min="23" max="23" width="6.140625" style="433" bestFit="1" customWidth="1"/>
    <col min="24" max="26" width="3.28515625" style="433" bestFit="1" customWidth="1"/>
    <col min="27" max="29" width="6.140625" style="433" bestFit="1" customWidth="1"/>
    <col min="30" max="31" width="3.28515625" style="433" bestFit="1" customWidth="1"/>
    <col min="32" max="32" width="2.42578125" style="433" bestFit="1" customWidth="1"/>
    <col min="33" max="35" width="6.140625" style="433" bestFit="1" customWidth="1"/>
    <col min="36" max="36" width="7.140625" style="433" customWidth="1"/>
    <col min="37" max="37" width="9" style="621" customWidth="1"/>
    <col min="38" max="38" width="8" style="433" customWidth="1"/>
    <col min="39" max="39" width="6" style="433" customWidth="1"/>
    <col min="40" max="40" width="8" style="433" customWidth="1"/>
    <col min="41" max="41" width="6.140625" style="433" bestFit="1" customWidth="1"/>
    <col min="42" max="42" width="14.85546875" style="578" bestFit="1" customWidth="1"/>
    <col min="43" max="43" width="15.85546875" style="433" bestFit="1" customWidth="1"/>
    <col min="44" max="44" width="36.140625" style="433" bestFit="1" customWidth="1"/>
    <col min="45" max="256" width="11.42578125" style="433"/>
    <col min="257" max="257" width="5" style="433" bestFit="1" customWidth="1"/>
    <col min="258" max="258" width="15.5703125" style="433" customWidth="1"/>
    <col min="259" max="259" width="20.85546875" style="433" customWidth="1"/>
    <col min="260" max="260" width="57.85546875" style="433" bestFit="1" customWidth="1"/>
    <col min="261" max="261" width="9.28515625" style="433" bestFit="1" customWidth="1"/>
    <col min="262" max="262" width="11.42578125" style="433" bestFit="1" customWidth="1"/>
    <col min="263" max="263" width="29.85546875" style="433" bestFit="1" customWidth="1"/>
    <col min="264" max="264" width="23.7109375" style="433" customWidth="1"/>
    <col min="265" max="265" width="11.7109375" style="433" bestFit="1" customWidth="1"/>
    <col min="266" max="266" width="20.28515625" style="433" bestFit="1" customWidth="1"/>
    <col min="267" max="267" width="18.85546875" style="433" bestFit="1" customWidth="1"/>
    <col min="268" max="270" width="6.140625" style="433" bestFit="1" customWidth="1"/>
    <col min="271" max="273" width="11.42578125" style="433" bestFit="1" customWidth="1"/>
    <col min="274" max="276" width="6.140625" style="433" bestFit="1" customWidth="1"/>
    <col min="277" max="279" width="11.42578125" style="433" bestFit="1" customWidth="1"/>
    <col min="280" max="282" width="6.140625" style="433" bestFit="1" customWidth="1"/>
    <col min="283" max="285" width="11.42578125" style="433" bestFit="1" customWidth="1"/>
    <col min="286" max="287" width="6.140625" style="433" bestFit="1" customWidth="1"/>
    <col min="288" max="288" width="5" style="433" bestFit="1" customWidth="1"/>
    <col min="289" max="291" width="11.42578125" style="433" bestFit="1" customWidth="1"/>
    <col min="292" max="293" width="12.5703125" style="433" bestFit="1" customWidth="1"/>
    <col min="294" max="297" width="10.7109375" style="433" customWidth="1"/>
    <col min="298" max="298" width="14.85546875" style="433" bestFit="1" customWidth="1"/>
    <col min="299" max="299" width="15.85546875" style="433" bestFit="1" customWidth="1"/>
    <col min="300" max="300" width="36.140625" style="433" bestFit="1" customWidth="1"/>
    <col min="301" max="512" width="11.42578125" style="433"/>
    <col min="513" max="513" width="5" style="433" bestFit="1" customWidth="1"/>
    <col min="514" max="514" width="15.5703125" style="433" customWidth="1"/>
    <col min="515" max="515" width="20.85546875" style="433" customWidth="1"/>
    <col min="516" max="516" width="57.85546875" style="433" bestFit="1" customWidth="1"/>
    <col min="517" max="517" width="9.28515625" style="433" bestFit="1" customWidth="1"/>
    <col min="518" max="518" width="11.42578125" style="433" bestFit="1" customWidth="1"/>
    <col min="519" max="519" width="29.85546875" style="433" bestFit="1" customWidth="1"/>
    <col min="520" max="520" width="23.7109375" style="433" customWidth="1"/>
    <col min="521" max="521" width="11.7109375" style="433" bestFit="1" customWidth="1"/>
    <col min="522" max="522" width="20.28515625" style="433" bestFit="1" customWidth="1"/>
    <col min="523" max="523" width="18.85546875" style="433" bestFit="1" customWidth="1"/>
    <col min="524" max="526" width="6.140625" style="433" bestFit="1" customWidth="1"/>
    <col min="527" max="529" width="11.42578125" style="433" bestFit="1" customWidth="1"/>
    <col min="530" max="532" width="6.140625" style="433" bestFit="1" customWidth="1"/>
    <col min="533" max="535" width="11.42578125" style="433" bestFit="1" customWidth="1"/>
    <col min="536" max="538" width="6.140625" style="433" bestFit="1" customWidth="1"/>
    <col min="539" max="541" width="11.42578125" style="433" bestFit="1" customWidth="1"/>
    <col min="542" max="543" width="6.140625" style="433" bestFit="1" customWidth="1"/>
    <col min="544" max="544" width="5" style="433" bestFit="1" customWidth="1"/>
    <col min="545" max="547" width="11.42578125" style="433" bestFit="1" customWidth="1"/>
    <col min="548" max="549" width="12.5703125" style="433" bestFit="1" customWidth="1"/>
    <col min="550" max="553" width="10.7109375" style="433" customWidth="1"/>
    <col min="554" max="554" width="14.85546875" style="433" bestFit="1" customWidth="1"/>
    <col min="555" max="555" width="15.85546875" style="433" bestFit="1" customWidth="1"/>
    <col min="556" max="556" width="36.140625" style="433" bestFit="1" customWidth="1"/>
    <col min="557" max="768" width="11.42578125" style="433"/>
    <col min="769" max="769" width="5" style="433" bestFit="1" customWidth="1"/>
    <col min="770" max="770" width="15.5703125" style="433" customWidth="1"/>
    <col min="771" max="771" width="20.85546875" style="433" customWidth="1"/>
    <col min="772" max="772" width="57.85546875" style="433" bestFit="1" customWidth="1"/>
    <col min="773" max="773" width="9.28515625" style="433" bestFit="1" customWidth="1"/>
    <col min="774" max="774" width="11.42578125" style="433" bestFit="1" customWidth="1"/>
    <col min="775" max="775" width="29.85546875" style="433" bestFit="1" customWidth="1"/>
    <col min="776" max="776" width="23.7109375" style="433" customWidth="1"/>
    <col min="777" max="777" width="11.7109375" style="433" bestFit="1" customWidth="1"/>
    <col min="778" max="778" width="20.28515625" style="433" bestFit="1" customWidth="1"/>
    <col min="779" max="779" width="18.85546875" style="433" bestFit="1" customWidth="1"/>
    <col min="780" max="782" width="6.140625" style="433" bestFit="1" customWidth="1"/>
    <col min="783" max="785" width="11.42578125" style="433" bestFit="1" customWidth="1"/>
    <col min="786" max="788" width="6.140625" style="433" bestFit="1" customWidth="1"/>
    <col min="789" max="791" width="11.42578125" style="433" bestFit="1" customWidth="1"/>
    <col min="792" max="794" width="6.140625" style="433" bestFit="1" customWidth="1"/>
    <col min="795" max="797" width="11.42578125" style="433" bestFit="1" customWidth="1"/>
    <col min="798" max="799" width="6.140625" style="433" bestFit="1" customWidth="1"/>
    <col min="800" max="800" width="5" style="433" bestFit="1" customWidth="1"/>
    <col min="801" max="803" width="11.42578125" style="433" bestFit="1" customWidth="1"/>
    <col min="804" max="805" width="12.5703125" style="433" bestFit="1" customWidth="1"/>
    <col min="806" max="809" width="10.7109375" style="433" customWidth="1"/>
    <col min="810" max="810" width="14.85546875" style="433" bestFit="1" customWidth="1"/>
    <col min="811" max="811" width="15.85546875" style="433" bestFit="1" customWidth="1"/>
    <col min="812" max="812" width="36.140625" style="433" bestFit="1" customWidth="1"/>
    <col min="813" max="1024" width="11.42578125" style="433"/>
    <col min="1025" max="1025" width="5" style="433" bestFit="1" customWidth="1"/>
    <col min="1026" max="1026" width="15.5703125" style="433" customWidth="1"/>
    <col min="1027" max="1027" width="20.85546875" style="433" customWidth="1"/>
    <col min="1028" max="1028" width="57.85546875" style="433" bestFit="1" customWidth="1"/>
    <col min="1029" max="1029" width="9.28515625" style="433" bestFit="1" customWidth="1"/>
    <col min="1030" max="1030" width="11.42578125" style="433" bestFit="1" customWidth="1"/>
    <col min="1031" max="1031" width="29.85546875" style="433" bestFit="1" customWidth="1"/>
    <col min="1032" max="1032" width="23.7109375" style="433" customWidth="1"/>
    <col min="1033" max="1033" width="11.7109375" style="433" bestFit="1" customWidth="1"/>
    <col min="1034" max="1034" width="20.28515625" style="433" bestFit="1" customWidth="1"/>
    <col min="1035" max="1035" width="18.85546875" style="433" bestFit="1" customWidth="1"/>
    <col min="1036" max="1038" width="6.140625" style="433" bestFit="1" customWidth="1"/>
    <col min="1039" max="1041" width="11.42578125" style="433" bestFit="1" customWidth="1"/>
    <col min="1042" max="1044" width="6.140625" style="433" bestFit="1" customWidth="1"/>
    <col min="1045" max="1047" width="11.42578125" style="433" bestFit="1" customWidth="1"/>
    <col min="1048" max="1050" width="6.140625" style="433" bestFit="1" customWidth="1"/>
    <col min="1051" max="1053" width="11.42578125" style="433" bestFit="1" customWidth="1"/>
    <col min="1054" max="1055" width="6.140625" style="433" bestFit="1" customWidth="1"/>
    <col min="1056" max="1056" width="5" style="433" bestFit="1" customWidth="1"/>
    <col min="1057" max="1059" width="11.42578125" style="433" bestFit="1" customWidth="1"/>
    <col min="1060" max="1061" width="12.5703125" style="433" bestFit="1" customWidth="1"/>
    <col min="1062" max="1065" width="10.7109375" style="433" customWidth="1"/>
    <col min="1066" max="1066" width="14.85546875" style="433" bestFit="1" customWidth="1"/>
    <col min="1067" max="1067" width="15.85546875" style="433" bestFit="1" customWidth="1"/>
    <col min="1068" max="1068" width="36.140625" style="433" bestFit="1" customWidth="1"/>
    <col min="1069" max="1280" width="11.42578125" style="433"/>
    <col min="1281" max="1281" width="5" style="433" bestFit="1" customWidth="1"/>
    <col min="1282" max="1282" width="15.5703125" style="433" customWidth="1"/>
    <col min="1283" max="1283" width="20.85546875" style="433" customWidth="1"/>
    <col min="1284" max="1284" width="57.85546875" style="433" bestFit="1" customWidth="1"/>
    <col min="1285" max="1285" width="9.28515625" style="433" bestFit="1" customWidth="1"/>
    <col min="1286" max="1286" width="11.42578125" style="433" bestFit="1" customWidth="1"/>
    <col min="1287" max="1287" width="29.85546875" style="433" bestFit="1" customWidth="1"/>
    <col min="1288" max="1288" width="23.7109375" style="433" customWidth="1"/>
    <col min="1289" max="1289" width="11.7109375" style="433" bestFit="1" customWidth="1"/>
    <col min="1290" max="1290" width="20.28515625" style="433" bestFit="1" customWidth="1"/>
    <col min="1291" max="1291" width="18.85546875" style="433" bestFit="1" customWidth="1"/>
    <col min="1292" max="1294" width="6.140625" style="433" bestFit="1" customWidth="1"/>
    <col min="1295" max="1297" width="11.42578125" style="433" bestFit="1" customWidth="1"/>
    <col min="1298" max="1300" width="6.140625" style="433" bestFit="1" customWidth="1"/>
    <col min="1301" max="1303" width="11.42578125" style="433" bestFit="1" customWidth="1"/>
    <col min="1304" max="1306" width="6.140625" style="433" bestFit="1" customWidth="1"/>
    <col min="1307" max="1309" width="11.42578125" style="433" bestFit="1" customWidth="1"/>
    <col min="1310" max="1311" width="6.140625" style="433" bestFit="1" customWidth="1"/>
    <col min="1312" max="1312" width="5" style="433" bestFit="1" customWidth="1"/>
    <col min="1313" max="1315" width="11.42578125" style="433" bestFit="1" customWidth="1"/>
    <col min="1316" max="1317" width="12.5703125" style="433" bestFit="1" customWidth="1"/>
    <col min="1318" max="1321" width="10.7109375" style="433" customWidth="1"/>
    <col min="1322" max="1322" width="14.85546875" style="433" bestFit="1" customWidth="1"/>
    <col min="1323" max="1323" width="15.85546875" style="433" bestFit="1" customWidth="1"/>
    <col min="1324" max="1324" width="36.140625" style="433" bestFit="1" customWidth="1"/>
    <col min="1325" max="1536" width="11.42578125" style="433"/>
    <col min="1537" max="1537" width="5" style="433" bestFit="1" customWidth="1"/>
    <col min="1538" max="1538" width="15.5703125" style="433" customWidth="1"/>
    <col min="1539" max="1539" width="20.85546875" style="433" customWidth="1"/>
    <col min="1540" max="1540" width="57.85546875" style="433" bestFit="1" customWidth="1"/>
    <col min="1541" max="1541" width="9.28515625" style="433" bestFit="1" customWidth="1"/>
    <col min="1542" max="1542" width="11.42578125" style="433" bestFit="1" customWidth="1"/>
    <col min="1543" max="1543" width="29.85546875" style="433" bestFit="1" customWidth="1"/>
    <col min="1544" max="1544" width="23.7109375" style="433" customWidth="1"/>
    <col min="1545" max="1545" width="11.7109375" style="433" bestFit="1" customWidth="1"/>
    <col min="1546" max="1546" width="20.28515625" style="433" bestFit="1" customWidth="1"/>
    <col min="1547" max="1547" width="18.85546875" style="433" bestFit="1" customWidth="1"/>
    <col min="1548" max="1550" width="6.140625" style="433" bestFit="1" customWidth="1"/>
    <col min="1551" max="1553" width="11.42578125" style="433" bestFit="1" customWidth="1"/>
    <col min="1554" max="1556" width="6.140625" style="433" bestFit="1" customWidth="1"/>
    <col min="1557" max="1559" width="11.42578125" style="433" bestFit="1" customWidth="1"/>
    <col min="1560" max="1562" width="6.140625" style="433" bestFit="1" customWidth="1"/>
    <col min="1563" max="1565" width="11.42578125" style="433" bestFit="1" customWidth="1"/>
    <col min="1566" max="1567" width="6.140625" style="433" bestFit="1" customWidth="1"/>
    <col min="1568" max="1568" width="5" style="433" bestFit="1" customWidth="1"/>
    <col min="1569" max="1571" width="11.42578125" style="433" bestFit="1" customWidth="1"/>
    <col min="1572" max="1573" width="12.5703125" style="433" bestFit="1" customWidth="1"/>
    <col min="1574" max="1577" width="10.7109375" style="433" customWidth="1"/>
    <col min="1578" max="1578" width="14.85546875" style="433" bestFit="1" customWidth="1"/>
    <col min="1579" max="1579" width="15.85546875" style="433" bestFit="1" customWidth="1"/>
    <col min="1580" max="1580" width="36.140625" style="433" bestFit="1" customWidth="1"/>
    <col min="1581" max="1792" width="11.42578125" style="433"/>
    <col min="1793" max="1793" width="5" style="433" bestFit="1" customWidth="1"/>
    <col min="1794" max="1794" width="15.5703125" style="433" customWidth="1"/>
    <col min="1795" max="1795" width="20.85546875" style="433" customWidth="1"/>
    <col min="1796" max="1796" width="57.85546875" style="433" bestFit="1" customWidth="1"/>
    <col min="1797" max="1797" width="9.28515625" style="433" bestFit="1" customWidth="1"/>
    <col min="1798" max="1798" width="11.42578125" style="433" bestFit="1" customWidth="1"/>
    <col min="1799" max="1799" width="29.85546875" style="433" bestFit="1" customWidth="1"/>
    <col min="1800" max="1800" width="23.7109375" style="433" customWidth="1"/>
    <col min="1801" max="1801" width="11.7109375" style="433" bestFit="1" customWidth="1"/>
    <col min="1802" max="1802" width="20.28515625" style="433" bestFit="1" customWidth="1"/>
    <col min="1803" max="1803" width="18.85546875" style="433" bestFit="1" customWidth="1"/>
    <col min="1804" max="1806" width="6.140625" style="433" bestFit="1" customWidth="1"/>
    <col min="1807" max="1809" width="11.42578125" style="433" bestFit="1" customWidth="1"/>
    <col min="1810" max="1812" width="6.140625" style="433" bestFit="1" customWidth="1"/>
    <col min="1813" max="1815" width="11.42578125" style="433" bestFit="1" customWidth="1"/>
    <col min="1816" max="1818" width="6.140625" style="433" bestFit="1" customWidth="1"/>
    <col min="1819" max="1821" width="11.42578125" style="433" bestFit="1" customWidth="1"/>
    <col min="1822" max="1823" width="6.140625" style="433" bestFit="1" customWidth="1"/>
    <col min="1824" max="1824" width="5" style="433" bestFit="1" customWidth="1"/>
    <col min="1825" max="1827" width="11.42578125" style="433" bestFit="1" customWidth="1"/>
    <col min="1828" max="1829" width="12.5703125" style="433" bestFit="1" customWidth="1"/>
    <col min="1830" max="1833" width="10.7109375" style="433" customWidth="1"/>
    <col min="1834" max="1834" width="14.85546875" style="433" bestFit="1" customWidth="1"/>
    <col min="1835" max="1835" width="15.85546875" style="433" bestFit="1" customWidth="1"/>
    <col min="1836" max="1836" width="36.140625" style="433" bestFit="1" customWidth="1"/>
    <col min="1837" max="2048" width="11.42578125" style="433"/>
    <col min="2049" max="2049" width="5" style="433" bestFit="1" customWidth="1"/>
    <col min="2050" max="2050" width="15.5703125" style="433" customWidth="1"/>
    <col min="2051" max="2051" width="20.85546875" style="433" customWidth="1"/>
    <col min="2052" max="2052" width="57.85546875" style="433" bestFit="1" customWidth="1"/>
    <col min="2053" max="2053" width="9.28515625" style="433" bestFit="1" customWidth="1"/>
    <col min="2054" max="2054" width="11.42578125" style="433" bestFit="1" customWidth="1"/>
    <col min="2055" max="2055" width="29.85546875" style="433" bestFit="1" customWidth="1"/>
    <col min="2056" max="2056" width="23.7109375" style="433" customWidth="1"/>
    <col min="2057" max="2057" width="11.7109375" style="433" bestFit="1" customWidth="1"/>
    <col min="2058" max="2058" width="20.28515625" style="433" bestFit="1" customWidth="1"/>
    <col min="2059" max="2059" width="18.85546875" style="433" bestFit="1" customWidth="1"/>
    <col min="2060" max="2062" width="6.140625" style="433" bestFit="1" customWidth="1"/>
    <col min="2063" max="2065" width="11.42578125" style="433" bestFit="1" customWidth="1"/>
    <col min="2066" max="2068" width="6.140625" style="433" bestFit="1" customWidth="1"/>
    <col min="2069" max="2071" width="11.42578125" style="433" bestFit="1" customWidth="1"/>
    <col min="2072" max="2074" width="6.140625" style="433" bestFit="1" customWidth="1"/>
    <col min="2075" max="2077" width="11.42578125" style="433" bestFit="1" customWidth="1"/>
    <col min="2078" max="2079" width="6.140625" style="433" bestFit="1" customWidth="1"/>
    <col min="2080" max="2080" width="5" style="433" bestFit="1" customWidth="1"/>
    <col min="2081" max="2083" width="11.42578125" style="433" bestFit="1" customWidth="1"/>
    <col min="2084" max="2085" width="12.5703125" style="433" bestFit="1" customWidth="1"/>
    <col min="2086" max="2089" width="10.7109375" style="433" customWidth="1"/>
    <col min="2090" max="2090" width="14.85546875" style="433" bestFit="1" customWidth="1"/>
    <col min="2091" max="2091" width="15.85546875" style="433" bestFit="1" customWidth="1"/>
    <col min="2092" max="2092" width="36.140625" style="433" bestFit="1" customWidth="1"/>
    <col min="2093" max="2304" width="11.42578125" style="433"/>
    <col min="2305" max="2305" width="5" style="433" bestFit="1" customWidth="1"/>
    <col min="2306" max="2306" width="15.5703125" style="433" customWidth="1"/>
    <col min="2307" max="2307" width="20.85546875" style="433" customWidth="1"/>
    <col min="2308" max="2308" width="57.85546875" style="433" bestFit="1" customWidth="1"/>
    <col min="2309" max="2309" width="9.28515625" style="433" bestFit="1" customWidth="1"/>
    <col min="2310" max="2310" width="11.42578125" style="433" bestFit="1" customWidth="1"/>
    <col min="2311" max="2311" width="29.85546875" style="433" bestFit="1" customWidth="1"/>
    <col min="2312" max="2312" width="23.7109375" style="433" customWidth="1"/>
    <col min="2313" max="2313" width="11.7109375" style="433" bestFit="1" customWidth="1"/>
    <col min="2314" max="2314" width="20.28515625" style="433" bestFit="1" customWidth="1"/>
    <col min="2315" max="2315" width="18.85546875" style="433" bestFit="1" customWidth="1"/>
    <col min="2316" max="2318" width="6.140625" style="433" bestFit="1" customWidth="1"/>
    <col min="2319" max="2321" width="11.42578125" style="433" bestFit="1" customWidth="1"/>
    <col min="2322" max="2324" width="6.140625" style="433" bestFit="1" customWidth="1"/>
    <col min="2325" max="2327" width="11.42578125" style="433" bestFit="1" customWidth="1"/>
    <col min="2328" max="2330" width="6.140625" style="433" bestFit="1" customWidth="1"/>
    <col min="2331" max="2333" width="11.42578125" style="433" bestFit="1" customWidth="1"/>
    <col min="2334" max="2335" width="6.140625" style="433" bestFit="1" customWidth="1"/>
    <col min="2336" max="2336" width="5" style="433" bestFit="1" customWidth="1"/>
    <col min="2337" max="2339" width="11.42578125" style="433" bestFit="1" customWidth="1"/>
    <col min="2340" max="2341" width="12.5703125" style="433" bestFit="1" customWidth="1"/>
    <col min="2342" max="2345" width="10.7109375" style="433" customWidth="1"/>
    <col min="2346" max="2346" width="14.85546875" style="433" bestFit="1" customWidth="1"/>
    <col min="2347" max="2347" width="15.85546875" style="433" bestFit="1" customWidth="1"/>
    <col min="2348" max="2348" width="36.140625" style="433" bestFit="1" customWidth="1"/>
    <col min="2349" max="2560" width="11.42578125" style="433"/>
    <col min="2561" max="2561" width="5" style="433" bestFit="1" customWidth="1"/>
    <col min="2562" max="2562" width="15.5703125" style="433" customWidth="1"/>
    <col min="2563" max="2563" width="20.85546875" style="433" customWidth="1"/>
    <col min="2564" max="2564" width="57.85546875" style="433" bestFit="1" customWidth="1"/>
    <col min="2565" max="2565" width="9.28515625" style="433" bestFit="1" customWidth="1"/>
    <col min="2566" max="2566" width="11.42578125" style="433" bestFit="1" customWidth="1"/>
    <col min="2567" max="2567" width="29.85546875" style="433" bestFit="1" customWidth="1"/>
    <col min="2568" max="2568" width="23.7109375" style="433" customWidth="1"/>
    <col min="2569" max="2569" width="11.7109375" style="433" bestFit="1" customWidth="1"/>
    <col min="2570" max="2570" width="20.28515625" style="433" bestFit="1" customWidth="1"/>
    <col min="2571" max="2571" width="18.85546875" style="433" bestFit="1" customWidth="1"/>
    <col min="2572" max="2574" width="6.140625" style="433" bestFit="1" customWidth="1"/>
    <col min="2575" max="2577" width="11.42578125" style="433" bestFit="1" customWidth="1"/>
    <col min="2578" max="2580" width="6.140625" style="433" bestFit="1" customWidth="1"/>
    <col min="2581" max="2583" width="11.42578125" style="433" bestFit="1" customWidth="1"/>
    <col min="2584" max="2586" width="6.140625" style="433" bestFit="1" customWidth="1"/>
    <col min="2587" max="2589" width="11.42578125" style="433" bestFit="1" customWidth="1"/>
    <col min="2590" max="2591" width="6.140625" style="433" bestFit="1" customWidth="1"/>
    <col min="2592" max="2592" width="5" style="433" bestFit="1" customWidth="1"/>
    <col min="2593" max="2595" width="11.42578125" style="433" bestFit="1" customWidth="1"/>
    <col min="2596" max="2597" width="12.5703125" style="433" bestFit="1" customWidth="1"/>
    <col min="2598" max="2601" width="10.7109375" style="433" customWidth="1"/>
    <col min="2602" max="2602" width="14.85546875" style="433" bestFit="1" customWidth="1"/>
    <col min="2603" max="2603" width="15.85546875" style="433" bestFit="1" customWidth="1"/>
    <col min="2604" max="2604" width="36.140625" style="433" bestFit="1" customWidth="1"/>
    <col min="2605" max="2816" width="11.42578125" style="433"/>
    <col min="2817" max="2817" width="5" style="433" bestFit="1" customWidth="1"/>
    <col min="2818" max="2818" width="15.5703125" style="433" customWidth="1"/>
    <col min="2819" max="2819" width="20.85546875" style="433" customWidth="1"/>
    <col min="2820" max="2820" width="57.85546875" style="433" bestFit="1" customWidth="1"/>
    <col min="2821" max="2821" width="9.28515625" style="433" bestFit="1" customWidth="1"/>
    <col min="2822" max="2822" width="11.42578125" style="433" bestFit="1" customWidth="1"/>
    <col min="2823" max="2823" width="29.85546875" style="433" bestFit="1" customWidth="1"/>
    <col min="2824" max="2824" width="23.7109375" style="433" customWidth="1"/>
    <col min="2825" max="2825" width="11.7109375" style="433" bestFit="1" customWidth="1"/>
    <col min="2826" max="2826" width="20.28515625" style="433" bestFit="1" customWidth="1"/>
    <col min="2827" max="2827" width="18.85546875" style="433" bestFit="1" customWidth="1"/>
    <col min="2828" max="2830" width="6.140625" style="433" bestFit="1" customWidth="1"/>
    <col min="2831" max="2833" width="11.42578125" style="433" bestFit="1" customWidth="1"/>
    <col min="2834" max="2836" width="6.140625" style="433" bestFit="1" customWidth="1"/>
    <col min="2837" max="2839" width="11.42578125" style="433" bestFit="1" customWidth="1"/>
    <col min="2840" max="2842" width="6.140625" style="433" bestFit="1" customWidth="1"/>
    <col min="2843" max="2845" width="11.42578125" style="433" bestFit="1" customWidth="1"/>
    <col min="2846" max="2847" width="6.140625" style="433" bestFit="1" customWidth="1"/>
    <col min="2848" max="2848" width="5" style="433" bestFit="1" customWidth="1"/>
    <col min="2849" max="2851" width="11.42578125" style="433" bestFit="1" customWidth="1"/>
    <col min="2852" max="2853" width="12.5703125" style="433" bestFit="1" customWidth="1"/>
    <col min="2854" max="2857" width="10.7109375" style="433" customWidth="1"/>
    <col min="2858" max="2858" width="14.85546875" style="433" bestFit="1" customWidth="1"/>
    <col min="2859" max="2859" width="15.85546875" style="433" bestFit="1" customWidth="1"/>
    <col min="2860" max="2860" width="36.140625" style="433" bestFit="1" customWidth="1"/>
    <col min="2861" max="3072" width="11.42578125" style="433"/>
    <col min="3073" max="3073" width="5" style="433" bestFit="1" customWidth="1"/>
    <col min="3074" max="3074" width="15.5703125" style="433" customWidth="1"/>
    <col min="3075" max="3075" width="20.85546875" style="433" customWidth="1"/>
    <col min="3076" max="3076" width="57.85546875" style="433" bestFit="1" customWidth="1"/>
    <col min="3077" max="3077" width="9.28515625" style="433" bestFit="1" customWidth="1"/>
    <col min="3078" max="3078" width="11.42578125" style="433" bestFit="1" customWidth="1"/>
    <col min="3079" max="3079" width="29.85546875" style="433" bestFit="1" customWidth="1"/>
    <col min="3080" max="3080" width="23.7109375" style="433" customWidth="1"/>
    <col min="3081" max="3081" width="11.7109375" style="433" bestFit="1" customWidth="1"/>
    <col min="3082" max="3082" width="20.28515625" style="433" bestFit="1" customWidth="1"/>
    <col min="3083" max="3083" width="18.85546875" style="433" bestFit="1" customWidth="1"/>
    <col min="3084" max="3086" width="6.140625" style="433" bestFit="1" customWidth="1"/>
    <col min="3087" max="3089" width="11.42578125" style="433" bestFit="1" customWidth="1"/>
    <col min="3090" max="3092" width="6.140625" style="433" bestFit="1" customWidth="1"/>
    <col min="3093" max="3095" width="11.42578125" style="433" bestFit="1" customWidth="1"/>
    <col min="3096" max="3098" width="6.140625" style="433" bestFit="1" customWidth="1"/>
    <col min="3099" max="3101" width="11.42578125" style="433" bestFit="1" customWidth="1"/>
    <col min="3102" max="3103" width="6.140625" style="433" bestFit="1" customWidth="1"/>
    <col min="3104" max="3104" width="5" style="433" bestFit="1" customWidth="1"/>
    <col min="3105" max="3107" width="11.42578125" style="433" bestFit="1" customWidth="1"/>
    <col min="3108" max="3109" width="12.5703125" style="433" bestFit="1" customWidth="1"/>
    <col min="3110" max="3113" width="10.7109375" style="433" customWidth="1"/>
    <col min="3114" max="3114" width="14.85546875" style="433" bestFit="1" customWidth="1"/>
    <col min="3115" max="3115" width="15.85546875" style="433" bestFit="1" customWidth="1"/>
    <col min="3116" max="3116" width="36.140625" style="433" bestFit="1" customWidth="1"/>
    <col min="3117" max="3328" width="11.42578125" style="433"/>
    <col min="3329" max="3329" width="5" style="433" bestFit="1" customWidth="1"/>
    <col min="3330" max="3330" width="15.5703125" style="433" customWidth="1"/>
    <col min="3331" max="3331" width="20.85546875" style="433" customWidth="1"/>
    <col min="3332" max="3332" width="57.85546875" style="433" bestFit="1" customWidth="1"/>
    <col min="3333" max="3333" width="9.28515625" style="433" bestFit="1" customWidth="1"/>
    <col min="3334" max="3334" width="11.42578125" style="433" bestFit="1" customWidth="1"/>
    <col min="3335" max="3335" width="29.85546875" style="433" bestFit="1" customWidth="1"/>
    <col min="3336" max="3336" width="23.7109375" style="433" customWidth="1"/>
    <col min="3337" max="3337" width="11.7109375" style="433" bestFit="1" customWidth="1"/>
    <col min="3338" max="3338" width="20.28515625" style="433" bestFit="1" customWidth="1"/>
    <col min="3339" max="3339" width="18.85546875" style="433" bestFit="1" customWidth="1"/>
    <col min="3340" max="3342" width="6.140625" style="433" bestFit="1" customWidth="1"/>
    <col min="3343" max="3345" width="11.42578125" style="433" bestFit="1" customWidth="1"/>
    <col min="3346" max="3348" width="6.140625" style="433" bestFit="1" customWidth="1"/>
    <col min="3349" max="3351" width="11.42578125" style="433" bestFit="1" customWidth="1"/>
    <col min="3352" max="3354" width="6.140625" style="433" bestFit="1" customWidth="1"/>
    <col min="3355" max="3357" width="11.42578125" style="433" bestFit="1" customWidth="1"/>
    <col min="3358" max="3359" width="6.140625" style="433" bestFit="1" customWidth="1"/>
    <col min="3360" max="3360" width="5" style="433" bestFit="1" customWidth="1"/>
    <col min="3361" max="3363" width="11.42578125" style="433" bestFit="1" customWidth="1"/>
    <col min="3364" max="3365" width="12.5703125" style="433" bestFit="1" customWidth="1"/>
    <col min="3366" max="3369" width="10.7109375" style="433" customWidth="1"/>
    <col min="3370" max="3370" width="14.85546875" style="433" bestFit="1" customWidth="1"/>
    <col min="3371" max="3371" width="15.85546875" style="433" bestFit="1" customWidth="1"/>
    <col min="3372" max="3372" width="36.140625" style="433" bestFit="1" customWidth="1"/>
    <col min="3373" max="3584" width="11.42578125" style="433"/>
    <col min="3585" max="3585" width="5" style="433" bestFit="1" customWidth="1"/>
    <col min="3586" max="3586" width="15.5703125" style="433" customWidth="1"/>
    <col min="3587" max="3587" width="20.85546875" style="433" customWidth="1"/>
    <col min="3588" max="3588" width="57.85546875" style="433" bestFit="1" customWidth="1"/>
    <col min="3589" max="3589" width="9.28515625" style="433" bestFit="1" customWidth="1"/>
    <col min="3590" max="3590" width="11.42578125" style="433" bestFit="1" customWidth="1"/>
    <col min="3591" max="3591" width="29.85546875" style="433" bestFit="1" customWidth="1"/>
    <col min="3592" max="3592" width="23.7109375" style="433" customWidth="1"/>
    <col min="3593" max="3593" width="11.7109375" style="433" bestFit="1" customWidth="1"/>
    <col min="3594" max="3594" width="20.28515625" style="433" bestFit="1" customWidth="1"/>
    <col min="3595" max="3595" width="18.85546875" style="433" bestFit="1" customWidth="1"/>
    <col min="3596" max="3598" width="6.140625" style="433" bestFit="1" customWidth="1"/>
    <col min="3599" max="3601" width="11.42578125" style="433" bestFit="1" customWidth="1"/>
    <col min="3602" max="3604" width="6.140625" style="433" bestFit="1" customWidth="1"/>
    <col min="3605" max="3607" width="11.42578125" style="433" bestFit="1" customWidth="1"/>
    <col min="3608" max="3610" width="6.140625" style="433" bestFit="1" customWidth="1"/>
    <col min="3611" max="3613" width="11.42578125" style="433" bestFit="1" customWidth="1"/>
    <col min="3614" max="3615" width="6.140625" style="433" bestFit="1" customWidth="1"/>
    <col min="3616" max="3616" width="5" style="433" bestFit="1" customWidth="1"/>
    <col min="3617" max="3619" width="11.42578125" style="433" bestFit="1" customWidth="1"/>
    <col min="3620" max="3621" width="12.5703125" style="433" bestFit="1" customWidth="1"/>
    <col min="3622" max="3625" width="10.7109375" style="433" customWidth="1"/>
    <col min="3626" max="3626" width="14.85546875" style="433" bestFit="1" customWidth="1"/>
    <col min="3627" max="3627" width="15.85546875" style="433" bestFit="1" customWidth="1"/>
    <col min="3628" max="3628" width="36.140625" style="433" bestFit="1" customWidth="1"/>
    <col min="3629" max="3840" width="11.42578125" style="433"/>
    <col min="3841" max="3841" width="5" style="433" bestFit="1" customWidth="1"/>
    <col min="3842" max="3842" width="15.5703125" style="433" customWidth="1"/>
    <col min="3843" max="3843" width="20.85546875" style="433" customWidth="1"/>
    <col min="3844" max="3844" width="57.85546875" style="433" bestFit="1" customWidth="1"/>
    <col min="3845" max="3845" width="9.28515625" style="433" bestFit="1" customWidth="1"/>
    <col min="3846" max="3846" width="11.42578125" style="433" bestFit="1" customWidth="1"/>
    <col min="3847" max="3847" width="29.85546875" style="433" bestFit="1" customWidth="1"/>
    <col min="3848" max="3848" width="23.7109375" style="433" customWidth="1"/>
    <col min="3849" max="3849" width="11.7109375" style="433" bestFit="1" customWidth="1"/>
    <col min="3850" max="3850" width="20.28515625" style="433" bestFit="1" customWidth="1"/>
    <col min="3851" max="3851" width="18.85546875" style="433" bestFit="1" customWidth="1"/>
    <col min="3852" max="3854" width="6.140625" style="433" bestFit="1" customWidth="1"/>
    <col min="3855" max="3857" width="11.42578125" style="433" bestFit="1" customWidth="1"/>
    <col min="3858" max="3860" width="6.140625" style="433" bestFit="1" customWidth="1"/>
    <col min="3861" max="3863" width="11.42578125" style="433" bestFit="1" customWidth="1"/>
    <col min="3864" max="3866" width="6.140625" style="433" bestFit="1" customWidth="1"/>
    <col min="3867" max="3869" width="11.42578125" style="433" bestFit="1" customWidth="1"/>
    <col min="3870" max="3871" width="6.140625" style="433" bestFit="1" customWidth="1"/>
    <col min="3872" max="3872" width="5" style="433" bestFit="1" customWidth="1"/>
    <col min="3873" max="3875" width="11.42578125" style="433" bestFit="1" customWidth="1"/>
    <col min="3876" max="3877" width="12.5703125" style="433" bestFit="1" customWidth="1"/>
    <col min="3878" max="3881" width="10.7109375" style="433" customWidth="1"/>
    <col min="3882" max="3882" width="14.85546875" style="433" bestFit="1" customWidth="1"/>
    <col min="3883" max="3883" width="15.85546875" style="433" bestFit="1" customWidth="1"/>
    <col min="3884" max="3884" width="36.140625" style="433" bestFit="1" customWidth="1"/>
    <col min="3885" max="4096" width="11.42578125" style="433"/>
    <col min="4097" max="4097" width="5" style="433" bestFit="1" customWidth="1"/>
    <col min="4098" max="4098" width="15.5703125" style="433" customWidth="1"/>
    <col min="4099" max="4099" width="20.85546875" style="433" customWidth="1"/>
    <col min="4100" max="4100" width="57.85546875" style="433" bestFit="1" customWidth="1"/>
    <col min="4101" max="4101" width="9.28515625" style="433" bestFit="1" customWidth="1"/>
    <col min="4102" max="4102" width="11.42578125" style="433" bestFit="1" customWidth="1"/>
    <col min="4103" max="4103" width="29.85546875" style="433" bestFit="1" customWidth="1"/>
    <col min="4104" max="4104" width="23.7109375" style="433" customWidth="1"/>
    <col min="4105" max="4105" width="11.7109375" style="433" bestFit="1" customWidth="1"/>
    <col min="4106" max="4106" width="20.28515625" style="433" bestFit="1" customWidth="1"/>
    <col min="4107" max="4107" width="18.85546875" style="433" bestFit="1" customWidth="1"/>
    <col min="4108" max="4110" width="6.140625" style="433" bestFit="1" customWidth="1"/>
    <col min="4111" max="4113" width="11.42578125" style="433" bestFit="1" customWidth="1"/>
    <col min="4114" max="4116" width="6.140625" style="433" bestFit="1" customWidth="1"/>
    <col min="4117" max="4119" width="11.42578125" style="433" bestFit="1" customWidth="1"/>
    <col min="4120" max="4122" width="6.140625" style="433" bestFit="1" customWidth="1"/>
    <col min="4123" max="4125" width="11.42578125" style="433" bestFit="1" customWidth="1"/>
    <col min="4126" max="4127" width="6.140625" style="433" bestFit="1" customWidth="1"/>
    <col min="4128" max="4128" width="5" style="433" bestFit="1" customWidth="1"/>
    <col min="4129" max="4131" width="11.42578125" style="433" bestFit="1" customWidth="1"/>
    <col min="4132" max="4133" width="12.5703125" style="433" bestFit="1" customWidth="1"/>
    <col min="4134" max="4137" width="10.7109375" style="433" customWidth="1"/>
    <col min="4138" max="4138" width="14.85546875" style="433" bestFit="1" customWidth="1"/>
    <col min="4139" max="4139" width="15.85546875" style="433" bestFit="1" customWidth="1"/>
    <col min="4140" max="4140" width="36.140625" style="433" bestFit="1" customWidth="1"/>
    <col min="4141" max="4352" width="11.42578125" style="433"/>
    <col min="4353" max="4353" width="5" style="433" bestFit="1" customWidth="1"/>
    <col min="4354" max="4354" width="15.5703125" style="433" customWidth="1"/>
    <col min="4355" max="4355" width="20.85546875" style="433" customWidth="1"/>
    <col min="4356" max="4356" width="57.85546875" style="433" bestFit="1" customWidth="1"/>
    <col min="4357" max="4357" width="9.28515625" style="433" bestFit="1" customWidth="1"/>
    <col min="4358" max="4358" width="11.42578125" style="433" bestFit="1" customWidth="1"/>
    <col min="4359" max="4359" width="29.85546875" style="433" bestFit="1" customWidth="1"/>
    <col min="4360" max="4360" width="23.7109375" style="433" customWidth="1"/>
    <col min="4361" max="4361" width="11.7109375" style="433" bestFit="1" customWidth="1"/>
    <col min="4362" max="4362" width="20.28515625" style="433" bestFit="1" customWidth="1"/>
    <col min="4363" max="4363" width="18.85546875" style="433" bestFit="1" customWidth="1"/>
    <col min="4364" max="4366" width="6.140625" style="433" bestFit="1" customWidth="1"/>
    <col min="4367" max="4369" width="11.42578125" style="433" bestFit="1" customWidth="1"/>
    <col min="4370" max="4372" width="6.140625" style="433" bestFit="1" customWidth="1"/>
    <col min="4373" max="4375" width="11.42578125" style="433" bestFit="1" customWidth="1"/>
    <col min="4376" max="4378" width="6.140625" style="433" bestFit="1" customWidth="1"/>
    <col min="4379" max="4381" width="11.42578125" style="433" bestFit="1" customWidth="1"/>
    <col min="4382" max="4383" width="6.140625" style="433" bestFit="1" customWidth="1"/>
    <col min="4384" max="4384" width="5" style="433" bestFit="1" customWidth="1"/>
    <col min="4385" max="4387" width="11.42578125" style="433" bestFit="1" customWidth="1"/>
    <col min="4388" max="4389" width="12.5703125" style="433" bestFit="1" customWidth="1"/>
    <col min="4390" max="4393" width="10.7109375" style="433" customWidth="1"/>
    <col min="4394" max="4394" width="14.85546875" style="433" bestFit="1" customWidth="1"/>
    <col min="4395" max="4395" width="15.85546875" style="433" bestFit="1" customWidth="1"/>
    <col min="4396" max="4396" width="36.140625" style="433" bestFit="1" customWidth="1"/>
    <col min="4397" max="4608" width="11.42578125" style="433"/>
    <col min="4609" max="4609" width="5" style="433" bestFit="1" customWidth="1"/>
    <col min="4610" max="4610" width="15.5703125" style="433" customWidth="1"/>
    <col min="4611" max="4611" width="20.85546875" style="433" customWidth="1"/>
    <col min="4612" max="4612" width="57.85546875" style="433" bestFit="1" customWidth="1"/>
    <col min="4613" max="4613" width="9.28515625" style="433" bestFit="1" customWidth="1"/>
    <col min="4614" max="4614" width="11.42578125" style="433" bestFit="1" customWidth="1"/>
    <col min="4615" max="4615" width="29.85546875" style="433" bestFit="1" customWidth="1"/>
    <col min="4616" max="4616" width="23.7109375" style="433" customWidth="1"/>
    <col min="4617" max="4617" width="11.7109375" style="433" bestFit="1" customWidth="1"/>
    <col min="4618" max="4618" width="20.28515625" style="433" bestFit="1" customWidth="1"/>
    <col min="4619" max="4619" width="18.85546875" style="433" bestFit="1" customWidth="1"/>
    <col min="4620" max="4622" width="6.140625" style="433" bestFit="1" customWidth="1"/>
    <col min="4623" max="4625" width="11.42578125" style="433" bestFit="1" customWidth="1"/>
    <col min="4626" max="4628" width="6.140625" style="433" bestFit="1" customWidth="1"/>
    <col min="4629" max="4631" width="11.42578125" style="433" bestFit="1" customWidth="1"/>
    <col min="4632" max="4634" width="6.140625" style="433" bestFit="1" customWidth="1"/>
    <col min="4635" max="4637" width="11.42578125" style="433" bestFit="1" customWidth="1"/>
    <col min="4638" max="4639" width="6.140625" style="433" bestFit="1" customWidth="1"/>
    <col min="4640" max="4640" width="5" style="433" bestFit="1" customWidth="1"/>
    <col min="4641" max="4643" width="11.42578125" style="433" bestFit="1" customWidth="1"/>
    <col min="4644" max="4645" width="12.5703125" style="433" bestFit="1" customWidth="1"/>
    <col min="4646" max="4649" width="10.7109375" style="433" customWidth="1"/>
    <col min="4650" max="4650" width="14.85546875" style="433" bestFit="1" customWidth="1"/>
    <col min="4651" max="4651" width="15.85546875" style="433" bestFit="1" customWidth="1"/>
    <col min="4652" max="4652" width="36.140625" style="433" bestFit="1" customWidth="1"/>
    <col min="4653" max="4864" width="11.42578125" style="433"/>
    <col min="4865" max="4865" width="5" style="433" bestFit="1" customWidth="1"/>
    <col min="4866" max="4866" width="15.5703125" style="433" customWidth="1"/>
    <col min="4867" max="4867" width="20.85546875" style="433" customWidth="1"/>
    <col min="4868" max="4868" width="57.85546875" style="433" bestFit="1" customWidth="1"/>
    <col min="4869" max="4869" width="9.28515625" style="433" bestFit="1" customWidth="1"/>
    <col min="4870" max="4870" width="11.42578125" style="433" bestFit="1" customWidth="1"/>
    <col min="4871" max="4871" width="29.85546875" style="433" bestFit="1" customWidth="1"/>
    <col min="4872" max="4872" width="23.7109375" style="433" customWidth="1"/>
    <col min="4873" max="4873" width="11.7109375" style="433" bestFit="1" customWidth="1"/>
    <col min="4874" max="4874" width="20.28515625" style="433" bestFit="1" customWidth="1"/>
    <col min="4875" max="4875" width="18.85546875" style="433" bestFit="1" customWidth="1"/>
    <col min="4876" max="4878" width="6.140625" style="433" bestFit="1" customWidth="1"/>
    <col min="4879" max="4881" width="11.42578125" style="433" bestFit="1" customWidth="1"/>
    <col min="4882" max="4884" width="6.140625" style="433" bestFit="1" customWidth="1"/>
    <col min="4885" max="4887" width="11.42578125" style="433" bestFit="1" customWidth="1"/>
    <col min="4888" max="4890" width="6.140625" style="433" bestFit="1" customWidth="1"/>
    <col min="4891" max="4893" width="11.42578125" style="433" bestFit="1" customWidth="1"/>
    <col min="4894" max="4895" width="6.140625" style="433" bestFit="1" customWidth="1"/>
    <col min="4896" max="4896" width="5" style="433" bestFit="1" customWidth="1"/>
    <col min="4897" max="4899" width="11.42578125" style="433" bestFit="1" customWidth="1"/>
    <col min="4900" max="4901" width="12.5703125" style="433" bestFit="1" customWidth="1"/>
    <col min="4902" max="4905" width="10.7109375" style="433" customWidth="1"/>
    <col min="4906" max="4906" width="14.85546875" style="433" bestFit="1" customWidth="1"/>
    <col min="4907" max="4907" width="15.85546875" style="433" bestFit="1" customWidth="1"/>
    <col min="4908" max="4908" width="36.140625" style="433" bestFit="1" customWidth="1"/>
    <col min="4909" max="5120" width="11.42578125" style="433"/>
    <col min="5121" max="5121" width="5" style="433" bestFit="1" customWidth="1"/>
    <col min="5122" max="5122" width="15.5703125" style="433" customWidth="1"/>
    <col min="5123" max="5123" width="20.85546875" style="433" customWidth="1"/>
    <col min="5124" max="5124" width="57.85546875" style="433" bestFit="1" customWidth="1"/>
    <col min="5125" max="5125" width="9.28515625" style="433" bestFit="1" customWidth="1"/>
    <col min="5126" max="5126" width="11.42578125" style="433" bestFit="1" customWidth="1"/>
    <col min="5127" max="5127" width="29.85546875" style="433" bestFit="1" customWidth="1"/>
    <col min="5128" max="5128" width="23.7109375" style="433" customWidth="1"/>
    <col min="5129" max="5129" width="11.7109375" style="433" bestFit="1" customWidth="1"/>
    <col min="5130" max="5130" width="20.28515625" style="433" bestFit="1" customWidth="1"/>
    <col min="5131" max="5131" width="18.85546875" style="433" bestFit="1" customWidth="1"/>
    <col min="5132" max="5134" width="6.140625" style="433" bestFit="1" customWidth="1"/>
    <col min="5135" max="5137" width="11.42578125" style="433" bestFit="1" customWidth="1"/>
    <col min="5138" max="5140" width="6.140625" style="433" bestFit="1" customWidth="1"/>
    <col min="5141" max="5143" width="11.42578125" style="433" bestFit="1" customWidth="1"/>
    <col min="5144" max="5146" width="6.140625" style="433" bestFit="1" customWidth="1"/>
    <col min="5147" max="5149" width="11.42578125" style="433" bestFit="1" customWidth="1"/>
    <col min="5150" max="5151" width="6.140625" style="433" bestFit="1" customWidth="1"/>
    <col min="5152" max="5152" width="5" style="433" bestFit="1" customWidth="1"/>
    <col min="5153" max="5155" width="11.42578125" style="433" bestFit="1" customWidth="1"/>
    <col min="5156" max="5157" width="12.5703125" style="433" bestFit="1" customWidth="1"/>
    <col min="5158" max="5161" width="10.7109375" style="433" customWidth="1"/>
    <col min="5162" max="5162" width="14.85546875" style="433" bestFit="1" customWidth="1"/>
    <col min="5163" max="5163" width="15.85546875" style="433" bestFit="1" customWidth="1"/>
    <col min="5164" max="5164" width="36.140625" style="433" bestFit="1" customWidth="1"/>
    <col min="5165" max="5376" width="11.42578125" style="433"/>
    <col min="5377" max="5377" width="5" style="433" bestFit="1" customWidth="1"/>
    <col min="5378" max="5378" width="15.5703125" style="433" customWidth="1"/>
    <col min="5379" max="5379" width="20.85546875" style="433" customWidth="1"/>
    <col min="5380" max="5380" width="57.85546875" style="433" bestFit="1" customWidth="1"/>
    <col min="5381" max="5381" width="9.28515625" style="433" bestFit="1" customWidth="1"/>
    <col min="5382" max="5382" width="11.42578125" style="433" bestFit="1" customWidth="1"/>
    <col min="5383" max="5383" width="29.85546875" style="433" bestFit="1" customWidth="1"/>
    <col min="5384" max="5384" width="23.7109375" style="433" customWidth="1"/>
    <col min="5385" max="5385" width="11.7109375" style="433" bestFit="1" customWidth="1"/>
    <col min="5386" max="5386" width="20.28515625" style="433" bestFit="1" customWidth="1"/>
    <col min="5387" max="5387" width="18.85546875" style="433" bestFit="1" customWidth="1"/>
    <col min="5388" max="5390" width="6.140625" style="433" bestFit="1" customWidth="1"/>
    <col min="5391" max="5393" width="11.42578125" style="433" bestFit="1" customWidth="1"/>
    <col min="5394" max="5396" width="6.140625" style="433" bestFit="1" customWidth="1"/>
    <col min="5397" max="5399" width="11.42578125" style="433" bestFit="1" customWidth="1"/>
    <col min="5400" max="5402" width="6.140625" style="433" bestFit="1" customWidth="1"/>
    <col min="5403" max="5405" width="11.42578125" style="433" bestFit="1" customWidth="1"/>
    <col min="5406" max="5407" width="6.140625" style="433" bestFit="1" customWidth="1"/>
    <col min="5408" max="5408" width="5" style="433" bestFit="1" customWidth="1"/>
    <col min="5409" max="5411" width="11.42578125" style="433" bestFit="1" customWidth="1"/>
    <col min="5412" max="5413" width="12.5703125" style="433" bestFit="1" customWidth="1"/>
    <col min="5414" max="5417" width="10.7109375" style="433" customWidth="1"/>
    <col min="5418" max="5418" width="14.85546875" style="433" bestFit="1" customWidth="1"/>
    <col min="5419" max="5419" width="15.85546875" style="433" bestFit="1" customWidth="1"/>
    <col min="5420" max="5420" width="36.140625" style="433" bestFit="1" customWidth="1"/>
    <col min="5421" max="5632" width="11.42578125" style="433"/>
    <col min="5633" max="5633" width="5" style="433" bestFit="1" customWidth="1"/>
    <col min="5634" max="5634" width="15.5703125" style="433" customWidth="1"/>
    <col min="5635" max="5635" width="20.85546875" style="433" customWidth="1"/>
    <col min="5636" max="5636" width="57.85546875" style="433" bestFit="1" customWidth="1"/>
    <col min="5637" max="5637" width="9.28515625" style="433" bestFit="1" customWidth="1"/>
    <col min="5638" max="5638" width="11.42578125" style="433" bestFit="1" customWidth="1"/>
    <col min="5639" max="5639" width="29.85546875" style="433" bestFit="1" customWidth="1"/>
    <col min="5640" max="5640" width="23.7109375" style="433" customWidth="1"/>
    <col min="5641" max="5641" width="11.7109375" style="433" bestFit="1" customWidth="1"/>
    <col min="5642" max="5642" width="20.28515625" style="433" bestFit="1" customWidth="1"/>
    <col min="5643" max="5643" width="18.85546875" style="433" bestFit="1" customWidth="1"/>
    <col min="5644" max="5646" width="6.140625" style="433" bestFit="1" customWidth="1"/>
    <col min="5647" max="5649" width="11.42578125" style="433" bestFit="1" customWidth="1"/>
    <col min="5650" max="5652" width="6.140625" style="433" bestFit="1" customWidth="1"/>
    <col min="5653" max="5655" width="11.42578125" style="433" bestFit="1" customWidth="1"/>
    <col min="5656" max="5658" width="6.140625" style="433" bestFit="1" customWidth="1"/>
    <col min="5659" max="5661" width="11.42578125" style="433" bestFit="1" customWidth="1"/>
    <col min="5662" max="5663" width="6.140625" style="433" bestFit="1" customWidth="1"/>
    <col min="5664" max="5664" width="5" style="433" bestFit="1" customWidth="1"/>
    <col min="5665" max="5667" width="11.42578125" style="433" bestFit="1" customWidth="1"/>
    <col min="5668" max="5669" width="12.5703125" style="433" bestFit="1" customWidth="1"/>
    <col min="5670" max="5673" width="10.7109375" style="433" customWidth="1"/>
    <col min="5674" max="5674" width="14.85546875" style="433" bestFit="1" customWidth="1"/>
    <col min="5675" max="5675" width="15.85546875" style="433" bestFit="1" customWidth="1"/>
    <col min="5676" max="5676" width="36.140625" style="433" bestFit="1" customWidth="1"/>
    <col min="5677" max="5888" width="11.42578125" style="433"/>
    <col min="5889" max="5889" width="5" style="433" bestFit="1" customWidth="1"/>
    <col min="5890" max="5890" width="15.5703125" style="433" customWidth="1"/>
    <col min="5891" max="5891" width="20.85546875" style="433" customWidth="1"/>
    <col min="5892" max="5892" width="57.85546875" style="433" bestFit="1" customWidth="1"/>
    <col min="5893" max="5893" width="9.28515625" style="433" bestFit="1" customWidth="1"/>
    <col min="5894" max="5894" width="11.42578125" style="433" bestFit="1" customWidth="1"/>
    <col min="5895" max="5895" width="29.85546875" style="433" bestFit="1" customWidth="1"/>
    <col min="5896" max="5896" width="23.7109375" style="433" customWidth="1"/>
    <col min="5897" max="5897" width="11.7109375" style="433" bestFit="1" customWidth="1"/>
    <col min="5898" max="5898" width="20.28515625" style="433" bestFit="1" customWidth="1"/>
    <col min="5899" max="5899" width="18.85546875" style="433" bestFit="1" customWidth="1"/>
    <col min="5900" max="5902" width="6.140625" style="433" bestFit="1" customWidth="1"/>
    <col min="5903" max="5905" width="11.42578125" style="433" bestFit="1" customWidth="1"/>
    <col min="5906" max="5908" width="6.140625" style="433" bestFit="1" customWidth="1"/>
    <col min="5909" max="5911" width="11.42578125" style="433" bestFit="1" customWidth="1"/>
    <col min="5912" max="5914" width="6.140625" style="433" bestFit="1" customWidth="1"/>
    <col min="5915" max="5917" width="11.42578125" style="433" bestFit="1" customWidth="1"/>
    <col min="5918" max="5919" width="6.140625" style="433" bestFit="1" customWidth="1"/>
    <col min="5920" max="5920" width="5" style="433" bestFit="1" customWidth="1"/>
    <col min="5921" max="5923" width="11.42578125" style="433" bestFit="1" customWidth="1"/>
    <col min="5924" max="5925" width="12.5703125" style="433" bestFit="1" customWidth="1"/>
    <col min="5926" max="5929" width="10.7109375" style="433" customWidth="1"/>
    <col min="5930" max="5930" width="14.85546875" style="433" bestFit="1" customWidth="1"/>
    <col min="5931" max="5931" width="15.85546875" style="433" bestFit="1" customWidth="1"/>
    <col min="5932" max="5932" width="36.140625" style="433" bestFit="1" customWidth="1"/>
    <col min="5933" max="6144" width="11.42578125" style="433"/>
    <col min="6145" max="6145" width="5" style="433" bestFit="1" customWidth="1"/>
    <col min="6146" max="6146" width="15.5703125" style="433" customWidth="1"/>
    <col min="6147" max="6147" width="20.85546875" style="433" customWidth="1"/>
    <col min="6148" max="6148" width="57.85546875" style="433" bestFit="1" customWidth="1"/>
    <col min="6149" max="6149" width="9.28515625" style="433" bestFit="1" customWidth="1"/>
    <col min="6150" max="6150" width="11.42578125" style="433" bestFit="1" customWidth="1"/>
    <col min="6151" max="6151" width="29.85546875" style="433" bestFit="1" customWidth="1"/>
    <col min="6152" max="6152" width="23.7109375" style="433" customWidth="1"/>
    <col min="6153" max="6153" width="11.7109375" style="433" bestFit="1" customWidth="1"/>
    <col min="6154" max="6154" width="20.28515625" style="433" bestFit="1" customWidth="1"/>
    <col min="6155" max="6155" width="18.85546875" style="433" bestFit="1" customWidth="1"/>
    <col min="6156" max="6158" width="6.140625" style="433" bestFit="1" customWidth="1"/>
    <col min="6159" max="6161" width="11.42578125" style="433" bestFit="1" customWidth="1"/>
    <col min="6162" max="6164" width="6.140625" style="433" bestFit="1" customWidth="1"/>
    <col min="6165" max="6167" width="11.42578125" style="433" bestFit="1" customWidth="1"/>
    <col min="6168" max="6170" width="6.140625" style="433" bestFit="1" customWidth="1"/>
    <col min="6171" max="6173" width="11.42578125" style="433" bestFit="1" customWidth="1"/>
    <col min="6174" max="6175" width="6.140625" style="433" bestFit="1" customWidth="1"/>
    <col min="6176" max="6176" width="5" style="433" bestFit="1" customWidth="1"/>
    <col min="6177" max="6179" width="11.42578125" style="433" bestFit="1" customWidth="1"/>
    <col min="6180" max="6181" width="12.5703125" style="433" bestFit="1" customWidth="1"/>
    <col min="6182" max="6185" width="10.7109375" style="433" customWidth="1"/>
    <col min="6186" max="6186" width="14.85546875" style="433" bestFit="1" customWidth="1"/>
    <col min="6187" max="6187" width="15.85546875" style="433" bestFit="1" customWidth="1"/>
    <col min="6188" max="6188" width="36.140625" style="433" bestFit="1" customWidth="1"/>
    <col min="6189" max="6400" width="11.42578125" style="433"/>
    <col min="6401" max="6401" width="5" style="433" bestFit="1" customWidth="1"/>
    <col min="6402" max="6402" width="15.5703125" style="433" customWidth="1"/>
    <col min="6403" max="6403" width="20.85546875" style="433" customWidth="1"/>
    <col min="6404" max="6404" width="57.85546875" style="433" bestFit="1" customWidth="1"/>
    <col min="6405" max="6405" width="9.28515625" style="433" bestFit="1" customWidth="1"/>
    <col min="6406" max="6406" width="11.42578125" style="433" bestFit="1" customWidth="1"/>
    <col min="6407" max="6407" width="29.85546875" style="433" bestFit="1" customWidth="1"/>
    <col min="6408" max="6408" width="23.7109375" style="433" customWidth="1"/>
    <col min="6409" max="6409" width="11.7109375" style="433" bestFit="1" customWidth="1"/>
    <col min="6410" max="6410" width="20.28515625" style="433" bestFit="1" customWidth="1"/>
    <col min="6411" max="6411" width="18.85546875" style="433" bestFit="1" customWidth="1"/>
    <col min="6412" max="6414" width="6.140625" style="433" bestFit="1" customWidth="1"/>
    <col min="6415" max="6417" width="11.42578125" style="433" bestFit="1" customWidth="1"/>
    <col min="6418" max="6420" width="6.140625" style="433" bestFit="1" customWidth="1"/>
    <col min="6421" max="6423" width="11.42578125" style="433" bestFit="1" customWidth="1"/>
    <col min="6424" max="6426" width="6.140625" style="433" bestFit="1" customWidth="1"/>
    <col min="6427" max="6429" width="11.42578125" style="433" bestFit="1" customWidth="1"/>
    <col min="6430" max="6431" width="6.140625" style="433" bestFit="1" customWidth="1"/>
    <col min="6432" max="6432" width="5" style="433" bestFit="1" customWidth="1"/>
    <col min="6433" max="6435" width="11.42578125" style="433" bestFit="1" customWidth="1"/>
    <col min="6436" max="6437" width="12.5703125" style="433" bestFit="1" customWidth="1"/>
    <col min="6438" max="6441" width="10.7109375" style="433" customWidth="1"/>
    <col min="6442" max="6442" width="14.85546875" style="433" bestFit="1" customWidth="1"/>
    <col min="6443" max="6443" width="15.85546875" style="433" bestFit="1" customWidth="1"/>
    <col min="6444" max="6444" width="36.140625" style="433" bestFit="1" customWidth="1"/>
    <col min="6445" max="6656" width="11.42578125" style="433"/>
    <col min="6657" max="6657" width="5" style="433" bestFit="1" customWidth="1"/>
    <col min="6658" max="6658" width="15.5703125" style="433" customWidth="1"/>
    <col min="6659" max="6659" width="20.85546875" style="433" customWidth="1"/>
    <col min="6660" max="6660" width="57.85546875" style="433" bestFit="1" customWidth="1"/>
    <col min="6661" max="6661" width="9.28515625" style="433" bestFit="1" customWidth="1"/>
    <col min="6662" max="6662" width="11.42578125" style="433" bestFit="1" customWidth="1"/>
    <col min="6663" max="6663" width="29.85546875" style="433" bestFit="1" customWidth="1"/>
    <col min="6664" max="6664" width="23.7109375" style="433" customWidth="1"/>
    <col min="6665" max="6665" width="11.7109375" style="433" bestFit="1" customWidth="1"/>
    <col min="6666" max="6666" width="20.28515625" style="433" bestFit="1" customWidth="1"/>
    <col min="6667" max="6667" width="18.85546875" style="433" bestFit="1" customWidth="1"/>
    <col min="6668" max="6670" width="6.140625" style="433" bestFit="1" customWidth="1"/>
    <col min="6671" max="6673" width="11.42578125" style="433" bestFit="1" customWidth="1"/>
    <col min="6674" max="6676" width="6.140625" style="433" bestFit="1" customWidth="1"/>
    <col min="6677" max="6679" width="11.42578125" style="433" bestFit="1" customWidth="1"/>
    <col min="6680" max="6682" width="6.140625" style="433" bestFit="1" customWidth="1"/>
    <col min="6683" max="6685" width="11.42578125" style="433" bestFit="1" customWidth="1"/>
    <col min="6686" max="6687" width="6.140625" style="433" bestFit="1" customWidth="1"/>
    <col min="6688" max="6688" width="5" style="433" bestFit="1" customWidth="1"/>
    <col min="6689" max="6691" width="11.42578125" style="433" bestFit="1" customWidth="1"/>
    <col min="6692" max="6693" width="12.5703125" style="433" bestFit="1" customWidth="1"/>
    <col min="6694" max="6697" width="10.7109375" style="433" customWidth="1"/>
    <col min="6698" max="6698" width="14.85546875" style="433" bestFit="1" customWidth="1"/>
    <col min="6699" max="6699" width="15.85546875" style="433" bestFit="1" customWidth="1"/>
    <col min="6700" max="6700" width="36.140625" style="433" bestFit="1" customWidth="1"/>
    <col min="6701" max="6912" width="11.42578125" style="433"/>
    <col min="6913" max="6913" width="5" style="433" bestFit="1" customWidth="1"/>
    <col min="6914" max="6914" width="15.5703125" style="433" customWidth="1"/>
    <col min="6915" max="6915" width="20.85546875" style="433" customWidth="1"/>
    <col min="6916" max="6916" width="57.85546875" style="433" bestFit="1" customWidth="1"/>
    <col min="6917" max="6917" width="9.28515625" style="433" bestFit="1" customWidth="1"/>
    <col min="6918" max="6918" width="11.42578125" style="433" bestFit="1" customWidth="1"/>
    <col min="6919" max="6919" width="29.85546875" style="433" bestFit="1" customWidth="1"/>
    <col min="6920" max="6920" width="23.7109375" style="433" customWidth="1"/>
    <col min="6921" max="6921" width="11.7109375" style="433" bestFit="1" customWidth="1"/>
    <col min="6922" max="6922" width="20.28515625" style="433" bestFit="1" customWidth="1"/>
    <col min="6923" max="6923" width="18.85546875" style="433" bestFit="1" customWidth="1"/>
    <col min="6924" max="6926" width="6.140625" style="433" bestFit="1" customWidth="1"/>
    <col min="6927" max="6929" width="11.42578125" style="433" bestFit="1" customWidth="1"/>
    <col min="6930" max="6932" width="6.140625" style="433" bestFit="1" customWidth="1"/>
    <col min="6933" max="6935" width="11.42578125" style="433" bestFit="1" customWidth="1"/>
    <col min="6936" max="6938" width="6.140625" style="433" bestFit="1" customWidth="1"/>
    <col min="6939" max="6941" width="11.42578125" style="433" bestFit="1" customWidth="1"/>
    <col min="6942" max="6943" width="6.140625" style="433" bestFit="1" customWidth="1"/>
    <col min="6944" max="6944" width="5" style="433" bestFit="1" customWidth="1"/>
    <col min="6945" max="6947" width="11.42578125" style="433" bestFit="1" customWidth="1"/>
    <col min="6948" max="6949" width="12.5703125" style="433" bestFit="1" customWidth="1"/>
    <col min="6950" max="6953" width="10.7109375" style="433" customWidth="1"/>
    <col min="6954" max="6954" width="14.85546875" style="433" bestFit="1" customWidth="1"/>
    <col min="6955" max="6955" width="15.85546875" style="433" bestFit="1" customWidth="1"/>
    <col min="6956" max="6956" width="36.140625" style="433" bestFit="1" customWidth="1"/>
    <col min="6957" max="7168" width="11.42578125" style="433"/>
    <col min="7169" max="7169" width="5" style="433" bestFit="1" customWidth="1"/>
    <col min="7170" max="7170" width="15.5703125" style="433" customWidth="1"/>
    <col min="7171" max="7171" width="20.85546875" style="433" customWidth="1"/>
    <col min="7172" max="7172" width="57.85546875" style="433" bestFit="1" customWidth="1"/>
    <col min="7173" max="7173" width="9.28515625" style="433" bestFit="1" customWidth="1"/>
    <col min="7174" max="7174" width="11.42578125" style="433" bestFit="1" customWidth="1"/>
    <col min="7175" max="7175" width="29.85546875" style="433" bestFit="1" customWidth="1"/>
    <col min="7176" max="7176" width="23.7109375" style="433" customWidth="1"/>
    <col min="7177" max="7177" width="11.7109375" style="433" bestFit="1" customWidth="1"/>
    <col min="7178" max="7178" width="20.28515625" style="433" bestFit="1" customWidth="1"/>
    <col min="7179" max="7179" width="18.85546875" style="433" bestFit="1" customWidth="1"/>
    <col min="7180" max="7182" width="6.140625" style="433" bestFit="1" customWidth="1"/>
    <col min="7183" max="7185" width="11.42578125" style="433" bestFit="1" customWidth="1"/>
    <col min="7186" max="7188" width="6.140625" style="433" bestFit="1" customWidth="1"/>
    <col min="7189" max="7191" width="11.42578125" style="433" bestFit="1" customWidth="1"/>
    <col min="7192" max="7194" width="6.140625" style="433" bestFit="1" customWidth="1"/>
    <col min="7195" max="7197" width="11.42578125" style="433" bestFit="1" customWidth="1"/>
    <col min="7198" max="7199" width="6.140625" style="433" bestFit="1" customWidth="1"/>
    <col min="7200" max="7200" width="5" style="433" bestFit="1" customWidth="1"/>
    <col min="7201" max="7203" width="11.42578125" style="433" bestFit="1" customWidth="1"/>
    <col min="7204" max="7205" width="12.5703125" style="433" bestFit="1" customWidth="1"/>
    <col min="7206" max="7209" width="10.7109375" style="433" customWidth="1"/>
    <col min="7210" max="7210" width="14.85546875" style="433" bestFit="1" customWidth="1"/>
    <col min="7211" max="7211" width="15.85546875" style="433" bestFit="1" customWidth="1"/>
    <col min="7212" max="7212" width="36.140625" style="433" bestFit="1" customWidth="1"/>
    <col min="7213" max="7424" width="11.42578125" style="433"/>
    <col min="7425" max="7425" width="5" style="433" bestFit="1" customWidth="1"/>
    <col min="7426" max="7426" width="15.5703125" style="433" customWidth="1"/>
    <col min="7427" max="7427" width="20.85546875" style="433" customWidth="1"/>
    <col min="7428" max="7428" width="57.85546875" style="433" bestFit="1" customWidth="1"/>
    <col min="7429" max="7429" width="9.28515625" style="433" bestFit="1" customWidth="1"/>
    <col min="7430" max="7430" width="11.42578125" style="433" bestFit="1" customWidth="1"/>
    <col min="7431" max="7431" width="29.85546875" style="433" bestFit="1" customWidth="1"/>
    <col min="7432" max="7432" width="23.7109375" style="433" customWidth="1"/>
    <col min="7433" max="7433" width="11.7109375" style="433" bestFit="1" customWidth="1"/>
    <col min="7434" max="7434" width="20.28515625" style="433" bestFit="1" customWidth="1"/>
    <col min="7435" max="7435" width="18.85546875" style="433" bestFit="1" customWidth="1"/>
    <col min="7436" max="7438" width="6.140625" style="433" bestFit="1" customWidth="1"/>
    <col min="7439" max="7441" width="11.42578125" style="433" bestFit="1" customWidth="1"/>
    <col min="7442" max="7444" width="6.140625" style="433" bestFit="1" customWidth="1"/>
    <col min="7445" max="7447" width="11.42578125" style="433" bestFit="1" customWidth="1"/>
    <col min="7448" max="7450" width="6.140625" style="433" bestFit="1" customWidth="1"/>
    <col min="7451" max="7453" width="11.42578125" style="433" bestFit="1" customWidth="1"/>
    <col min="7454" max="7455" width="6.140625" style="433" bestFit="1" customWidth="1"/>
    <col min="7456" max="7456" width="5" style="433" bestFit="1" customWidth="1"/>
    <col min="7457" max="7459" width="11.42578125" style="433" bestFit="1" customWidth="1"/>
    <col min="7460" max="7461" width="12.5703125" style="433" bestFit="1" customWidth="1"/>
    <col min="7462" max="7465" width="10.7109375" style="433" customWidth="1"/>
    <col min="7466" max="7466" width="14.85546875" style="433" bestFit="1" customWidth="1"/>
    <col min="7467" max="7467" width="15.85546875" style="433" bestFit="1" customWidth="1"/>
    <col min="7468" max="7468" width="36.140625" style="433" bestFit="1" customWidth="1"/>
    <col min="7469" max="7680" width="11.42578125" style="433"/>
    <col min="7681" max="7681" width="5" style="433" bestFit="1" customWidth="1"/>
    <col min="7682" max="7682" width="15.5703125" style="433" customWidth="1"/>
    <col min="7683" max="7683" width="20.85546875" style="433" customWidth="1"/>
    <col min="7684" max="7684" width="57.85546875" style="433" bestFit="1" customWidth="1"/>
    <col min="7685" max="7685" width="9.28515625" style="433" bestFit="1" customWidth="1"/>
    <col min="7686" max="7686" width="11.42578125" style="433" bestFit="1" customWidth="1"/>
    <col min="7687" max="7687" width="29.85546875" style="433" bestFit="1" customWidth="1"/>
    <col min="7688" max="7688" width="23.7109375" style="433" customWidth="1"/>
    <col min="7689" max="7689" width="11.7109375" style="433" bestFit="1" customWidth="1"/>
    <col min="7690" max="7690" width="20.28515625" style="433" bestFit="1" customWidth="1"/>
    <col min="7691" max="7691" width="18.85546875" style="433" bestFit="1" customWidth="1"/>
    <col min="7692" max="7694" width="6.140625" style="433" bestFit="1" customWidth="1"/>
    <col min="7695" max="7697" width="11.42578125" style="433" bestFit="1" customWidth="1"/>
    <col min="7698" max="7700" width="6.140625" style="433" bestFit="1" customWidth="1"/>
    <col min="7701" max="7703" width="11.42578125" style="433" bestFit="1" customWidth="1"/>
    <col min="7704" max="7706" width="6.140625" style="433" bestFit="1" customWidth="1"/>
    <col min="7707" max="7709" width="11.42578125" style="433" bestFit="1" customWidth="1"/>
    <col min="7710" max="7711" width="6.140625" style="433" bestFit="1" customWidth="1"/>
    <col min="7712" max="7712" width="5" style="433" bestFit="1" customWidth="1"/>
    <col min="7713" max="7715" width="11.42578125" style="433" bestFit="1" customWidth="1"/>
    <col min="7716" max="7717" width="12.5703125" style="433" bestFit="1" customWidth="1"/>
    <col min="7718" max="7721" width="10.7109375" style="433" customWidth="1"/>
    <col min="7722" max="7722" width="14.85546875" style="433" bestFit="1" customWidth="1"/>
    <col min="7723" max="7723" width="15.85546875" style="433" bestFit="1" customWidth="1"/>
    <col min="7724" max="7724" width="36.140625" style="433" bestFit="1" customWidth="1"/>
    <col min="7725" max="7936" width="11.42578125" style="433"/>
    <col min="7937" max="7937" width="5" style="433" bestFit="1" customWidth="1"/>
    <col min="7938" max="7938" width="15.5703125" style="433" customWidth="1"/>
    <col min="7939" max="7939" width="20.85546875" style="433" customWidth="1"/>
    <col min="7940" max="7940" width="57.85546875" style="433" bestFit="1" customWidth="1"/>
    <col min="7941" max="7941" width="9.28515625" style="433" bestFit="1" customWidth="1"/>
    <col min="7942" max="7942" width="11.42578125" style="433" bestFit="1" customWidth="1"/>
    <col min="7943" max="7943" width="29.85546875" style="433" bestFit="1" customWidth="1"/>
    <col min="7944" max="7944" width="23.7109375" style="433" customWidth="1"/>
    <col min="7945" max="7945" width="11.7109375" style="433" bestFit="1" customWidth="1"/>
    <col min="7946" max="7946" width="20.28515625" style="433" bestFit="1" customWidth="1"/>
    <col min="7947" max="7947" width="18.85546875" style="433" bestFit="1" customWidth="1"/>
    <col min="7948" max="7950" width="6.140625" style="433" bestFit="1" customWidth="1"/>
    <col min="7951" max="7953" width="11.42578125" style="433" bestFit="1" customWidth="1"/>
    <col min="7954" max="7956" width="6.140625" style="433" bestFit="1" customWidth="1"/>
    <col min="7957" max="7959" width="11.42578125" style="433" bestFit="1" customWidth="1"/>
    <col min="7960" max="7962" width="6.140625" style="433" bestFit="1" customWidth="1"/>
    <col min="7963" max="7965" width="11.42578125" style="433" bestFit="1" customWidth="1"/>
    <col min="7966" max="7967" width="6.140625" style="433" bestFit="1" customWidth="1"/>
    <col min="7968" max="7968" width="5" style="433" bestFit="1" customWidth="1"/>
    <col min="7969" max="7971" width="11.42578125" style="433" bestFit="1" customWidth="1"/>
    <col min="7972" max="7973" width="12.5703125" style="433" bestFit="1" customWidth="1"/>
    <col min="7974" max="7977" width="10.7109375" style="433" customWidth="1"/>
    <col min="7978" max="7978" width="14.85546875" style="433" bestFit="1" customWidth="1"/>
    <col min="7979" max="7979" width="15.85546875" style="433" bestFit="1" customWidth="1"/>
    <col min="7980" max="7980" width="36.140625" style="433" bestFit="1" customWidth="1"/>
    <col min="7981" max="8192" width="11.42578125" style="433"/>
    <col min="8193" max="8193" width="5" style="433" bestFit="1" customWidth="1"/>
    <col min="8194" max="8194" width="15.5703125" style="433" customWidth="1"/>
    <col min="8195" max="8195" width="20.85546875" style="433" customWidth="1"/>
    <col min="8196" max="8196" width="57.85546875" style="433" bestFit="1" customWidth="1"/>
    <col min="8197" max="8197" width="9.28515625" style="433" bestFit="1" customWidth="1"/>
    <col min="8198" max="8198" width="11.42578125" style="433" bestFit="1" customWidth="1"/>
    <col min="8199" max="8199" width="29.85546875" style="433" bestFit="1" customWidth="1"/>
    <col min="8200" max="8200" width="23.7109375" style="433" customWidth="1"/>
    <col min="8201" max="8201" width="11.7109375" style="433" bestFit="1" customWidth="1"/>
    <col min="8202" max="8202" width="20.28515625" style="433" bestFit="1" customWidth="1"/>
    <col min="8203" max="8203" width="18.85546875" style="433" bestFit="1" customWidth="1"/>
    <col min="8204" max="8206" width="6.140625" style="433" bestFit="1" customWidth="1"/>
    <col min="8207" max="8209" width="11.42578125" style="433" bestFit="1" customWidth="1"/>
    <col min="8210" max="8212" width="6.140625" style="433" bestFit="1" customWidth="1"/>
    <col min="8213" max="8215" width="11.42578125" style="433" bestFit="1" customWidth="1"/>
    <col min="8216" max="8218" width="6.140625" style="433" bestFit="1" customWidth="1"/>
    <col min="8219" max="8221" width="11.42578125" style="433" bestFit="1" customWidth="1"/>
    <col min="8222" max="8223" width="6.140625" style="433" bestFit="1" customWidth="1"/>
    <col min="8224" max="8224" width="5" style="433" bestFit="1" customWidth="1"/>
    <col min="8225" max="8227" width="11.42578125" style="433" bestFit="1" customWidth="1"/>
    <col min="8228" max="8229" width="12.5703125" style="433" bestFit="1" customWidth="1"/>
    <col min="8230" max="8233" width="10.7109375" style="433" customWidth="1"/>
    <col min="8234" max="8234" width="14.85546875" style="433" bestFit="1" customWidth="1"/>
    <col min="8235" max="8235" width="15.85546875" style="433" bestFit="1" customWidth="1"/>
    <col min="8236" max="8236" width="36.140625" style="433" bestFit="1" customWidth="1"/>
    <col min="8237" max="8448" width="11.42578125" style="433"/>
    <col min="8449" max="8449" width="5" style="433" bestFit="1" customWidth="1"/>
    <col min="8450" max="8450" width="15.5703125" style="433" customWidth="1"/>
    <col min="8451" max="8451" width="20.85546875" style="433" customWidth="1"/>
    <col min="8452" max="8452" width="57.85546875" style="433" bestFit="1" customWidth="1"/>
    <col min="8453" max="8453" width="9.28515625" style="433" bestFit="1" customWidth="1"/>
    <col min="8454" max="8454" width="11.42578125" style="433" bestFit="1" customWidth="1"/>
    <col min="8455" max="8455" width="29.85546875" style="433" bestFit="1" customWidth="1"/>
    <col min="8456" max="8456" width="23.7109375" style="433" customWidth="1"/>
    <col min="8457" max="8457" width="11.7109375" style="433" bestFit="1" customWidth="1"/>
    <col min="8458" max="8458" width="20.28515625" style="433" bestFit="1" customWidth="1"/>
    <col min="8459" max="8459" width="18.85546875" style="433" bestFit="1" customWidth="1"/>
    <col min="8460" max="8462" width="6.140625" style="433" bestFit="1" customWidth="1"/>
    <col min="8463" max="8465" width="11.42578125" style="433" bestFit="1" customWidth="1"/>
    <col min="8466" max="8468" width="6.140625" style="433" bestFit="1" customWidth="1"/>
    <col min="8469" max="8471" width="11.42578125" style="433" bestFit="1" customWidth="1"/>
    <col min="8472" max="8474" width="6.140625" style="433" bestFit="1" customWidth="1"/>
    <col min="8475" max="8477" width="11.42578125" style="433" bestFit="1" customWidth="1"/>
    <col min="8478" max="8479" width="6.140625" style="433" bestFit="1" customWidth="1"/>
    <col min="8480" max="8480" width="5" style="433" bestFit="1" customWidth="1"/>
    <col min="8481" max="8483" width="11.42578125" style="433" bestFit="1" customWidth="1"/>
    <col min="8484" max="8485" width="12.5703125" style="433" bestFit="1" customWidth="1"/>
    <col min="8486" max="8489" width="10.7109375" style="433" customWidth="1"/>
    <col min="8490" max="8490" width="14.85546875" style="433" bestFit="1" customWidth="1"/>
    <col min="8491" max="8491" width="15.85546875" style="433" bestFit="1" customWidth="1"/>
    <col min="8492" max="8492" width="36.140625" style="433" bestFit="1" customWidth="1"/>
    <col min="8493" max="8704" width="11.42578125" style="433"/>
    <col min="8705" max="8705" width="5" style="433" bestFit="1" customWidth="1"/>
    <col min="8706" max="8706" width="15.5703125" style="433" customWidth="1"/>
    <col min="8707" max="8707" width="20.85546875" style="433" customWidth="1"/>
    <col min="8708" max="8708" width="57.85546875" style="433" bestFit="1" customWidth="1"/>
    <col min="8709" max="8709" width="9.28515625" style="433" bestFit="1" customWidth="1"/>
    <col min="8710" max="8710" width="11.42578125" style="433" bestFit="1" customWidth="1"/>
    <col min="8711" max="8711" width="29.85546875" style="433" bestFit="1" customWidth="1"/>
    <col min="8712" max="8712" width="23.7109375" style="433" customWidth="1"/>
    <col min="8713" max="8713" width="11.7109375" style="433" bestFit="1" customWidth="1"/>
    <col min="8714" max="8714" width="20.28515625" style="433" bestFit="1" customWidth="1"/>
    <col min="8715" max="8715" width="18.85546875" style="433" bestFit="1" customWidth="1"/>
    <col min="8716" max="8718" width="6.140625" style="433" bestFit="1" customWidth="1"/>
    <col min="8719" max="8721" width="11.42578125" style="433" bestFit="1" customWidth="1"/>
    <col min="8722" max="8724" width="6.140625" style="433" bestFit="1" customWidth="1"/>
    <col min="8725" max="8727" width="11.42578125" style="433" bestFit="1" customWidth="1"/>
    <col min="8728" max="8730" width="6.140625" style="433" bestFit="1" customWidth="1"/>
    <col min="8731" max="8733" width="11.42578125" style="433" bestFit="1" customWidth="1"/>
    <col min="8734" max="8735" width="6.140625" style="433" bestFit="1" customWidth="1"/>
    <col min="8736" max="8736" width="5" style="433" bestFit="1" customWidth="1"/>
    <col min="8737" max="8739" width="11.42578125" style="433" bestFit="1" customWidth="1"/>
    <col min="8740" max="8741" width="12.5703125" style="433" bestFit="1" customWidth="1"/>
    <col min="8742" max="8745" width="10.7109375" style="433" customWidth="1"/>
    <col min="8746" max="8746" width="14.85546875" style="433" bestFit="1" customWidth="1"/>
    <col min="8747" max="8747" width="15.85546875" style="433" bestFit="1" customWidth="1"/>
    <col min="8748" max="8748" width="36.140625" style="433" bestFit="1" customWidth="1"/>
    <col min="8749" max="8960" width="11.42578125" style="433"/>
    <col min="8961" max="8961" width="5" style="433" bestFit="1" customWidth="1"/>
    <col min="8962" max="8962" width="15.5703125" style="433" customWidth="1"/>
    <col min="8963" max="8963" width="20.85546875" style="433" customWidth="1"/>
    <col min="8964" max="8964" width="57.85546875" style="433" bestFit="1" customWidth="1"/>
    <col min="8965" max="8965" width="9.28515625" style="433" bestFit="1" customWidth="1"/>
    <col min="8966" max="8966" width="11.42578125" style="433" bestFit="1" customWidth="1"/>
    <col min="8967" max="8967" width="29.85546875" style="433" bestFit="1" customWidth="1"/>
    <col min="8968" max="8968" width="23.7109375" style="433" customWidth="1"/>
    <col min="8969" max="8969" width="11.7109375" style="433" bestFit="1" customWidth="1"/>
    <col min="8970" max="8970" width="20.28515625" style="433" bestFit="1" customWidth="1"/>
    <col min="8971" max="8971" width="18.85546875" style="433" bestFit="1" customWidth="1"/>
    <col min="8972" max="8974" width="6.140625" style="433" bestFit="1" customWidth="1"/>
    <col min="8975" max="8977" width="11.42578125" style="433" bestFit="1" customWidth="1"/>
    <col min="8978" max="8980" width="6.140625" style="433" bestFit="1" customWidth="1"/>
    <col min="8981" max="8983" width="11.42578125" style="433" bestFit="1" customWidth="1"/>
    <col min="8984" max="8986" width="6.140625" style="433" bestFit="1" customWidth="1"/>
    <col min="8987" max="8989" width="11.42578125" style="433" bestFit="1" customWidth="1"/>
    <col min="8990" max="8991" width="6.140625" style="433" bestFit="1" customWidth="1"/>
    <col min="8992" max="8992" width="5" style="433" bestFit="1" customWidth="1"/>
    <col min="8993" max="8995" width="11.42578125" style="433" bestFit="1" customWidth="1"/>
    <col min="8996" max="8997" width="12.5703125" style="433" bestFit="1" customWidth="1"/>
    <col min="8998" max="9001" width="10.7109375" style="433" customWidth="1"/>
    <col min="9002" max="9002" width="14.85546875" style="433" bestFit="1" customWidth="1"/>
    <col min="9003" max="9003" width="15.85546875" style="433" bestFit="1" customWidth="1"/>
    <col min="9004" max="9004" width="36.140625" style="433" bestFit="1" customWidth="1"/>
    <col min="9005" max="9216" width="11.42578125" style="433"/>
    <col min="9217" max="9217" width="5" style="433" bestFit="1" customWidth="1"/>
    <col min="9218" max="9218" width="15.5703125" style="433" customWidth="1"/>
    <col min="9219" max="9219" width="20.85546875" style="433" customWidth="1"/>
    <col min="9220" max="9220" width="57.85546875" style="433" bestFit="1" customWidth="1"/>
    <col min="9221" max="9221" width="9.28515625" style="433" bestFit="1" customWidth="1"/>
    <col min="9222" max="9222" width="11.42578125" style="433" bestFit="1" customWidth="1"/>
    <col min="9223" max="9223" width="29.85546875" style="433" bestFit="1" customWidth="1"/>
    <col min="9224" max="9224" width="23.7109375" style="433" customWidth="1"/>
    <col min="9225" max="9225" width="11.7109375" style="433" bestFit="1" customWidth="1"/>
    <col min="9226" max="9226" width="20.28515625" style="433" bestFit="1" customWidth="1"/>
    <col min="9227" max="9227" width="18.85546875" style="433" bestFit="1" customWidth="1"/>
    <col min="9228" max="9230" width="6.140625" style="433" bestFit="1" customWidth="1"/>
    <col min="9231" max="9233" width="11.42578125" style="433" bestFit="1" customWidth="1"/>
    <col min="9234" max="9236" width="6.140625" style="433" bestFit="1" customWidth="1"/>
    <col min="9237" max="9239" width="11.42578125" style="433" bestFit="1" customWidth="1"/>
    <col min="9240" max="9242" width="6.140625" style="433" bestFit="1" customWidth="1"/>
    <col min="9243" max="9245" width="11.42578125" style="433" bestFit="1" customWidth="1"/>
    <col min="9246" max="9247" width="6.140625" style="433" bestFit="1" customWidth="1"/>
    <col min="9248" max="9248" width="5" style="433" bestFit="1" customWidth="1"/>
    <col min="9249" max="9251" width="11.42578125" style="433" bestFit="1" customWidth="1"/>
    <col min="9252" max="9253" width="12.5703125" style="433" bestFit="1" customWidth="1"/>
    <col min="9254" max="9257" width="10.7109375" style="433" customWidth="1"/>
    <col min="9258" max="9258" width="14.85546875" style="433" bestFit="1" customWidth="1"/>
    <col min="9259" max="9259" width="15.85546875" style="433" bestFit="1" customWidth="1"/>
    <col min="9260" max="9260" width="36.140625" style="433" bestFit="1" customWidth="1"/>
    <col min="9261" max="9472" width="11.42578125" style="433"/>
    <col min="9473" max="9473" width="5" style="433" bestFit="1" customWidth="1"/>
    <col min="9474" max="9474" width="15.5703125" style="433" customWidth="1"/>
    <col min="9475" max="9475" width="20.85546875" style="433" customWidth="1"/>
    <col min="9476" max="9476" width="57.85546875" style="433" bestFit="1" customWidth="1"/>
    <col min="9477" max="9477" width="9.28515625" style="433" bestFit="1" customWidth="1"/>
    <col min="9478" max="9478" width="11.42578125" style="433" bestFit="1" customWidth="1"/>
    <col min="9479" max="9479" width="29.85546875" style="433" bestFit="1" customWidth="1"/>
    <col min="9480" max="9480" width="23.7109375" style="433" customWidth="1"/>
    <col min="9481" max="9481" width="11.7109375" style="433" bestFit="1" customWidth="1"/>
    <col min="9482" max="9482" width="20.28515625" style="433" bestFit="1" customWidth="1"/>
    <col min="9483" max="9483" width="18.85546875" style="433" bestFit="1" customWidth="1"/>
    <col min="9484" max="9486" width="6.140625" style="433" bestFit="1" customWidth="1"/>
    <col min="9487" max="9489" width="11.42578125" style="433" bestFit="1" customWidth="1"/>
    <col min="9490" max="9492" width="6.140625" style="433" bestFit="1" customWidth="1"/>
    <col min="9493" max="9495" width="11.42578125" style="433" bestFit="1" customWidth="1"/>
    <col min="9496" max="9498" width="6.140625" style="433" bestFit="1" customWidth="1"/>
    <col min="9499" max="9501" width="11.42578125" style="433" bestFit="1" customWidth="1"/>
    <col min="9502" max="9503" width="6.140625" style="433" bestFit="1" customWidth="1"/>
    <col min="9504" max="9504" width="5" style="433" bestFit="1" customWidth="1"/>
    <col min="9505" max="9507" width="11.42578125" style="433" bestFit="1" customWidth="1"/>
    <col min="9508" max="9509" width="12.5703125" style="433" bestFit="1" customWidth="1"/>
    <col min="9510" max="9513" width="10.7109375" style="433" customWidth="1"/>
    <col min="9514" max="9514" width="14.85546875" style="433" bestFit="1" customWidth="1"/>
    <col min="9515" max="9515" width="15.85546875" style="433" bestFit="1" customWidth="1"/>
    <col min="9516" max="9516" width="36.140625" style="433" bestFit="1" customWidth="1"/>
    <col min="9517" max="9728" width="11.42578125" style="433"/>
    <col min="9729" max="9729" width="5" style="433" bestFit="1" customWidth="1"/>
    <col min="9730" max="9730" width="15.5703125" style="433" customWidth="1"/>
    <col min="9731" max="9731" width="20.85546875" style="433" customWidth="1"/>
    <col min="9732" max="9732" width="57.85546875" style="433" bestFit="1" customWidth="1"/>
    <col min="9733" max="9733" width="9.28515625" style="433" bestFit="1" customWidth="1"/>
    <col min="9734" max="9734" width="11.42578125" style="433" bestFit="1" customWidth="1"/>
    <col min="9735" max="9735" width="29.85546875" style="433" bestFit="1" customWidth="1"/>
    <col min="9736" max="9736" width="23.7109375" style="433" customWidth="1"/>
    <col min="9737" max="9737" width="11.7109375" style="433" bestFit="1" customWidth="1"/>
    <col min="9738" max="9738" width="20.28515625" style="433" bestFit="1" customWidth="1"/>
    <col min="9739" max="9739" width="18.85546875" style="433" bestFit="1" customWidth="1"/>
    <col min="9740" max="9742" width="6.140625" style="433" bestFit="1" customWidth="1"/>
    <col min="9743" max="9745" width="11.42578125" style="433" bestFit="1" customWidth="1"/>
    <col min="9746" max="9748" width="6.140625" style="433" bestFit="1" customWidth="1"/>
    <col min="9749" max="9751" width="11.42578125" style="433" bestFit="1" customWidth="1"/>
    <col min="9752" max="9754" width="6.140625" style="433" bestFit="1" customWidth="1"/>
    <col min="9755" max="9757" width="11.42578125" style="433" bestFit="1" customWidth="1"/>
    <col min="9758" max="9759" width="6.140625" style="433" bestFit="1" customWidth="1"/>
    <col min="9760" max="9760" width="5" style="433" bestFit="1" customWidth="1"/>
    <col min="9761" max="9763" width="11.42578125" style="433" bestFit="1" customWidth="1"/>
    <col min="9764" max="9765" width="12.5703125" style="433" bestFit="1" customWidth="1"/>
    <col min="9766" max="9769" width="10.7109375" style="433" customWidth="1"/>
    <col min="9770" max="9770" width="14.85546875" style="433" bestFit="1" customWidth="1"/>
    <col min="9771" max="9771" width="15.85546875" style="433" bestFit="1" customWidth="1"/>
    <col min="9772" max="9772" width="36.140625" style="433" bestFit="1" customWidth="1"/>
    <col min="9773" max="9984" width="11.42578125" style="433"/>
    <col min="9985" max="9985" width="5" style="433" bestFit="1" customWidth="1"/>
    <col min="9986" max="9986" width="15.5703125" style="433" customWidth="1"/>
    <col min="9987" max="9987" width="20.85546875" style="433" customWidth="1"/>
    <col min="9988" max="9988" width="57.85546875" style="433" bestFit="1" customWidth="1"/>
    <col min="9989" max="9989" width="9.28515625" style="433" bestFit="1" customWidth="1"/>
    <col min="9990" max="9990" width="11.42578125" style="433" bestFit="1" customWidth="1"/>
    <col min="9991" max="9991" width="29.85546875" style="433" bestFit="1" customWidth="1"/>
    <col min="9992" max="9992" width="23.7109375" style="433" customWidth="1"/>
    <col min="9993" max="9993" width="11.7109375" style="433" bestFit="1" customWidth="1"/>
    <col min="9994" max="9994" width="20.28515625" style="433" bestFit="1" customWidth="1"/>
    <col min="9995" max="9995" width="18.85546875" style="433" bestFit="1" customWidth="1"/>
    <col min="9996" max="9998" width="6.140625" style="433" bestFit="1" customWidth="1"/>
    <col min="9999" max="10001" width="11.42578125" style="433" bestFit="1" customWidth="1"/>
    <col min="10002" max="10004" width="6.140625" style="433" bestFit="1" customWidth="1"/>
    <col min="10005" max="10007" width="11.42578125" style="433" bestFit="1" customWidth="1"/>
    <col min="10008" max="10010" width="6.140625" style="433" bestFit="1" customWidth="1"/>
    <col min="10011" max="10013" width="11.42578125" style="433" bestFit="1" customWidth="1"/>
    <col min="10014" max="10015" width="6.140625" style="433" bestFit="1" customWidth="1"/>
    <col min="10016" max="10016" width="5" style="433" bestFit="1" customWidth="1"/>
    <col min="10017" max="10019" width="11.42578125" style="433" bestFit="1" customWidth="1"/>
    <col min="10020" max="10021" width="12.5703125" style="433" bestFit="1" customWidth="1"/>
    <col min="10022" max="10025" width="10.7109375" style="433" customWidth="1"/>
    <col min="10026" max="10026" width="14.85546875" style="433" bestFit="1" customWidth="1"/>
    <col min="10027" max="10027" width="15.85546875" style="433" bestFit="1" customWidth="1"/>
    <col min="10028" max="10028" width="36.140625" style="433" bestFit="1" customWidth="1"/>
    <col min="10029" max="10240" width="11.42578125" style="433"/>
    <col min="10241" max="10241" width="5" style="433" bestFit="1" customWidth="1"/>
    <col min="10242" max="10242" width="15.5703125" style="433" customWidth="1"/>
    <col min="10243" max="10243" width="20.85546875" style="433" customWidth="1"/>
    <col min="10244" max="10244" width="57.85546875" style="433" bestFit="1" customWidth="1"/>
    <col min="10245" max="10245" width="9.28515625" style="433" bestFit="1" customWidth="1"/>
    <col min="10246" max="10246" width="11.42578125" style="433" bestFit="1" customWidth="1"/>
    <col min="10247" max="10247" width="29.85546875" style="433" bestFit="1" customWidth="1"/>
    <col min="10248" max="10248" width="23.7109375" style="433" customWidth="1"/>
    <col min="10249" max="10249" width="11.7109375" style="433" bestFit="1" customWidth="1"/>
    <col min="10250" max="10250" width="20.28515625" style="433" bestFit="1" customWidth="1"/>
    <col min="10251" max="10251" width="18.85546875" style="433" bestFit="1" customWidth="1"/>
    <col min="10252" max="10254" width="6.140625" style="433" bestFit="1" customWidth="1"/>
    <col min="10255" max="10257" width="11.42578125" style="433" bestFit="1" customWidth="1"/>
    <col min="10258" max="10260" width="6.140625" style="433" bestFit="1" customWidth="1"/>
    <col min="10261" max="10263" width="11.42578125" style="433" bestFit="1" customWidth="1"/>
    <col min="10264" max="10266" width="6.140625" style="433" bestFit="1" customWidth="1"/>
    <col min="10267" max="10269" width="11.42578125" style="433" bestFit="1" customWidth="1"/>
    <col min="10270" max="10271" width="6.140625" style="433" bestFit="1" customWidth="1"/>
    <col min="10272" max="10272" width="5" style="433" bestFit="1" customWidth="1"/>
    <col min="10273" max="10275" width="11.42578125" style="433" bestFit="1" customWidth="1"/>
    <col min="10276" max="10277" width="12.5703125" style="433" bestFit="1" customWidth="1"/>
    <col min="10278" max="10281" width="10.7109375" style="433" customWidth="1"/>
    <col min="10282" max="10282" width="14.85546875" style="433" bestFit="1" customWidth="1"/>
    <col min="10283" max="10283" width="15.85546875" style="433" bestFit="1" customWidth="1"/>
    <col min="10284" max="10284" width="36.140625" style="433" bestFit="1" customWidth="1"/>
    <col min="10285" max="10496" width="11.42578125" style="433"/>
    <col min="10497" max="10497" width="5" style="433" bestFit="1" customWidth="1"/>
    <col min="10498" max="10498" width="15.5703125" style="433" customWidth="1"/>
    <col min="10499" max="10499" width="20.85546875" style="433" customWidth="1"/>
    <col min="10500" max="10500" width="57.85546875" style="433" bestFit="1" customWidth="1"/>
    <col min="10501" max="10501" width="9.28515625" style="433" bestFit="1" customWidth="1"/>
    <col min="10502" max="10502" width="11.42578125" style="433" bestFit="1" customWidth="1"/>
    <col min="10503" max="10503" width="29.85546875" style="433" bestFit="1" customWidth="1"/>
    <col min="10504" max="10504" width="23.7109375" style="433" customWidth="1"/>
    <col min="10505" max="10505" width="11.7109375" style="433" bestFit="1" customWidth="1"/>
    <col min="10506" max="10506" width="20.28515625" style="433" bestFit="1" customWidth="1"/>
    <col min="10507" max="10507" width="18.85546875" style="433" bestFit="1" customWidth="1"/>
    <col min="10508" max="10510" width="6.140625" style="433" bestFit="1" customWidth="1"/>
    <col min="10511" max="10513" width="11.42578125" style="433" bestFit="1" customWidth="1"/>
    <col min="10514" max="10516" width="6.140625" style="433" bestFit="1" customWidth="1"/>
    <col min="10517" max="10519" width="11.42578125" style="433" bestFit="1" customWidth="1"/>
    <col min="10520" max="10522" width="6.140625" style="433" bestFit="1" customWidth="1"/>
    <col min="10523" max="10525" width="11.42578125" style="433" bestFit="1" customWidth="1"/>
    <col min="10526" max="10527" width="6.140625" style="433" bestFit="1" customWidth="1"/>
    <col min="10528" max="10528" width="5" style="433" bestFit="1" customWidth="1"/>
    <col min="10529" max="10531" width="11.42578125" style="433" bestFit="1" customWidth="1"/>
    <col min="10532" max="10533" width="12.5703125" style="433" bestFit="1" customWidth="1"/>
    <col min="10534" max="10537" width="10.7109375" style="433" customWidth="1"/>
    <col min="10538" max="10538" width="14.85546875" style="433" bestFit="1" customWidth="1"/>
    <col min="10539" max="10539" width="15.85546875" style="433" bestFit="1" customWidth="1"/>
    <col min="10540" max="10540" width="36.140625" style="433" bestFit="1" customWidth="1"/>
    <col min="10541" max="10752" width="11.42578125" style="433"/>
    <col min="10753" max="10753" width="5" style="433" bestFit="1" customWidth="1"/>
    <col min="10754" max="10754" width="15.5703125" style="433" customWidth="1"/>
    <col min="10755" max="10755" width="20.85546875" style="433" customWidth="1"/>
    <col min="10756" max="10756" width="57.85546875" style="433" bestFit="1" customWidth="1"/>
    <col min="10757" max="10757" width="9.28515625" style="433" bestFit="1" customWidth="1"/>
    <col min="10758" max="10758" width="11.42578125" style="433" bestFit="1" customWidth="1"/>
    <col min="10759" max="10759" width="29.85546875" style="433" bestFit="1" customWidth="1"/>
    <col min="10760" max="10760" width="23.7109375" style="433" customWidth="1"/>
    <col min="10761" max="10761" width="11.7109375" style="433" bestFit="1" customWidth="1"/>
    <col min="10762" max="10762" width="20.28515625" style="433" bestFit="1" customWidth="1"/>
    <col min="10763" max="10763" width="18.85546875" style="433" bestFit="1" customWidth="1"/>
    <col min="10764" max="10766" width="6.140625" style="433" bestFit="1" customWidth="1"/>
    <col min="10767" max="10769" width="11.42578125" style="433" bestFit="1" customWidth="1"/>
    <col min="10770" max="10772" width="6.140625" style="433" bestFit="1" customWidth="1"/>
    <col min="10773" max="10775" width="11.42578125" style="433" bestFit="1" customWidth="1"/>
    <col min="10776" max="10778" width="6.140625" style="433" bestFit="1" customWidth="1"/>
    <col min="10779" max="10781" width="11.42578125" style="433" bestFit="1" customWidth="1"/>
    <col min="10782" max="10783" width="6.140625" style="433" bestFit="1" customWidth="1"/>
    <col min="10784" max="10784" width="5" style="433" bestFit="1" customWidth="1"/>
    <col min="10785" max="10787" width="11.42578125" style="433" bestFit="1" customWidth="1"/>
    <col min="10788" max="10789" width="12.5703125" style="433" bestFit="1" customWidth="1"/>
    <col min="10790" max="10793" width="10.7109375" style="433" customWidth="1"/>
    <col min="10794" max="10794" width="14.85546875" style="433" bestFit="1" customWidth="1"/>
    <col min="10795" max="10795" width="15.85546875" style="433" bestFit="1" customWidth="1"/>
    <col min="10796" max="10796" width="36.140625" style="433" bestFit="1" customWidth="1"/>
    <col min="10797" max="11008" width="11.42578125" style="433"/>
    <col min="11009" max="11009" width="5" style="433" bestFit="1" customWidth="1"/>
    <col min="11010" max="11010" width="15.5703125" style="433" customWidth="1"/>
    <col min="11011" max="11011" width="20.85546875" style="433" customWidth="1"/>
    <col min="11012" max="11012" width="57.85546875" style="433" bestFit="1" customWidth="1"/>
    <col min="11013" max="11013" width="9.28515625" style="433" bestFit="1" customWidth="1"/>
    <col min="11014" max="11014" width="11.42578125" style="433" bestFit="1" customWidth="1"/>
    <col min="11015" max="11015" width="29.85546875" style="433" bestFit="1" customWidth="1"/>
    <col min="11016" max="11016" width="23.7109375" style="433" customWidth="1"/>
    <col min="11017" max="11017" width="11.7109375" style="433" bestFit="1" customWidth="1"/>
    <col min="11018" max="11018" width="20.28515625" style="433" bestFit="1" customWidth="1"/>
    <col min="11019" max="11019" width="18.85546875" style="433" bestFit="1" customWidth="1"/>
    <col min="11020" max="11022" width="6.140625" style="433" bestFit="1" customWidth="1"/>
    <col min="11023" max="11025" width="11.42578125" style="433" bestFit="1" customWidth="1"/>
    <col min="11026" max="11028" width="6.140625" style="433" bestFit="1" customWidth="1"/>
    <col min="11029" max="11031" width="11.42578125" style="433" bestFit="1" customWidth="1"/>
    <col min="11032" max="11034" width="6.140625" style="433" bestFit="1" customWidth="1"/>
    <col min="11035" max="11037" width="11.42578125" style="433" bestFit="1" customWidth="1"/>
    <col min="11038" max="11039" width="6.140625" style="433" bestFit="1" customWidth="1"/>
    <col min="11040" max="11040" width="5" style="433" bestFit="1" customWidth="1"/>
    <col min="11041" max="11043" width="11.42578125" style="433" bestFit="1" customWidth="1"/>
    <col min="11044" max="11045" width="12.5703125" style="433" bestFit="1" customWidth="1"/>
    <col min="11046" max="11049" width="10.7109375" style="433" customWidth="1"/>
    <col min="11050" max="11050" width="14.85546875" style="433" bestFit="1" customWidth="1"/>
    <col min="11051" max="11051" width="15.85546875" style="433" bestFit="1" customWidth="1"/>
    <col min="11052" max="11052" width="36.140625" style="433" bestFit="1" customWidth="1"/>
    <col min="11053" max="11264" width="11.42578125" style="433"/>
    <col min="11265" max="11265" width="5" style="433" bestFit="1" customWidth="1"/>
    <col min="11266" max="11266" width="15.5703125" style="433" customWidth="1"/>
    <col min="11267" max="11267" width="20.85546875" style="433" customWidth="1"/>
    <col min="11268" max="11268" width="57.85546875" style="433" bestFit="1" customWidth="1"/>
    <col min="11269" max="11269" width="9.28515625" style="433" bestFit="1" customWidth="1"/>
    <col min="11270" max="11270" width="11.42578125" style="433" bestFit="1" customWidth="1"/>
    <col min="11271" max="11271" width="29.85546875" style="433" bestFit="1" customWidth="1"/>
    <col min="11272" max="11272" width="23.7109375" style="433" customWidth="1"/>
    <col min="11273" max="11273" width="11.7109375" style="433" bestFit="1" customWidth="1"/>
    <col min="11274" max="11274" width="20.28515625" style="433" bestFit="1" customWidth="1"/>
    <col min="11275" max="11275" width="18.85546875" style="433" bestFit="1" customWidth="1"/>
    <col min="11276" max="11278" width="6.140625" style="433" bestFit="1" customWidth="1"/>
    <col min="11279" max="11281" width="11.42578125" style="433" bestFit="1" customWidth="1"/>
    <col min="11282" max="11284" width="6.140625" style="433" bestFit="1" customWidth="1"/>
    <col min="11285" max="11287" width="11.42578125" style="433" bestFit="1" customWidth="1"/>
    <col min="11288" max="11290" width="6.140625" style="433" bestFit="1" customWidth="1"/>
    <col min="11291" max="11293" width="11.42578125" style="433" bestFit="1" customWidth="1"/>
    <col min="11294" max="11295" width="6.140625" style="433" bestFit="1" customWidth="1"/>
    <col min="11296" max="11296" width="5" style="433" bestFit="1" customWidth="1"/>
    <col min="11297" max="11299" width="11.42578125" style="433" bestFit="1" customWidth="1"/>
    <col min="11300" max="11301" width="12.5703125" style="433" bestFit="1" customWidth="1"/>
    <col min="11302" max="11305" width="10.7109375" style="433" customWidth="1"/>
    <col min="11306" max="11306" width="14.85546875" style="433" bestFit="1" customWidth="1"/>
    <col min="11307" max="11307" width="15.85546875" style="433" bestFit="1" customWidth="1"/>
    <col min="11308" max="11308" width="36.140625" style="433" bestFit="1" customWidth="1"/>
    <col min="11309" max="11520" width="11.42578125" style="433"/>
    <col min="11521" max="11521" width="5" style="433" bestFit="1" customWidth="1"/>
    <col min="11522" max="11522" width="15.5703125" style="433" customWidth="1"/>
    <col min="11523" max="11523" width="20.85546875" style="433" customWidth="1"/>
    <col min="11524" max="11524" width="57.85546875" style="433" bestFit="1" customWidth="1"/>
    <col min="11525" max="11525" width="9.28515625" style="433" bestFit="1" customWidth="1"/>
    <col min="11526" max="11526" width="11.42578125" style="433" bestFit="1" customWidth="1"/>
    <col min="11527" max="11527" width="29.85546875" style="433" bestFit="1" customWidth="1"/>
    <col min="11528" max="11528" width="23.7109375" style="433" customWidth="1"/>
    <col min="11529" max="11529" width="11.7109375" style="433" bestFit="1" customWidth="1"/>
    <col min="11530" max="11530" width="20.28515625" style="433" bestFit="1" customWidth="1"/>
    <col min="11531" max="11531" width="18.85546875" style="433" bestFit="1" customWidth="1"/>
    <col min="11532" max="11534" width="6.140625" style="433" bestFit="1" customWidth="1"/>
    <col min="11535" max="11537" width="11.42578125" style="433" bestFit="1" customWidth="1"/>
    <col min="11538" max="11540" width="6.140625" style="433" bestFit="1" customWidth="1"/>
    <col min="11541" max="11543" width="11.42578125" style="433" bestFit="1" customWidth="1"/>
    <col min="11544" max="11546" width="6.140625" style="433" bestFit="1" customWidth="1"/>
    <col min="11547" max="11549" width="11.42578125" style="433" bestFit="1" customWidth="1"/>
    <col min="11550" max="11551" width="6.140625" style="433" bestFit="1" customWidth="1"/>
    <col min="11552" max="11552" width="5" style="433" bestFit="1" customWidth="1"/>
    <col min="11553" max="11555" width="11.42578125" style="433" bestFit="1" customWidth="1"/>
    <col min="11556" max="11557" width="12.5703125" style="433" bestFit="1" customWidth="1"/>
    <col min="11558" max="11561" width="10.7109375" style="433" customWidth="1"/>
    <col min="11562" max="11562" width="14.85546875" style="433" bestFit="1" customWidth="1"/>
    <col min="11563" max="11563" width="15.85546875" style="433" bestFit="1" customWidth="1"/>
    <col min="11564" max="11564" width="36.140625" style="433" bestFit="1" customWidth="1"/>
    <col min="11565" max="11776" width="11.42578125" style="433"/>
    <col min="11777" max="11777" width="5" style="433" bestFit="1" customWidth="1"/>
    <col min="11778" max="11778" width="15.5703125" style="433" customWidth="1"/>
    <col min="11779" max="11779" width="20.85546875" style="433" customWidth="1"/>
    <col min="11780" max="11780" width="57.85546875" style="433" bestFit="1" customWidth="1"/>
    <col min="11781" max="11781" width="9.28515625" style="433" bestFit="1" customWidth="1"/>
    <col min="11782" max="11782" width="11.42578125" style="433" bestFit="1" customWidth="1"/>
    <col min="11783" max="11783" width="29.85546875" style="433" bestFit="1" customWidth="1"/>
    <col min="11784" max="11784" width="23.7109375" style="433" customWidth="1"/>
    <col min="11785" max="11785" width="11.7109375" style="433" bestFit="1" customWidth="1"/>
    <col min="11786" max="11786" width="20.28515625" style="433" bestFit="1" customWidth="1"/>
    <col min="11787" max="11787" width="18.85546875" style="433" bestFit="1" customWidth="1"/>
    <col min="11788" max="11790" width="6.140625" style="433" bestFit="1" customWidth="1"/>
    <col min="11791" max="11793" width="11.42578125" style="433" bestFit="1" customWidth="1"/>
    <col min="11794" max="11796" width="6.140625" style="433" bestFit="1" customWidth="1"/>
    <col min="11797" max="11799" width="11.42578125" style="433" bestFit="1" customWidth="1"/>
    <col min="11800" max="11802" width="6.140625" style="433" bestFit="1" customWidth="1"/>
    <col min="11803" max="11805" width="11.42578125" style="433" bestFit="1" customWidth="1"/>
    <col min="11806" max="11807" width="6.140625" style="433" bestFit="1" customWidth="1"/>
    <col min="11808" max="11808" width="5" style="433" bestFit="1" customWidth="1"/>
    <col min="11809" max="11811" width="11.42578125" style="433" bestFit="1" customWidth="1"/>
    <col min="11812" max="11813" width="12.5703125" style="433" bestFit="1" customWidth="1"/>
    <col min="11814" max="11817" width="10.7109375" style="433" customWidth="1"/>
    <col min="11818" max="11818" width="14.85546875" style="433" bestFit="1" customWidth="1"/>
    <col min="11819" max="11819" width="15.85546875" style="433" bestFit="1" customWidth="1"/>
    <col min="11820" max="11820" width="36.140625" style="433" bestFit="1" customWidth="1"/>
    <col min="11821" max="12032" width="11.42578125" style="433"/>
    <col min="12033" max="12033" width="5" style="433" bestFit="1" customWidth="1"/>
    <col min="12034" max="12034" width="15.5703125" style="433" customWidth="1"/>
    <col min="12035" max="12035" width="20.85546875" style="433" customWidth="1"/>
    <col min="12036" max="12036" width="57.85546875" style="433" bestFit="1" customWidth="1"/>
    <col min="12037" max="12037" width="9.28515625" style="433" bestFit="1" customWidth="1"/>
    <col min="12038" max="12038" width="11.42578125" style="433" bestFit="1" customWidth="1"/>
    <col min="12039" max="12039" width="29.85546875" style="433" bestFit="1" customWidth="1"/>
    <col min="12040" max="12040" width="23.7109375" style="433" customWidth="1"/>
    <col min="12041" max="12041" width="11.7109375" style="433" bestFit="1" customWidth="1"/>
    <col min="12042" max="12042" width="20.28515625" style="433" bestFit="1" customWidth="1"/>
    <col min="12043" max="12043" width="18.85546875" style="433" bestFit="1" customWidth="1"/>
    <col min="12044" max="12046" width="6.140625" style="433" bestFit="1" customWidth="1"/>
    <col min="12047" max="12049" width="11.42578125" style="433" bestFit="1" customWidth="1"/>
    <col min="12050" max="12052" width="6.140625" style="433" bestFit="1" customWidth="1"/>
    <col min="12053" max="12055" width="11.42578125" style="433" bestFit="1" customWidth="1"/>
    <col min="12056" max="12058" width="6.140625" style="433" bestFit="1" customWidth="1"/>
    <col min="12059" max="12061" width="11.42578125" style="433" bestFit="1" customWidth="1"/>
    <col min="12062" max="12063" width="6.140625" style="433" bestFit="1" customWidth="1"/>
    <col min="12064" max="12064" width="5" style="433" bestFit="1" customWidth="1"/>
    <col min="12065" max="12067" width="11.42578125" style="433" bestFit="1" customWidth="1"/>
    <col min="12068" max="12069" width="12.5703125" style="433" bestFit="1" customWidth="1"/>
    <col min="12070" max="12073" width="10.7109375" style="433" customWidth="1"/>
    <col min="12074" max="12074" width="14.85546875" style="433" bestFit="1" customWidth="1"/>
    <col min="12075" max="12075" width="15.85546875" style="433" bestFit="1" customWidth="1"/>
    <col min="12076" max="12076" width="36.140625" style="433" bestFit="1" customWidth="1"/>
    <col min="12077" max="12288" width="11.42578125" style="433"/>
    <col min="12289" max="12289" width="5" style="433" bestFit="1" customWidth="1"/>
    <col min="12290" max="12290" width="15.5703125" style="433" customWidth="1"/>
    <col min="12291" max="12291" width="20.85546875" style="433" customWidth="1"/>
    <col min="12292" max="12292" width="57.85546875" style="433" bestFit="1" customWidth="1"/>
    <col min="12293" max="12293" width="9.28515625" style="433" bestFit="1" customWidth="1"/>
    <col min="12294" max="12294" width="11.42578125" style="433" bestFit="1" customWidth="1"/>
    <col min="12295" max="12295" width="29.85546875" style="433" bestFit="1" customWidth="1"/>
    <col min="12296" max="12296" width="23.7109375" style="433" customWidth="1"/>
    <col min="12297" max="12297" width="11.7109375" style="433" bestFit="1" customWidth="1"/>
    <col min="12298" max="12298" width="20.28515625" style="433" bestFit="1" customWidth="1"/>
    <col min="12299" max="12299" width="18.85546875" style="433" bestFit="1" customWidth="1"/>
    <col min="12300" max="12302" width="6.140625" style="433" bestFit="1" customWidth="1"/>
    <col min="12303" max="12305" width="11.42578125" style="433" bestFit="1" customWidth="1"/>
    <col min="12306" max="12308" width="6.140625" style="433" bestFit="1" customWidth="1"/>
    <col min="12309" max="12311" width="11.42578125" style="433" bestFit="1" customWidth="1"/>
    <col min="12312" max="12314" width="6.140625" style="433" bestFit="1" customWidth="1"/>
    <col min="12315" max="12317" width="11.42578125" style="433" bestFit="1" customWidth="1"/>
    <col min="12318" max="12319" width="6.140625" style="433" bestFit="1" customWidth="1"/>
    <col min="12320" max="12320" width="5" style="433" bestFit="1" customWidth="1"/>
    <col min="12321" max="12323" width="11.42578125" style="433" bestFit="1" customWidth="1"/>
    <col min="12324" max="12325" width="12.5703125" style="433" bestFit="1" customWidth="1"/>
    <col min="12326" max="12329" width="10.7109375" style="433" customWidth="1"/>
    <col min="12330" max="12330" width="14.85546875" style="433" bestFit="1" customWidth="1"/>
    <col min="12331" max="12331" width="15.85546875" style="433" bestFit="1" customWidth="1"/>
    <col min="12332" max="12332" width="36.140625" style="433" bestFit="1" customWidth="1"/>
    <col min="12333" max="12544" width="11.42578125" style="433"/>
    <col min="12545" max="12545" width="5" style="433" bestFit="1" customWidth="1"/>
    <col min="12546" max="12546" width="15.5703125" style="433" customWidth="1"/>
    <col min="12547" max="12547" width="20.85546875" style="433" customWidth="1"/>
    <col min="12548" max="12548" width="57.85546875" style="433" bestFit="1" customWidth="1"/>
    <col min="12549" max="12549" width="9.28515625" style="433" bestFit="1" customWidth="1"/>
    <col min="12550" max="12550" width="11.42578125" style="433" bestFit="1" customWidth="1"/>
    <col min="12551" max="12551" width="29.85546875" style="433" bestFit="1" customWidth="1"/>
    <col min="12552" max="12552" width="23.7109375" style="433" customWidth="1"/>
    <col min="12553" max="12553" width="11.7109375" style="433" bestFit="1" customWidth="1"/>
    <col min="12554" max="12554" width="20.28515625" style="433" bestFit="1" customWidth="1"/>
    <col min="12555" max="12555" width="18.85546875" style="433" bestFit="1" customWidth="1"/>
    <col min="12556" max="12558" width="6.140625" style="433" bestFit="1" customWidth="1"/>
    <col min="12559" max="12561" width="11.42578125" style="433" bestFit="1" customWidth="1"/>
    <col min="12562" max="12564" width="6.140625" style="433" bestFit="1" customWidth="1"/>
    <col min="12565" max="12567" width="11.42578125" style="433" bestFit="1" customWidth="1"/>
    <col min="12568" max="12570" width="6.140625" style="433" bestFit="1" customWidth="1"/>
    <col min="12571" max="12573" width="11.42578125" style="433" bestFit="1" customWidth="1"/>
    <col min="12574" max="12575" width="6.140625" style="433" bestFit="1" customWidth="1"/>
    <col min="12576" max="12576" width="5" style="433" bestFit="1" customWidth="1"/>
    <col min="12577" max="12579" width="11.42578125" style="433" bestFit="1" customWidth="1"/>
    <col min="12580" max="12581" width="12.5703125" style="433" bestFit="1" customWidth="1"/>
    <col min="12582" max="12585" width="10.7109375" style="433" customWidth="1"/>
    <col min="12586" max="12586" width="14.85546875" style="433" bestFit="1" customWidth="1"/>
    <col min="12587" max="12587" width="15.85546875" style="433" bestFit="1" customWidth="1"/>
    <col min="12588" max="12588" width="36.140625" style="433" bestFit="1" customWidth="1"/>
    <col min="12589" max="12800" width="11.42578125" style="433"/>
    <col min="12801" max="12801" width="5" style="433" bestFit="1" customWidth="1"/>
    <col min="12802" max="12802" width="15.5703125" style="433" customWidth="1"/>
    <col min="12803" max="12803" width="20.85546875" style="433" customWidth="1"/>
    <col min="12804" max="12804" width="57.85546875" style="433" bestFit="1" customWidth="1"/>
    <col min="12805" max="12805" width="9.28515625" style="433" bestFit="1" customWidth="1"/>
    <col min="12806" max="12806" width="11.42578125" style="433" bestFit="1" customWidth="1"/>
    <col min="12807" max="12807" width="29.85546875" style="433" bestFit="1" customWidth="1"/>
    <col min="12808" max="12808" width="23.7109375" style="433" customWidth="1"/>
    <col min="12809" max="12809" width="11.7109375" style="433" bestFit="1" customWidth="1"/>
    <col min="12810" max="12810" width="20.28515625" style="433" bestFit="1" customWidth="1"/>
    <col min="12811" max="12811" width="18.85546875" style="433" bestFit="1" customWidth="1"/>
    <col min="12812" max="12814" width="6.140625" style="433" bestFit="1" customWidth="1"/>
    <col min="12815" max="12817" width="11.42578125" style="433" bestFit="1" customWidth="1"/>
    <col min="12818" max="12820" width="6.140625" style="433" bestFit="1" customWidth="1"/>
    <col min="12821" max="12823" width="11.42578125" style="433" bestFit="1" customWidth="1"/>
    <col min="12824" max="12826" width="6.140625" style="433" bestFit="1" customWidth="1"/>
    <col min="12827" max="12829" width="11.42578125" style="433" bestFit="1" customWidth="1"/>
    <col min="12830" max="12831" width="6.140625" style="433" bestFit="1" customWidth="1"/>
    <col min="12832" max="12832" width="5" style="433" bestFit="1" customWidth="1"/>
    <col min="12833" max="12835" width="11.42578125" style="433" bestFit="1" customWidth="1"/>
    <col min="12836" max="12837" width="12.5703125" style="433" bestFit="1" customWidth="1"/>
    <col min="12838" max="12841" width="10.7109375" style="433" customWidth="1"/>
    <col min="12842" max="12842" width="14.85546875" style="433" bestFit="1" customWidth="1"/>
    <col min="12843" max="12843" width="15.85546875" style="433" bestFit="1" customWidth="1"/>
    <col min="12844" max="12844" width="36.140625" style="433" bestFit="1" customWidth="1"/>
    <col min="12845" max="13056" width="11.42578125" style="433"/>
    <col min="13057" max="13057" width="5" style="433" bestFit="1" customWidth="1"/>
    <col min="13058" max="13058" width="15.5703125" style="433" customWidth="1"/>
    <col min="13059" max="13059" width="20.85546875" style="433" customWidth="1"/>
    <col min="13060" max="13060" width="57.85546875" style="433" bestFit="1" customWidth="1"/>
    <col min="13061" max="13061" width="9.28515625" style="433" bestFit="1" customWidth="1"/>
    <col min="13062" max="13062" width="11.42578125" style="433" bestFit="1" customWidth="1"/>
    <col min="13063" max="13063" width="29.85546875" style="433" bestFit="1" customWidth="1"/>
    <col min="13064" max="13064" width="23.7109375" style="433" customWidth="1"/>
    <col min="13065" max="13065" width="11.7109375" style="433" bestFit="1" customWidth="1"/>
    <col min="13066" max="13066" width="20.28515625" style="433" bestFit="1" customWidth="1"/>
    <col min="13067" max="13067" width="18.85546875" style="433" bestFit="1" customWidth="1"/>
    <col min="13068" max="13070" width="6.140625" style="433" bestFit="1" customWidth="1"/>
    <col min="13071" max="13073" width="11.42578125" style="433" bestFit="1" customWidth="1"/>
    <col min="13074" max="13076" width="6.140625" style="433" bestFit="1" customWidth="1"/>
    <col min="13077" max="13079" width="11.42578125" style="433" bestFit="1" customWidth="1"/>
    <col min="13080" max="13082" width="6.140625" style="433" bestFit="1" customWidth="1"/>
    <col min="13083" max="13085" width="11.42578125" style="433" bestFit="1" customWidth="1"/>
    <col min="13086" max="13087" width="6.140625" style="433" bestFit="1" customWidth="1"/>
    <col min="13088" max="13088" width="5" style="433" bestFit="1" customWidth="1"/>
    <col min="13089" max="13091" width="11.42578125" style="433" bestFit="1" customWidth="1"/>
    <col min="13092" max="13093" width="12.5703125" style="433" bestFit="1" customWidth="1"/>
    <col min="13094" max="13097" width="10.7109375" style="433" customWidth="1"/>
    <col min="13098" max="13098" width="14.85546875" style="433" bestFit="1" customWidth="1"/>
    <col min="13099" max="13099" width="15.85546875" style="433" bestFit="1" customWidth="1"/>
    <col min="13100" max="13100" width="36.140625" style="433" bestFit="1" customWidth="1"/>
    <col min="13101" max="13312" width="11.42578125" style="433"/>
    <col min="13313" max="13313" width="5" style="433" bestFit="1" customWidth="1"/>
    <col min="13314" max="13314" width="15.5703125" style="433" customWidth="1"/>
    <col min="13315" max="13315" width="20.85546875" style="433" customWidth="1"/>
    <col min="13316" max="13316" width="57.85546875" style="433" bestFit="1" customWidth="1"/>
    <col min="13317" max="13317" width="9.28515625" style="433" bestFit="1" customWidth="1"/>
    <col min="13318" max="13318" width="11.42578125" style="433" bestFit="1" customWidth="1"/>
    <col min="13319" max="13319" width="29.85546875" style="433" bestFit="1" customWidth="1"/>
    <col min="13320" max="13320" width="23.7109375" style="433" customWidth="1"/>
    <col min="13321" max="13321" width="11.7109375" style="433" bestFit="1" customWidth="1"/>
    <col min="13322" max="13322" width="20.28515625" style="433" bestFit="1" customWidth="1"/>
    <col min="13323" max="13323" width="18.85546875" style="433" bestFit="1" customWidth="1"/>
    <col min="13324" max="13326" width="6.140625" style="433" bestFit="1" customWidth="1"/>
    <col min="13327" max="13329" width="11.42578125" style="433" bestFit="1" customWidth="1"/>
    <col min="13330" max="13332" width="6.140625" style="433" bestFit="1" customWidth="1"/>
    <col min="13333" max="13335" width="11.42578125" style="433" bestFit="1" customWidth="1"/>
    <col min="13336" max="13338" width="6.140625" style="433" bestFit="1" customWidth="1"/>
    <col min="13339" max="13341" width="11.42578125" style="433" bestFit="1" customWidth="1"/>
    <col min="13342" max="13343" width="6.140625" style="433" bestFit="1" customWidth="1"/>
    <col min="13344" max="13344" width="5" style="433" bestFit="1" customWidth="1"/>
    <col min="13345" max="13347" width="11.42578125" style="433" bestFit="1" customWidth="1"/>
    <col min="13348" max="13349" width="12.5703125" style="433" bestFit="1" customWidth="1"/>
    <col min="13350" max="13353" width="10.7109375" style="433" customWidth="1"/>
    <col min="13354" max="13354" width="14.85546875" style="433" bestFit="1" customWidth="1"/>
    <col min="13355" max="13355" width="15.85546875" style="433" bestFit="1" customWidth="1"/>
    <col min="13356" max="13356" width="36.140625" style="433" bestFit="1" customWidth="1"/>
    <col min="13357" max="13568" width="11.42578125" style="433"/>
    <col min="13569" max="13569" width="5" style="433" bestFit="1" customWidth="1"/>
    <col min="13570" max="13570" width="15.5703125" style="433" customWidth="1"/>
    <col min="13571" max="13571" width="20.85546875" style="433" customWidth="1"/>
    <col min="13572" max="13572" width="57.85546875" style="433" bestFit="1" customWidth="1"/>
    <col min="13573" max="13573" width="9.28515625" style="433" bestFit="1" customWidth="1"/>
    <col min="13574" max="13574" width="11.42578125" style="433" bestFit="1" customWidth="1"/>
    <col min="13575" max="13575" width="29.85546875" style="433" bestFit="1" customWidth="1"/>
    <col min="13576" max="13576" width="23.7109375" style="433" customWidth="1"/>
    <col min="13577" max="13577" width="11.7109375" style="433" bestFit="1" customWidth="1"/>
    <col min="13578" max="13578" width="20.28515625" style="433" bestFit="1" customWidth="1"/>
    <col min="13579" max="13579" width="18.85546875" style="433" bestFit="1" customWidth="1"/>
    <col min="13580" max="13582" width="6.140625" style="433" bestFit="1" customWidth="1"/>
    <col min="13583" max="13585" width="11.42578125" style="433" bestFit="1" customWidth="1"/>
    <col min="13586" max="13588" width="6.140625" style="433" bestFit="1" customWidth="1"/>
    <col min="13589" max="13591" width="11.42578125" style="433" bestFit="1" customWidth="1"/>
    <col min="13592" max="13594" width="6.140625" style="433" bestFit="1" customWidth="1"/>
    <col min="13595" max="13597" width="11.42578125" style="433" bestFit="1" customWidth="1"/>
    <col min="13598" max="13599" width="6.140625" style="433" bestFit="1" customWidth="1"/>
    <col min="13600" max="13600" width="5" style="433" bestFit="1" customWidth="1"/>
    <col min="13601" max="13603" width="11.42578125" style="433" bestFit="1" customWidth="1"/>
    <col min="13604" max="13605" width="12.5703125" style="433" bestFit="1" customWidth="1"/>
    <col min="13606" max="13609" width="10.7109375" style="433" customWidth="1"/>
    <col min="13610" max="13610" width="14.85546875" style="433" bestFit="1" customWidth="1"/>
    <col min="13611" max="13611" width="15.85546875" style="433" bestFit="1" customWidth="1"/>
    <col min="13612" max="13612" width="36.140625" style="433" bestFit="1" customWidth="1"/>
    <col min="13613" max="13824" width="11.42578125" style="433"/>
    <col min="13825" max="13825" width="5" style="433" bestFit="1" customWidth="1"/>
    <col min="13826" max="13826" width="15.5703125" style="433" customWidth="1"/>
    <col min="13827" max="13827" width="20.85546875" style="433" customWidth="1"/>
    <col min="13828" max="13828" width="57.85546875" style="433" bestFit="1" customWidth="1"/>
    <col min="13829" max="13829" width="9.28515625" style="433" bestFit="1" customWidth="1"/>
    <col min="13830" max="13830" width="11.42578125" style="433" bestFit="1" customWidth="1"/>
    <col min="13831" max="13831" width="29.85546875" style="433" bestFit="1" customWidth="1"/>
    <col min="13832" max="13832" width="23.7109375" style="433" customWidth="1"/>
    <col min="13833" max="13833" width="11.7109375" style="433" bestFit="1" customWidth="1"/>
    <col min="13834" max="13834" width="20.28515625" style="433" bestFit="1" customWidth="1"/>
    <col min="13835" max="13835" width="18.85546875" style="433" bestFit="1" customWidth="1"/>
    <col min="13836" max="13838" width="6.140625" style="433" bestFit="1" customWidth="1"/>
    <col min="13839" max="13841" width="11.42578125" style="433" bestFit="1" customWidth="1"/>
    <col min="13842" max="13844" width="6.140625" style="433" bestFit="1" customWidth="1"/>
    <col min="13845" max="13847" width="11.42578125" style="433" bestFit="1" customWidth="1"/>
    <col min="13848" max="13850" width="6.140625" style="433" bestFit="1" customWidth="1"/>
    <col min="13851" max="13853" width="11.42578125" style="433" bestFit="1" customWidth="1"/>
    <col min="13854" max="13855" width="6.140625" style="433" bestFit="1" customWidth="1"/>
    <col min="13856" max="13856" width="5" style="433" bestFit="1" customWidth="1"/>
    <col min="13857" max="13859" width="11.42578125" style="433" bestFit="1" customWidth="1"/>
    <col min="13860" max="13861" width="12.5703125" style="433" bestFit="1" customWidth="1"/>
    <col min="13862" max="13865" width="10.7109375" style="433" customWidth="1"/>
    <col min="13866" max="13866" width="14.85546875" style="433" bestFit="1" customWidth="1"/>
    <col min="13867" max="13867" width="15.85546875" style="433" bestFit="1" customWidth="1"/>
    <col min="13868" max="13868" width="36.140625" style="433" bestFit="1" customWidth="1"/>
    <col min="13869" max="14080" width="11.42578125" style="433"/>
    <col min="14081" max="14081" width="5" style="433" bestFit="1" customWidth="1"/>
    <col min="14082" max="14082" width="15.5703125" style="433" customWidth="1"/>
    <col min="14083" max="14083" width="20.85546875" style="433" customWidth="1"/>
    <col min="14084" max="14084" width="57.85546875" style="433" bestFit="1" customWidth="1"/>
    <col min="14085" max="14085" width="9.28515625" style="433" bestFit="1" customWidth="1"/>
    <col min="14086" max="14086" width="11.42578125" style="433" bestFit="1" customWidth="1"/>
    <col min="14087" max="14087" width="29.85546875" style="433" bestFit="1" customWidth="1"/>
    <col min="14088" max="14088" width="23.7109375" style="433" customWidth="1"/>
    <col min="14089" max="14089" width="11.7109375" style="433" bestFit="1" customWidth="1"/>
    <col min="14090" max="14090" width="20.28515625" style="433" bestFit="1" customWidth="1"/>
    <col min="14091" max="14091" width="18.85546875" style="433" bestFit="1" customWidth="1"/>
    <col min="14092" max="14094" width="6.140625" style="433" bestFit="1" customWidth="1"/>
    <col min="14095" max="14097" width="11.42578125" style="433" bestFit="1" customWidth="1"/>
    <col min="14098" max="14100" width="6.140625" style="433" bestFit="1" customWidth="1"/>
    <col min="14101" max="14103" width="11.42578125" style="433" bestFit="1" customWidth="1"/>
    <col min="14104" max="14106" width="6.140625" style="433" bestFit="1" customWidth="1"/>
    <col min="14107" max="14109" width="11.42578125" style="433" bestFit="1" customWidth="1"/>
    <col min="14110" max="14111" width="6.140625" style="433" bestFit="1" customWidth="1"/>
    <col min="14112" max="14112" width="5" style="433" bestFit="1" customWidth="1"/>
    <col min="14113" max="14115" width="11.42578125" style="433" bestFit="1" customWidth="1"/>
    <col min="14116" max="14117" width="12.5703125" style="433" bestFit="1" customWidth="1"/>
    <col min="14118" max="14121" width="10.7109375" style="433" customWidth="1"/>
    <col min="14122" max="14122" width="14.85546875" style="433" bestFit="1" customWidth="1"/>
    <col min="14123" max="14123" width="15.85546875" style="433" bestFit="1" customWidth="1"/>
    <col min="14124" max="14124" width="36.140625" style="433" bestFit="1" customWidth="1"/>
    <col min="14125" max="14336" width="11.42578125" style="433"/>
    <col min="14337" max="14337" width="5" style="433" bestFit="1" customWidth="1"/>
    <col min="14338" max="14338" width="15.5703125" style="433" customWidth="1"/>
    <col min="14339" max="14339" width="20.85546875" style="433" customWidth="1"/>
    <col min="14340" max="14340" width="57.85546875" style="433" bestFit="1" customWidth="1"/>
    <col min="14341" max="14341" width="9.28515625" style="433" bestFit="1" customWidth="1"/>
    <col min="14342" max="14342" width="11.42578125" style="433" bestFit="1" customWidth="1"/>
    <col min="14343" max="14343" width="29.85546875" style="433" bestFit="1" customWidth="1"/>
    <col min="14344" max="14344" width="23.7109375" style="433" customWidth="1"/>
    <col min="14345" max="14345" width="11.7109375" style="433" bestFit="1" customWidth="1"/>
    <col min="14346" max="14346" width="20.28515625" style="433" bestFit="1" customWidth="1"/>
    <col min="14347" max="14347" width="18.85546875" style="433" bestFit="1" customWidth="1"/>
    <col min="14348" max="14350" width="6.140625" style="433" bestFit="1" customWidth="1"/>
    <col min="14351" max="14353" width="11.42578125" style="433" bestFit="1" customWidth="1"/>
    <col min="14354" max="14356" width="6.140625" style="433" bestFit="1" customWidth="1"/>
    <col min="14357" max="14359" width="11.42578125" style="433" bestFit="1" customWidth="1"/>
    <col min="14360" max="14362" width="6.140625" style="433" bestFit="1" customWidth="1"/>
    <col min="14363" max="14365" width="11.42578125" style="433" bestFit="1" customWidth="1"/>
    <col min="14366" max="14367" width="6.140625" style="433" bestFit="1" customWidth="1"/>
    <col min="14368" max="14368" width="5" style="433" bestFit="1" customWidth="1"/>
    <col min="14369" max="14371" width="11.42578125" style="433" bestFit="1" customWidth="1"/>
    <col min="14372" max="14373" width="12.5703125" style="433" bestFit="1" customWidth="1"/>
    <col min="14374" max="14377" width="10.7109375" style="433" customWidth="1"/>
    <col min="14378" max="14378" width="14.85546875" style="433" bestFit="1" customWidth="1"/>
    <col min="14379" max="14379" width="15.85546875" style="433" bestFit="1" customWidth="1"/>
    <col min="14380" max="14380" width="36.140625" style="433" bestFit="1" customWidth="1"/>
    <col min="14381" max="14592" width="11.42578125" style="433"/>
    <col min="14593" max="14593" width="5" style="433" bestFit="1" customWidth="1"/>
    <col min="14594" max="14594" width="15.5703125" style="433" customWidth="1"/>
    <col min="14595" max="14595" width="20.85546875" style="433" customWidth="1"/>
    <col min="14596" max="14596" width="57.85546875" style="433" bestFit="1" customWidth="1"/>
    <col min="14597" max="14597" width="9.28515625" style="433" bestFit="1" customWidth="1"/>
    <col min="14598" max="14598" width="11.42578125" style="433" bestFit="1" customWidth="1"/>
    <col min="14599" max="14599" width="29.85546875" style="433" bestFit="1" customWidth="1"/>
    <col min="14600" max="14600" width="23.7109375" style="433" customWidth="1"/>
    <col min="14601" max="14601" width="11.7109375" style="433" bestFit="1" customWidth="1"/>
    <col min="14602" max="14602" width="20.28515625" style="433" bestFit="1" customWidth="1"/>
    <col min="14603" max="14603" width="18.85546875" style="433" bestFit="1" customWidth="1"/>
    <col min="14604" max="14606" width="6.140625" style="433" bestFit="1" customWidth="1"/>
    <col min="14607" max="14609" width="11.42578125" style="433" bestFit="1" customWidth="1"/>
    <col min="14610" max="14612" width="6.140625" style="433" bestFit="1" customWidth="1"/>
    <col min="14613" max="14615" width="11.42578125" style="433" bestFit="1" customWidth="1"/>
    <col min="14616" max="14618" width="6.140625" style="433" bestFit="1" customWidth="1"/>
    <col min="14619" max="14621" width="11.42578125" style="433" bestFit="1" customWidth="1"/>
    <col min="14622" max="14623" width="6.140625" style="433" bestFit="1" customWidth="1"/>
    <col min="14624" max="14624" width="5" style="433" bestFit="1" customWidth="1"/>
    <col min="14625" max="14627" width="11.42578125" style="433" bestFit="1" customWidth="1"/>
    <col min="14628" max="14629" width="12.5703125" style="433" bestFit="1" customWidth="1"/>
    <col min="14630" max="14633" width="10.7109375" style="433" customWidth="1"/>
    <col min="14634" max="14634" width="14.85546875" style="433" bestFit="1" customWidth="1"/>
    <col min="14635" max="14635" width="15.85546875" style="433" bestFit="1" customWidth="1"/>
    <col min="14636" max="14636" width="36.140625" style="433" bestFit="1" customWidth="1"/>
    <col min="14637" max="14848" width="11.42578125" style="433"/>
    <col min="14849" max="14849" width="5" style="433" bestFit="1" customWidth="1"/>
    <col min="14850" max="14850" width="15.5703125" style="433" customWidth="1"/>
    <col min="14851" max="14851" width="20.85546875" style="433" customWidth="1"/>
    <col min="14852" max="14852" width="57.85546875" style="433" bestFit="1" customWidth="1"/>
    <col min="14853" max="14853" width="9.28515625" style="433" bestFit="1" customWidth="1"/>
    <col min="14854" max="14854" width="11.42578125" style="433" bestFit="1" customWidth="1"/>
    <col min="14855" max="14855" width="29.85546875" style="433" bestFit="1" customWidth="1"/>
    <col min="14856" max="14856" width="23.7109375" style="433" customWidth="1"/>
    <col min="14857" max="14857" width="11.7109375" style="433" bestFit="1" customWidth="1"/>
    <col min="14858" max="14858" width="20.28515625" style="433" bestFit="1" customWidth="1"/>
    <col min="14859" max="14859" width="18.85546875" style="433" bestFit="1" customWidth="1"/>
    <col min="14860" max="14862" width="6.140625" style="433" bestFit="1" customWidth="1"/>
    <col min="14863" max="14865" width="11.42578125" style="433" bestFit="1" customWidth="1"/>
    <col min="14866" max="14868" width="6.140625" style="433" bestFit="1" customWidth="1"/>
    <col min="14869" max="14871" width="11.42578125" style="433" bestFit="1" customWidth="1"/>
    <col min="14872" max="14874" width="6.140625" style="433" bestFit="1" customWidth="1"/>
    <col min="14875" max="14877" width="11.42578125" style="433" bestFit="1" customWidth="1"/>
    <col min="14878" max="14879" width="6.140625" style="433" bestFit="1" customWidth="1"/>
    <col min="14880" max="14880" width="5" style="433" bestFit="1" customWidth="1"/>
    <col min="14881" max="14883" width="11.42578125" style="433" bestFit="1" customWidth="1"/>
    <col min="14884" max="14885" width="12.5703125" style="433" bestFit="1" customWidth="1"/>
    <col min="14886" max="14889" width="10.7109375" style="433" customWidth="1"/>
    <col min="14890" max="14890" width="14.85546875" style="433" bestFit="1" customWidth="1"/>
    <col min="14891" max="14891" width="15.85546875" style="433" bestFit="1" customWidth="1"/>
    <col min="14892" max="14892" width="36.140625" style="433" bestFit="1" customWidth="1"/>
    <col min="14893" max="15104" width="11.42578125" style="433"/>
    <col min="15105" max="15105" width="5" style="433" bestFit="1" customWidth="1"/>
    <col min="15106" max="15106" width="15.5703125" style="433" customWidth="1"/>
    <col min="15107" max="15107" width="20.85546875" style="433" customWidth="1"/>
    <col min="15108" max="15108" width="57.85546875" style="433" bestFit="1" customWidth="1"/>
    <col min="15109" max="15109" width="9.28515625" style="433" bestFit="1" customWidth="1"/>
    <col min="15110" max="15110" width="11.42578125" style="433" bestFit="1" customWidth="1"/>
    <col min="15111" max="15111" width="29.85546875" style="433" bestFit="1" customWidth="1"/>
    <col min="15112" max="15112" width="23.7109375" style="433" customWidth="1"/>
    <col min="15113" max="15113" width="11.7109375" style="433" bestFit="1" customWidth="1"/>
    <col min="15114" max="15114" width="20.28515625" style="433" bestFit="1" customWidth="1"/>
    <col min="15115" max="15115" width="18.85546875" style="433" bestFit="1" customWidth="1"/>
    <col min="15116" max="15118" width="6.140625" style="433" bestFit="1" customWidth="1"/>
    <col min="15119" max="15121" width="11.42578125" style="433" bestFit="1" customWidth="1"/>
    <col min="15122" max="15124" width="6.140625" style="433" bestFit="1" customWidth="1"/>
    <col min="15125" max="15127" width="11.42578125" style="433" bestFit="1" customWidth="1"/>
    <col min="15128" max="15130" width="6.140625" style="433" bestFit="1" customWidth="1"/>
    <col min="15131" max="15133" width="11.42578125" style="433" bestFit="1" customWidth="1"/>
    <col min="15134" max="15135" width="6.140625" style="433" bestFit="1" customWidth="1"/>
    <col min="15136" max="15136" width="5" style="433" bestFit="1" customWidth="1"/>
    <col min="15137" max="15139" width="11.42578125" style="433" bestFit="1" customWidth="1"/>
    <col min="15140" max="15141" width="12.5703125" style="433" bestFit="1" customWidth="1"/>
    <col min="15142" max="15145" width="10.7109375" style="433" customWidth="1"/>
    <col min="15146" max="15146" width="14.85546875" style="433" bestFit="1" customWidth="1"/>
    <col min="15147" max="15147" width="15.85546875" style="433" bestFit="1" customWidth="1"/>
    <col min="15148" max="15148" width="36.140625" style="433" bestFit="1" customWidth="1"/>
    <col min="15149" max="15360" width="11.42578125" style="433"/>
    <col min="15361" max="15361" width="5" style="433" bestFit="1" customWidth="1"/>
    <col min="15362" max="15362" width="15.5703125" style="433" customWidth="1"/>
    <col min="15363" max="15363" width="20.85546875" style="433" customWidth="1"/>
    <col min="15364" max="15364" width="57.85546875" style="433" bestFit="1" customWidth="1"/>
    <col min="15365" max="15365" width="9.28515625" style="433" bestFit="1" customWidth="1"/>
    <col min="15366" max="15366" width="11.42578125" style="433" bestFit="1" customWidth="1"/>
    <col min="15367" max="15367" width="29.85546875" style="433" bestFit="1" customWidth="1"/>
    <col min="15368" max="15368" width="23.7109375" style="433" customWidth="1"/>
    <col min="15369" max="15369" width="11.7109375" style="433" bestFit="1" customWidth="1"/>
    <col min="15370" max="15370" width="20.28515625" style="433" bestFit="1" customWidth="1"/>
    <col min="15371" max="15371" width="18.85546875" style="433" bestFit="1" customWidth="1"/>
    <col min="15372" max="15374" width="6.140625" style="433" bestFit="1" customWidth="1"/>
    <col min="15375" max="15377" width="11.42578125" style="433" bestFit="1" customWidth="1"/>
    <col min="15378" max="15380" width="6.140625" style="433" bestFit="1" customWidth="1"/>
    <col min="15381" max="15383" width="11.42578125" style="433" bestFit="1" customWidth="1"/>
    <col min="15384" max="15386" width="6.140625" style="433" bestFit="1" customWidth="1"/>
    <col min="15387" max="15389" width="11.42578125" style="433" bestFit="1" customWidth="1"/>
    <col min="15390" max="15391" width="6.140625" style="433" bestFit="1" customWidth="1"/>
    <col min="15392" max="15392" width="5" style="433" bestFit="1" customWidth="1"/>
    <col min="15393" max="15395" width="11.42578125" style="433" bestFit="1" customWidth="1"/>
    <col min="15396" max="15397" width="12.5703125" style="433" bestFit="1" customWidth="1"/>
    <col min="15398" max="15401" width="10.7109375" style="433" customWidth="1"/>
    <col min="15402" max="15402" width="14.85546875" style="433" bestFit="1" customWidth="1"/>
    <col min="15403" max="15403" width="15.85546875" style="433" bestFit="1" customWidth="1"/>
    <col min="15404" max="15404" width="36.140625" style="433" bestFit="1" customWidth="1"/>
    <col min="15405" max="15616" width="11.42578125" style="433"/>
    <col min="15617" max="15617" width="5" style="433" bestFit="1" customWidth="1"/>
    <col min="15618" max="15618" width="15.5703125" style="433" customWidth="1"/>
    <col min="15619" max="15619" width="20.85546875" style="433" customWidth="1"/>
    <col min="15620" max="15620" width="57.85546875" style="433" bestFit="1" customWidth="1"/>
    <col min="15621" max="15621" width="9.28515625" style="433" bestFit="1" customWidth="1"/>
    <col min="15622" max="15622" width="11.42578125" style="433" bestFit="1" customWidth="1"/>
    <col min="15623" max="15623" width="29.85546875" style="433" bestFit="1" customWidth="1"/>
    <col min="15624" max="15624" width="23.7109375" style="433" customWidth="1"/>
    <col min="15625" max="15625" width="11.7109375" style="433" bestFit="1" customWidth="1"/>
    <col min="15626" max="15626" width="20.28515625" style="433" bestFit="1" customWidth="1"/>
    <col min="15627" max="15627" width="18.85546875" style="433" bestFit="1" customWidth="1"/>
    <col min="15628" max="15630" width="6.140625" style="433" bestFit="1" customWidth="1"/>
    <col min="15631" max="15633" width="11.42578125" style="433" bestFit="1" customWidth="1"/>
    <col min="15634" max="15636" width="6.140625" style="433" bestFit="1" customWidth="1"/>
    <col min="15637" max="15639" width="11.42578125" style="433" bestFit="1" customWidth="1"/>
    <col min="15640" max="15642" width="6.140625" style="433" bestFit="1" customWidth="1"/>
    <col min="15643" max="15645" width="11.42578125" style="433" bestFit="1" customWidth="1"/>
    <col min="15646" max="15647" width="6.140625" style="433" bestFit="1" customWidth="1"/>
    <col min="15648" max="15648" width="5" style="433" bestFit="1" customWidth="1"/>
    <col min="15649" max="15651" width="11.42578125" style="433" bestFit="1" customWidth="1"/>
    <col min="15652" max="15653" width="12.5703125" style="433" bestFit="1" customWidth="1"/>
    <col min="15654" max="15657" width="10.7109375" style="433" customWidth="1"/>
    <col min="15658" max="15658" width="14.85546875" style="433" bestFit="1" customWidth="1"/>
    <col min="15659" max="15659" width="15.85546875" style="433" bestFit="1" customWidth="1"/>
    <col min="15660" max="15660" width="36.140625" style="433" bestFit="1" customWidth="1"/>
    <col min="15661" max="15872" width="11.42578125" style="433"/>
    <col min="15873" max="15873" width="5" style="433" bestFit="1" customWidth="1"/>
    <col min="15874" max="15874" width="15.5703125" style="433" customWidth="1"/>
    <col min="15875" max="15875" width="20.85546875" style="433" customWidth="1"/>
    <col min="15876" max="15876" width="57.85546875" style="433" bestFit="1" customWidth="1"/>
    <col min="15877" max="15877" width="9.28515625" style="433" bestFit="1" customWidth="1"/>
    <col min="15878" max="15878" width="11.42578125" style="433" bestFit="1" customWidth="1"/>
    <col min="15879" max="15879" width="29.85546875" style="433" bestFit="1" customWidth="1"/>
    <col min="15880" max="15880" width="23.7109375" style="433" customWidth="1"/>
    <col min="15881" max="15881" width="11.7109375" style="433" bestFit="1" customWidth="1"/>
    <col min="15882" max="15882" width="20.28515625" style="433" bestFit="1" customWidth="1"/>
    <col min="15883" max="15883" width="18.85546875" style="433" bestFit="1" customWidth="1"/>
    <col min="15884" max="15886" width="6.140625" style="433" bestFit="1" customWidth="1"/>
    <col min="15887" max="15889" width="11.42578125" style="433" bestFit="1" customWidth="1"/>
    <col min="15890" max="15892" width="6.140625" style="433" bestFit="1" customWidth="1"/>
    <col min="15893" max="15895" width="11.42578125" style="433" bestFit="1" customWidth="1"/>
    <col min="15896" max="15898" width="6.140625" style="433" bestFit="1" customWidth="1"/>
    <col min="15899" max="15901" width="11.42578125" style="433" bestFit="1" customWidth="1"/>
    <col min="15902" max="15903" width="6.140625" style="433" bestFit="1" customWidth="1"/>
    <col min="15904" max="15904" width="5" style="433" bestFit="1" customWidth="1"/>
    <col min="15905" max="15907" width="11.42578125" style="433" bestFit="1" customWidth="1"/>
    <col min="15908" max="15909" width="12.5703125" style="433" bestFit="1" customWidth="1"/>
    <col min="15910" max="15913" width="10.7109375" style="433" customWidth="1"/>
    <col min="15914" max="15914" width="14.85546875" style="433" bestFit="1" customWidth="1"/>
    <col min="15915" max="15915" width="15.85546875" style="433" bestFit="1" customWidth="1"/>
    <col min="15916" max="15916" width="36.140625" style="433" bestFit="1" customWidth="1"/>
    <col min="15917" max="16128" width="11.42578125" style="433"/>
    <col min="16129" max="16129" width="5" style="433" bestFit="1" customWidth="1"/>
    <col min="16130" max="16130" width="15.5703125" style="433" customWidth="1"/>
    <col min="16131" max="16131" width="20.85546875" style="433" customWidth="1"/>
    <col min="16132" max="16132" width="57.85546875" style="433" bestFit="1" customWidth="1"/>
    <col min="16133" max="16133" width="9.28515625" style="433" bestFit="1" customWidth="1"/>
    <col min="16134" max="16134" width="11.42578125" style="433" bestFit="1" customWidth="1"/>
    <col min="16135" max="16135" width="29.85546875" style="433" bestFit="1" customWidth="1"/>
    <col min="16136" max="16136" width="23.7109375" style="433" customWidth="1"/>
    <col min="16137" max="16137" width="11.7109375" style="433" bestFit="1" customWidth="1"/>
    <col min="16138" max="16138" width="20.28515625" style="433" bestFit="1" customWidth="1"/>
    <col min="16139" max="16139" width="18.85546875" style="433" bestFit="1" customWidth="1"/>
    <col min="16140" max="16142" width="6.140625" style="433" bestFit="1" customWidth="1"/>
    <col min="16143" max="16145" width="11.42578125" style="433" bestFit="1" customWidth="1"/>
    <col min="16146" max="16148" width="6.140625" style="433" bestFit="1" customWidth="1"/>
    <col min="16149" max="16151" width="11.42578125" style="433" bestFit="1" customWidth="1"/>
    <col min="16152" max="16154" width="6.140625" style="433" bestFit="1" customWidth="1"/>
    <col min="16155" max="16157" width="11.42578125" style="433" bestFit="1" customWidth="1"/>
    <col min="16158" max="16159" width="6.140625" style="433" bestFit="1" customWidth="1"/>
    <col min="16160" max="16160" width="5" style="433" bestFit="1" customWidth="1"/>
    <col min="16161" max="16163" width="11.42578125" style="433" bestFit="1" customWidth="1"/>
    <col min="16164" max="16165" width="12.5703125" style="433" bestFit="1" customWidth="1"/>
    <col min="16166" max="16169" width="10.7109375" style="433" customWidth="1"/>
    <col min="16170" max="16170" width="14.85546875" style="433" bestFit="1" customWidth="1"/>
    <col min="16171" max="16171" width="15.85546875" style="433" bestFit="1" customWidth="1"/>
    <col min="16172" max="16172" width="36.140625" style="433" bestFit="1" customWidth="1"/>
    <col min="16173" max="16384" width="11.42578125" style="433"/>
  </cols>
  <sheetData>
    <row r="1" spans="1:72">
      <c r="A1" s="871" t="s">
        <v>0</v>
      </c>
      <c r="B1" s="871"/>
      <c r="C1" s="871"/>
      <c r="D1" s="871"/>
      <c r="E1" s="871"/>
      <c r="F1" s="871"/>
      <c r="G1" s="871"/>
      <c r="H1" s="871"/>
      <c r="I1" s="871"/>
      <c r="J1" s="871"/>
      <c r="K1" s="871"/>
      <c r="L1" s="871"/>
      <c r="M1" s="871"/>
      <c r="N1" s="871"/>
      <c r="O1" s="871"/>
      <c r="P1" s="871"/>
      <c r="Q1" s="871"/>
      <c r="R1" s="871"/>
      <c r="S1" s="871"/>
      <c r="T1" s="871"/>
      <c r="U1" s="871"/>
      <c r="V1" s="871"/>
      <c r="W1" s="871"/>
      <c r="X1" s="871"/>
      <c r="Y1" s="871"/>
      <c r="Z1" s="871"/>
      <c r="AA1" s="871"/>
      <c r="AB1" s="871"/>
      <c r="AC1" s="871"/>
      <c r="AD1" s="871"/>
      <c r="AE1" s="871"/>
      <c r="AF1" s="871"/>
      <c r="AG1" s="871"/>
      <c r="AH1" s="871"/>
      <c r="AI1" s="871"/>
      <c r="AJ1" s="871"/>
      <c r="AK1" s="871"/>
      <c r="AL1" s="871"/>
      <c r="AM1" s="871"/>
      <c r="AN1" s="871"/>
      <c r="AO1" s="871"/>
      <c r="AP1" s="871"/>
      <c r="AQ1" s="871"/>
      <c r="AR1" s="871"/>
    </row>
    <row r="2" spans="1:72">
      <c r="A2" s="871" t="s">
        <v>1</v>
      </c>
      <c r="B2" s="871"/>
      <c r="C2" s="871"/>
      <c r="D2" s="871"/>
      <c r="E2" s="871"/>
      <c r="F2" s="871"/>
      <c r="G2" s="871"/>
      <c r="H2" s="871"/>
      <c r="I2" s="871"/>
      <c r="J2" s="871"/>
      <c r="K2" s="871"/>
      <c r="L2" s="871"/>
      <c r="M2" s="871"/>
      <c r="N2" s="871"/>
      <c r="O2" s="871"/>
      <c r="P2" s="871"/>
      <c r="Q2" s="871"/>
      <c r="R2" s="871"/>
      <c r="S2" s="871"/>
      <c r="T2" s="871"/>
      <c r="U2" s="871"/>
      <c r="V2" s="871"/>
      <c r="W2" s="871"/>
      <c r="X2" s="871"/>
      <c r="Y2" s="871"/>
      <c r="Z2" s="871"/>
      <c r="AA2" s="871"/>
      <c r="AB2" s="871"/>
      <c r="AC2" s="871"/>
      <c r="AD2" s="871"/>
      <c r="AE2" s="871"/>
      <c r="AF2" s="871"/>
      <c r="AG2" s="871"/>
      <c r="AH2" s="871"/>
      <c r="AI2" s="871"/>
      <c r="AJ2" s="871"/>
      <c r="AK2" s="871"/>
      <c r="AL2" s="871"/>
      <c r="AM2" s="871"/>
      <c r="AN2" s="871"/>
      <c r="AO2" s="871"/>
      <c r="AP2" s="871"/>
      <c r="AQ2" s="871"/>
      <c r="AR2" s="871"/>
    </row>
    <row r="3" spans="1:72">
      <c r="A3" s="574"/>
      <c r="B3" s="434"/>
      <c r="C3" s="434"/>
      <c r="D3" s="575" t="s">
        <v>1822</v>
      </c>
      <c r="E3" s="575"/>
      <c r="F3" s="575"/>
      <c r="G3" s="575"/>
      <c r="H3" s="575"/>
      <c r="I3" s="575"/>
      <c r="J3" s="575"/>
      <c r="K3" s="575"/>
      <c r="L3" s="575"/>
      <c r="M3" s="575"/>
      <c r="N3" s="575"/>
      <c r="O3" s="575"/>
      <c r="P3" s="575"/>
      <c r="Q3" s="575"/>
      <c r="R3" s="575"/>
      <c r="S3" s="575"/>
      <c r="T3" s="575"/>
      <c r="U3" s="575"/>
      <c r="V3" s="575"/>
      <c r="W3" s="575"/>
      <c r="X3" s="575"/>
      <c r="Y3" s="575"/>
      <c r="Z3" s="575"/>
      <c r="AA3" s="575"/>
      <c r="AB3" s="575"/>
      <c r="AC3" s="575"/>
      <c r="AD3" s="575"/>
      <c r="AE3" s="575"/>
      <c r="AF3" s="575"/>
      <c r="AG3" s="575"/>
      <c r="AH3" s="575"/>
      <c r="AI3" s="575"/>
      <c r="AJ3" s="575"/>
      <c r="AK3" s="575"/>
      <c r="AL3" s="575"/>
      <c r="AM3" s="575"/>
      <c r="AN3" s="575"/>
      <c r="AO3" s="575"/>
      <c r="AP3" s="576"/>
      <c r="AQ3" s="575"/>
      <c r="AR3" s="575"/>
    </row>
    <row r="4" spans="1:72">
      <c r="A4" s="434"/>
      <c r="B4" s="434"/>
      <c r="C4" s="434"/>
      <c r="D4" s="575" t="s">
        <v>1823</v>
      </c>
      <c r="E4" s="575"/>
      <c r="F4" s="575"/>
      <c r="G4" s="575"/>
      <c r="H4" s="575"/>
      <c r="I4" s="575"/>
      <c r="J4" s="575"/>
      <c r="K4" s="575"/>
      <c r="L4" s="575"/>
      <c r="M4" s="575"/>
      <c r="N4" s="575"/>
      <c r="O4" s="575"/>
      <c r="P4" s="575"/>
      <c r="Q4" s="575"/>
      <c r="R4" s="575"/>
      <c r="S4" s="575"/>
      <c r="T4" s="575"/>
      <c r="U4" s="575"/>
      <c r="V4" s="575"/>
      <c r="W4" s="575"/>
      <c r="X4" s="575"/>
      <c r="Y4" s="575"/>
      <c r="Z4" s="575"/>
      <c r="AA4" s="575"/>
      <c r="AB4" s="575"/>
      <c r="AC4" s="575"/>
      <c r="AD4" s="575"/>
      <c r="AE4" s="575"/>
      <c r="AF4" s="575"/>
      <c r="AG4" s="577"/>
      <c r="AH4" s="575"/>
      <c r="AI4" s="575"/>
      <c r="AJ4" s="575"/>
      <c r="AK4" s="575"/>
      <c r="AL4" s="575"/>
      <c r="AM4" s="575"/>
      <c r="AN4" s="575"/>
      <c r="AO4" s="575"/>
      <c r="AQ4" s="575"/>
      <c r="AR4" s="575"/>
    </row>
    <row r="5" spans="1:72">
      <c r="A5" s="434"/>
      <c r="B5" s="434"/>
      <c r="C5" s="434"/>
      <c r="D5" s="575" t="s">
        <v>1824</v>
      </c>
      <c r="E5" s="579"/>
      <c r="F5" s="575"/>
      <c r="G5" s="434"/>
      <c r="H5" s="434"/>
      <c r="I5" s="434"/>
      <c r="J5" s="434"/>
      <c r="K5" s="436"/>
      <c r="L5" s="436"/>
      <c r="M5" s="436"/>
      <c r="N5" s="436"/>
      <c r="O5" s="436"/>
      <c r="P5" s="436"/>
      <c r="Q5" s="436"/>
      <c r="R5" s="436"/>
      <c r="S5" s="436"/>
      <c r="T5" s="436"/>
      <c r="U5" s="436"/>
      <c r="V5" s="436"/>
      <c r="W5" s="436"/>
      <c r="X5" s="436"/>
      <c r="Y5" s="436"/>
      <c r="Z5" s="436"/>
      <c r="AA5" s="436"/>
      <c r="AB5" s="436"/>
      <c r="AC5" s="436"/>
      <c r="AD5" s="436"/>
      <c r="AE5" s="436"/>
      <c r="AF5" s="436"/>
      <c r="AG5" s="436"/>
      <c r="AH5" s="436"/>
      <c r="AI5" s="436"/>
      <c r="AJ5" s="436"/>
      <c r="AK5" s="436"/>
      <c r="AL5" s="436"/>
      <c r="AM5" s="436"/>
      <c r="AN5" s="436"/>
      <c r="AO5" s="436"/>
      <c r="AP5" s="716"/>
      <c r="AQ5" s="436"/>
      <c r="AR5" s="436"/>
      <c r="AT5" s="437"/>
      <c r="AU5" s="437"/>
      <c r="AV5" s="437"/>
      <c r="AW5" s="437"/>
      <c r="AX5" s="437"/>
      <c r="AY5" s="437"/>
      <c r="AZ5" s="437"/>
      <c r="BA5" s="437"/>
      <c r="BB5" s="437"/>
      <c r="BC5" s="437"/>
      <c r="BD5" s="437"/>
      <c r="BE5" s="437"/>
      <c r="BF5" s="437"/>
      <c r="BG5" s="437"/>
      <c r="BH5" s="437"/>
      <c r="BI5" s="437"/>
      <c r="BJ5" s="437"/>
      <c r="BK5" s="437"/>
      <c r="BL5" s="437"/>
      <c r="BM5" s="437"/>
      <c r="BN5" s="437"/>
      <c r="BO5" s="437"/>
      <c r="BP5" s="437"/>
      <c r="BQ5" s="437"/>
      <c r="BR5" s="437"/>
      <c r="BS5" s="437"/>
      <c r="BT5" s="437"/>
    </row>
    <row r="6" spans="1:72">
      <c r="A6" s="879" t="s">
        <v>5</v>
      </c>
      <c r="B6" s="879"/>
      <c r="C6" s="879"/>
      <c r="D6" s="934" t="s">
        <v>6</v>
      </c>
      <c r="E6" s="934" t="s">
        <v>161</v>
      </c>
      <c r="F6" s="879" t="s">
        <v>404</v>
      </c>
      <c r="G6" s="879" t="s">
        <v>9</v>
      </c>
      <c r="H6" s="879" t="s">
        <v>10</v>
      </c>
      <c r="I6" s="879" t="s">
        <v>406</v>
      </c>
      <c r="J6" s="879" t="s">
        <v>407</v>
      </c>
      <c r="K6" s="879" t="s">
        <v>646</v>
      </c>
      <c r="L6" s="894" t="s">
        <v>14</v>
      </c>
      <c r="M6" s="895"/>
      <c r="N6" s="895"/>
      <c r="O6" s="895"/>
      <c r="P6" s="895"/>
      <c r="Q6" s="895"/>
      <c r="R6" s="895"/>
      <c r="S6" s="895"/>
      <c r="T6" s="895"/>
      <c r="U6" s="895"/>
      <c r="V6" s="895"/>
      <c r="W6" s="895"/>
      <c r="X6" s="895"/>
      <c r="Y6" s="895"/>
      <c r="Z6" s="895"/>
      <c r="AA6" s="895"/>
      <c r="AB6" s="895"/>
      <c r="AC6" s="895"/>
      <c r="AD6" s="895"/>
      <c r="AE6" s="895"/>
      <c r="AF6" s="895"/>
      <c r="AG6" s="895"/>
      <c r="AH6" s="895"/>
      <c r="AI6" s="895"/>
      <c r="AJ6" s="896"/>
      <c r="AK6" s="879" t="s">
        <v>15</v>
      </c>
      <c r="AL6" s="879"/>
      <c r="AM6" s="879"/>
      <c r="AN6" s="879"/>
      <c r="AO6" s="879"/>
      <c r="AP6" s="879" t="s">
        <v>16</v>
      </c>
      <c r="AQ6" s="879" t="s">
        <v>17</v>
      </c>
      <c r="AR6" s="879" t="s">
        <v>19</v>
      </c>
    </row>
    <row r="7" spans="1:72">
      <c r="A7" s="879" t="s">
        <v>410</v>
      </c>
      <c r="B7" s="879" t="s">
        <v>411</v>
      </c>
      <c r="C7" s="879" t="s">
        <v>22</v>
      </c>
      <c r="D7" s="934"/>
      <c r="E7" s="934"/>
      <c r="F7" s="879"/>
      <c r="G7" s="879"/>
      <c r="H7" s="879"/>
      <c r="I7" s="879"/>
      <c r="J7" s="879"/>
      <c r="K7" s="879"/>
      <c r="L7" s="881" t="s">
        <v>23</v>
      </c>
      <c r="M7" s="881"/>
      <c r="N7" s="881"/>
      <c r="O7" s="881"/>
      <c r="P7" s="881"/>
      <c r="Q7" s="881"/>
      <c r="R7" s="881" t="s">
        <v>24</v>
      </c>
      <c r="S7" s="881"/>
      <c r="T7" s="881"/>
      <c r="U7" s="881"/>
      <c r="V7" s="881"/>
      <c r="W7" s="881"/>
      <c r="X7" s="881" t="s">
        <v>25</v>
      </c>
      <c r="Y7" s="881"/>
      <c r="Z7" s="881"/>
      <c r="AA7" s="881"/>
      <c r="AB7" s="881"/>
      <c r="AC7" s="881"/>
      <c r="AD7" s="881" t="s">
        <v>26</v>
      </c>
      <c r="AE7" s="881"/>
      <c r="AF7" s="881"/>
      <c r="AG7" s="881"/>
      <c r="AH7" s="881"/>
      <c r="AI7" s="881"/>
      <c r="AJ7" s="934" t="s">
        <v>162</v>
      </c>
      <c r="AK7" s="879" t="s">
        <v>412</v>
      </c>
      <c r="AL7" s="879" t="s">
        <v>413</v>
      </c>
      <c r="AM7" s="879" t="s">
        <v>414</v>
      </c>
      <c r="AN7" s="879" t="s">
        <v>415</v>
      </c>
      <c r="AO7" s="879" t="s">
        <v>416</v>
      </c>
      <c r="AP7" s="879"/>
      <c r="AQ7" s="879"/>
      <c r="AR7" s="879"/>
    </row>
    <row r="8" spans="1:72">
      <c r="A8" s="879"/>
      <c r="B8" s="879"/>
      <c r="C8" s="879"/>
      <c r="D8" s="934"/>
      <c r="E8" s="934"/>
      <c r="F8" s="879"/>
      <c r="G8" s="879"/>
      <c r="H8" s="879"/>
      <c r="I8" s="879"/>
      <c r="J8" s="879"/>
      <c r="K8" s="879"/>
      <c r="L8" s="881" t="s">
        <v>649</v>
      </c>
      <c r="M8" s="881"/>
      <c r="N8" s="881"/>
      <c r="O8" s="881" t="s">
        <v>34</v>
      </c>
      <c r="P8" s="881"/>
      <c r="Q8" s="881"/>
      <c r="R8" s="881" t="s">
        <v>649</v>
      </c>
      <c r="S8" s="881"/>
      <c r="T8" s="881"/>
      <c r="U8" s="881" t="s">
        <v>34</v>
      </c>
      <c r="V8" s="881"/>
      <c r="W8" s="881"/>
      <c r="X8" s="881" t="s">
        <v>649</v>
      </c>
      <c r="Y8" s="881"/>
      <c r="Z8" s="881"/>
      <c r="AA8" s="881" t="s">
        <v>34</v>
      </c>
      <c r="AB8" s="881"/>
      <c r="AC8" s="881"/>
      <c r="AD8" s="881" t="s">
        <v>649</v>
      </c>
      <c r="AE8" s="881"/>
      <c r="AF8" s="881"/>
      <c r="AG8" s="881" t="s">
        <v>34</v>
      </c>
      <c r="AH8" s="881"/>
      <c r="AI8" s="881"/>
      <c r="AJ8" s="934"/>
      <c r="AK8" s="879"/>
      <c r="AL8" s="879"/>
      <c r="AM8" s="879"/>
      <c r="AN8" s="879"/>
      <c r="AO8" s="879"/>
      <c r="AP8" s="879"/>
      <c r="AQ8" s="879"/>
      <c r="AR8" s="879"/>
    </row>
    <row r="9" spans="1:72">
      <c r="A9" s="879"/>
      <c r="B9" s="879"/>
      <c r="C9" s="879"/>
      <c r="D9" s="934"/>
      <c r="E9" s="934"/>
      <c r="F9" s="879"/>
      <c r="G9" s="879"/>
      <c r="H9" s="879"/>
      <c r="I9" s="879"/>
      <c r="J9" s="879"/>
      <c r="K9" s="879"/>
      <c r="L9" s="438" t="s">
        <v>35</v>
      </c>
      <c r="M9" s="438" t="s">
        <v>36</v>
      </c>
      <c r="N9" s="438" t="s">
        <v>37</v>
      </c>
      <c r="O9" s="438" t="s">
        <v>35</v>
      </c>
      <c r="P9" s="438" t="s">
        <v>36</v>
      </c>
      <c r="Q9" s="438" t="s">
        <v>37</v>
      </c>
      <c r="R9" s="438" t="s">
        <v>38</v>
      </c>
      <c r="S9" s="438" t="s">
        <v>37</v>
      </c>
      <c r="T9" s="438" t="s">
        <v>39</v>
      </c>
      <c r="U9" s="438" t="s">
        <v>38</v>
      </c>
      <c r="V9" s="438" t="s">
        <v>37</v>
      </c>
      <c r="W9" s="438" t="s">
        <v>39</v>
      </c>
      <c r="X9" s="438" t="s">
        <v>39</v>
      </c>
      <c r="Y9" s="438" t="s">
        <v>38</v>
      </c>
      <c r="Z9" s="438" t="s">
        <v>40</v>
      </c>
      <c r="AA9" s="438" t="s">
        <v>39</v>
      </c>
      <c r="AB9" s="438" t="s">
        <v>38</v>
      </c>
      <c r="AC9" s="438" t="s">
        <v>40</v>
      </c>
      <c r="AD9" s="438" t="s">
        <v>41</v>
      </c>
      <c r="AE9" s="438" t="s">
        <v>42</v>
      </c>
      <c r="AF9" s="438" t="s">
        <v>43</v>
      </c>
      <c r="AG9" s="438" t="s">
        <v>41</v>
      </c>
      <c r="AH9" s="438" t="s">
        <v>42</v>
      </c>
      <c r="AI9" s="438" t="s">
        <v>43</v>
      </c>
      <c r="AJ9" s="934"/>
      <c r="AK9" s="879"/>
      <c r="AL9" s="879"/>
      <c r="AM9" s="879"/>
      <c r="AN9" s="879"/>
      <c r="AO9" s="879"/>
      <c r="AP9" s="879"/>
      <c r="AQ9" s="879"/>
      <c r="AR9" s="879"/>
    </row>
    <row r="10" spans="1:72" ht="47.25">
      <c r="A10" s="558" t="s">
        <v>147</v>
      </c>
      <c r="B10" s="439" t="s">
        <v>1825</v>
      </c>
      <c r="C10" s="580" t="s">
        <v>2334</v>
      </c>
      <c r="D10" s="440" t="s">
        <v>1826</v>
      </c>
      <c r="E10" s="439">
        <f>E11</f>
        <v>1</v>
      </c>
      <c r="F10" s="442"/>
      <c r="G10" s="444"/>
      <c r="H10" s="444"/>
      <c r="I10" s="581">
        <f>I11</f>
        <v>1</v>
      </c>
      <c r="J10" s="581"/>
      <c r="K10" s="581">
        <f>K11</f>
        <v>1</v>
      </c>
      <c r="L10" s="505"/>
      <c r="M10" s="505"/>
      <c r="N10" s="504">
        <v>1</v>
      </c>
      <c r="O10" s="505"/>
      <c r="P10" s="505"/>
      <c r="Q10" s="505">
        <f>Q11</f>
        <v>556.24</v>
      </c>
      <c r="R10" s="505"/>
      <c r="S10" s="505"/>
      <c r="T10" s="505"/>
      <c r="U10" s="505"/>
      <c r="V10" s="505"/>
      <c r="W10" s="505"/>
      <c r="X10" s="505"/>
      <c r="Y10" s="505"/>
      <c r="Z10" s="505"/>
      <c r="AA10" s="582"/>
      <c r="AB10" s="582"/>
      <c r="AC10" s="582"/>
      <c r="AD10" s="505"/>
      <c r="AE10" s="505"/>
      <c r="AF10" s="505"/>
      <c r="AG10" s="505"/>
      <c r="AH10" s="505"/>
      <c r="AI10" s="505"/>
      <c r="AJ10" s="505">
        <f>Q10</f>
        <v>556.24</v>
      </c>
      <c r="AK10" s="583">
        <f>AJ10</f>
        <v>556.24</v>
      </c>
      <c r="AL10" s="584"/>
      <c r="AM10" s="584"/>
      <c r="AN10" s="584"/>
      <c r="AO10" s="584"/>
      <c r="AP10" s="585" t="s">
        <v>101</v>
      </c>
      <c r="AQ10" s="440" t="s">
        <v>1827</v>
      </c>
      <c r="AR10" s="440"/>
    </row>
    <row r="11" spans="1:72" ht="63">
      <c r="A11" s="457" t="s">
        <v>147</v>
      </c>
      <c r="B11" s="457" t="s">
        <v>1825</v>
      </c>
      <c r="C11" s="586" t="s">
        <v>2335</v>
      </c>
      <c r="D11" s="460" t="s">
        <v>1828</v>
      </c>
      <c r="E11" s="457">
        <v>1</v>
      </c>
      <c r="F11" s="451" t="s">
        <v>1628</v>
      </c>
      <c r="G11" s="449" t="s">
        <v>1829</v>
      </c>
      <c r="H11" s="449" t="s">
        <v>171</v>
      </c>
      <c r="I11" s="587">
        <v>1</v>
      </c>
      <c r="J11" s="587"/>
      <c r="K11" s="587">
        <v>1</v>
      </c>
      <c r="L11" s="517"/>
      <c r="M11" s="517"/>
      <c r="N11" s="517">
        <v>1</v>
      </c>
      <c r="O11" s="517"/>
      <c r="P11" s="517"/>
      <c r="Q11" s="517">
        <v>556.24</v>
      </c>
      <c r="R11" s="517"/>
      <c r="S11" s="517"/>
      <c r="T11" s="517"/>
      <c r="U11" s="517"/>
      <c r="V11" s="517"/>
      <c r="W11" s="517"/>
      <c r="X11" s="517"/>
      <c r="Y11" s="517"/>
      <c r="Z11" s="517"/>
      <c r="AA11" s="588"/>
      <c r="AB11" s="588"/>
      <c r="AC11" s="588"/>
      <c r="AD11" s="517"/>
      <c r="AE11" s="517"/>
      <c r="AF11" s="517"/>
      <c r="AG11" s="517"/>
      <c r="AH11" s="517"/>
      <c r="AI11" s="517"/>
      <c r="AJ11" s="517">
        <v>556.24</v>
      </c>
      <c r="AK11" s="517">
        <v>556.24</v>
      </c>
      <c r="AL11" s="589"/>
      <c r="AM11" s="589"/>
      <c r="AN11" s="589"/>
      <c r="AO11" s="589"/>
      <c r="AP11" s="590" t="s">
        <v>101</v>
      </c>
      <c r="AQ11" s="590" t="s">
        <v>1827</v>
      </c>
      <c r="AR11" s="460" t="s">
        <v>1830</v>
      </c>
    </row>
    <row r="12" spans="1:72" ht="110.25">
      <c r="A12" s="558" t="s">
        <v>147</v>
      </c>
      <c r="B12" s="439" t="s">
        <v>1831</v>
      </c>
      <c r="C12" s="580" t="s">
        <v>2336</v>
      </c>
      <c r="D12" s="440" t="s">
        <v>1832</v>
      </c>
      <c r="E12" s="439">
        <f>E13</f>
        <v>1</v>
      </c>
      <c r="F12" s="442"/>
      <c r="G12" s="444"/>
      <c r="H12" s="444"/>
      <c r="I12" s="581">
        <f>I13</f>
        <v>1</v>
      </c>
      <c r="J12" s="581"/>
      <c r="K12" s="581">
        <f>K13</f>
        <v>1</v>
      </c>
      <c r="L12" s="505"/>
      <c r="M12" s="505"/>
      <c r="N12" s="505"/>
      <c r="O12" s="505"/>
      <c r="P12" s="505"/>
      <c r="Q12" s="505"/>
      <c r="R12" s="505">
        <v>1</v>
      </c>
      <c r="S12" s="505"/>
      <c r="T12" s="505"/>
      <c r="U12" s="505">
        <v>556.24</v>
      </c>
      <c r="V12" s="505"/>
      <c r="W12" s="505"/>
      <c r="X12" s="505"/>
      <c r="Y12" s="505"/>
      <c r="Z12" s="505"/>
      <c r="AA12" s="582"/>
      <c r="AB12" s="582"/>
      <c r="AC12" s="582"/>
      <c r="AD12" s="505"/>
      <c r="AE12" s="505"/>
      <c r="AF12" s="505"/>
      <c r="AG12" s="505"/>
      <c r="AH12" s="505"/>
      <c r="AI12" s="505"/>
      <c r="AJ12" s="505">
        <f>AJ13</f>
        <v>556.24</v>
      </c>
      <c r="AK12" s="583">
        <f>AK13</f>
        <v>556.24</v>
      </c>
      <c r="AL12" s="584"/>
      <c r="AM12" s="584"/>
      <c r="AN12" s="584"/>
      <c r="AO12" s="584"/>
      <c r="AP12" s="585" t="s">
        <v>101</v>
      </c>
      <c r="AQ12" s="440" t="s">
        <v>1827</v>
      </c>
      <c r="AR12" s="440"/>
    </row>
    <row r="13" spans="1:72" ht="63">
      <c r="A13" s="457" t="s">
        <v>147</v>
      </c>
      <c r="B13" s="457" t="s">
        <v>1831</v>
      </c>
      <c r="C13" s="586" t="s">
        <v>2337</v>
      </c>
      <c r="D13" s="460" t="s">
        <v>1833</v>
      </c>
      <c r="E13" s="457">
        <v>1</v>
      </c>
      <c r="F13" s="451" t="s">
        <v>98</v>
      </c>
      <c r="G13" s="449" t="s">
        <v>1834</v>
      </c>
      <c r="H13" s="519" t="s">
        <v>168</v>
      </c>
      <c r="I13" s="587">
        <v>1</v>
      </c>
      <c r="J13" s="587"/>
      <c r="K13" s="587">
        <v>1</v>
      </c>
      <c r="L13" s="517"/>
      <c r="M13" s="517"/>
      <c r="N13" s="517"/>
      <c r="O13" s="517"/>
      <c r="P13" s="517"/>
      <c r="Q13" s="517"/>
      <c r="R13" s="517">
        <v>1</v>
      </c>
      <c r="S13" s="517"/>
      <c r="T13" s="517"/>
      <c r="U13" s="517">
        <v>556.24</v>
      </c>
      <c r="V13" s="517"/>
      <c r="W13" s="517"/>
      <c r="X13" s="517"/>
      <c r="Y13" s="517"/>
      <c r="Z13" s="517"/>
      <c r="AA13" s="588"/>
      <c r="AB13" s="588"/>
      <c r="AC13" s="588"/>
      <c r="AD13" s="517"/>
      <c r="AE13" s="517"/>
      <c r="AF13" s="517"/>
      <c r="AG13" s="517"/>
      <c r="AH13" s="517"/>
      <c r="AI13" s="517"/>
      <c r="AJ13" s="517">
        <f>SUM(U13)</f>
        <v>556.24</v>
      </c>
      <c r="AK13" s="591">
        <f>AJ13</f>
        <v>556.24</v>
      </c>
      <c r="AL13" s="589"/>
      <c r="AM13" s="589"/>
      <c r="AN13" s="589"/>
      <c r="AO13" s="589"/>
      <c r="AP13" s="590" t="s">
        <v>101</v>
      </c>
      <c r="AQ13" s="590" t="s">
        <v>1827</v>
      </c>
      <c r="AR13" s="460" t="s">
        <v>1835</v>
      </c>
    </row>
    <row r="14" spans="1:72" ht="31.5">
      <c r="A14" s="558" t="s">
        <v>147</v>
      </c>
      <c r="B14" s="439" t="s">
        <v>1836</v>
      </c>
      <c r="C14" s="580" t="s">
        <v>2338</v>
      </c>
      <c r="D14" s="440" t="s">
        <v>1837</v>
      </c>
      <c r="E14" s="442">
        <f>E15</f>
        <v>1</v>
      </c>
      <c r="F14" s="442"/>
      <c r="G14" s="444"/>
      <c r="H14" s="444"/>
      <c r="I14" s="581">
        <f>I15</f>
        <v>1</v>
      </c>
      <c r="J14" s="581"/>
      <c r="K14" s="581">
        <f>K15</f>
        <v>1</v>
      </c>
      <c r="L14" s="505"/>
      <c r="M14" s="505">
        <v>1</v>
      </c>
      <c r="N14" s="505"/>
      <c r="O14" s="505"/>
      <c r="P14" s="505">
        <v>556.24</v>
      </c>
      <c r="Q14" s="505"/>
      <c r="R14" s="505"/>
      <c r="S14" s="505"/>
      <c r="T14" s="505"/>
      <c r="U14" s="505"/>
      <c r="V14" s="505"/>
      <c r="W14" s="505"/>
      <c r="X14" s="505"/>
      <c r="Y14" s="505"/>
      <c r="Z14" s="505"/>
      <c r="AA14" s="582"/>
      <c r="AB14" s="582"/>
      <c r="AC14" s="582"/>
      <c r="AD14" s="505"/>
      <c r="AE14" s="505"/>
      <c r="AF14" s="505"/>
      <c r="AG14" s="505"/>
      <c r="AH14" s="505"/>
      <c r="AI14" s="505"/>
      <c r="AJ14" s="505">
        <f>AJ15</f>
        <v>556.24</v>
      </c>
      <c r="AK14" s="592">
        <f>AK15</f>
        <v>556.24</v>
      </c>
      <c r="AL14" s="584"/>
      <c r="AM14" s="584"/>
      <c r="AN14" s="584"/>
      <c r="AO14" s="584"/>
      <c r="AP14" s="585" t="s">
        <v>101</v>
      </c>
      <c r="AQ14" s="440" t="s">
        <v>1827</v>
      </c>
      <c r="AR14" s="440"/>
    </row>
    <row r="15" spans="1:72" ht="63">
      <c r="A15" s="457" t="s">
        <v>147</v>
      </c>
      <c r="B15" s="457" t="s">
        <v>1836</v>
      </c>
      <c r="C15" s="586" t="s">
        <v>2339</v>
      </c>
      <c r="D15" s="460" t="s">
        <v>1838</v>
      </c>
      <c r="E15" s="593">
        <v>1</v>
      </c>
      <c r="F15" s="594" t="s">
        <v>307</v>
      </c>
      <c r="G15" s="595" t="s">
        <v>1839</v>
      </c>
      <c r="H15" s="595" t="s">
        <v>171</v>
      </c>
      <c r="I15" s="587">
        <v>1</v>
      </c>
      <c r="J15" s="587"/>
      <c r="K15" s="587">
        <v>1</v>
      </c>
      <c r="L15" s="517"/>
      <c r="M15" s="254">
        <v>1</v>
      </c>
      <c r="N15" s="517"/>
      <c r="O15" s="517"/>
      <c r="P15" s="517">
        <v>556.24</v>
      </c>
      <c r="Q15" s="517"/>
      <c r="R15" s="517"/>
      <c r="S15" s="254"/>
      <c r="T15" s="517"/>
      <c r="U15" s="517"/>
      <c r="V15" s="517"/>
      <c r="W15" s="517"/>
      <c r="X15" s="517"/>
      <c r="Y15" s="254"/>
      <c r="Z15" s="517"/>
      <c r="AA15" s="588"/>
      <c r="AB15" s="588"/>
      <c r="AC15" s="588"/>
      <c r="AD15" s="517"/>
      <c r="AE15" s="254"/>
      <c r="AF15" s="517"/>
      <c r="AG15" s="517"/>
      <c r="AH15" s="517"/>
      <c r="AI15" s="517"/>
      <c r="AJ15" s="517">
        <f>P15</f>
        <v>556.24</v>
      </c>
      <c r="AK15" s="591">
        <f>AJ15</f>
        <v>556.24</v>
      </c>
      <c r="AL15" s="589"/>
      <c r="AM15" s="589"/>
      <c r="AN15" s="589"/>
      <c r="AO15" s="589"/>
      <c r="AP15" s="590" t="s">
        <v>101</v>
      </c>
      <c r="AQ15" s="590" t="s">
        <v>1827</v>
      </c>
      <c r="AR15" s="460"/>
    </row>
    <row r="16" spans="1:72" s="523" customFormat="1" ht="31.5">
      <c r="A16" s="558" t="s">
        <v>285</v>
      </c>
      <c r="B16" s="439" t="s">
        <v>2342</v>
      </c>
      <c r="C16" s="580" t="s">
        <v>2340</v>
      </c>
      <c r="D16" s="440" t="s">
        <v>1841</v>
      </c>
      <c r="E16" s="134">
        <f>SUM(E17:E23)</f>
        <v>332</v>
      </c>
      <c r="F16" s="130"/>
      <c r="G16" s="245"/>
      <c r="H16" s="197"/>
      <c r="I16" s="283">
        <f>SUM(I17:I23)</f>
        <v>97</v>
      </c>
      <c r="J16" s="283"/>
      <c r="K16" s="283">
        <f>SUM(K17:K23)</f>
        <v>97</v>
      </c>
      <c r="L16" s="135"/>
      <c r="M16" s="135"/>
      <c r="N16" s="135"/>
      <c r="O16" s="592">
        <f>SUM(O17:O23)</f>
        <v>6340.4800000000005</v>
      </c>
      <c r="P16" s="592">
        <f>SUM(P17:P23)</f>
        <v>2692.91</v>
      </c>
      <c r="Q16" s="592">
        <f>SUM(Q17:Q23)</f>
        <v>3916.6099999999997</v>
      </c>
      <c r="R16" s="135"/>
      <c r="S16" s="135"/>
      <c r="T16" s="135"/>
      <c r="U16" s="592">
        <f>SUM(U17:U23)</f>
        <v>7420.92</v>
      </c>
      <c r="V16" s="592">
        <f>SUM(V17:V23)</f>
        <v>3360.3799999999992</v>
      </c>
      <c r="W16" s="592">
        <f>SUM(W17:W23)</f>
        <v>2692.91</v>
      </c>
      <c r="X16" s="135"/>
      <c r="Y16" s="135"/>
      <c r="Z16" s="135"/>
      <c r="AA16" s="592">
        <f>SUM(AA17:AA23)</f>
        <v>8088.4299999999985</v>
      </c>
      <c r="AB16" s="592">
        <f>SUM(AB17:AB23)</f>
        <v>2692.91</v>
      </c>
      <c r="AC16" s="592">
        <f>SUM(AC17:AC23)</f>
        <v>3916.6099999999997</v>
      </c>
      <c r="AD16" s="135"/>
      <c r="AE16" s="135"/>
      <c r="AF16" s="135"/>
      <c r="AG16" s="592">
        <f>SUM(AG17:AG23)</f>
        <v>3916.6099999999997</v>
      </c>
      <c r="AH16" s="592">
        <f>SUM(AH17:AH23)</f>
        <v>6864.69</v>
      </c>
      <c r="AI16" s="592">
        <f>SUM(AI17:AI23)</f>
        <v>2051.4699999999998</v>
      </c>
      <c r="AJ16" s="592">
        <f>SUM(AJ17:AJ23)</f>
        <v>53954.929999999986</v>
      </c>
      <c r="AK16" s="592">
        <f>SUM(AK17:AK23)</f>
        <v>53954.929999999986</v>
      </c>
      <c r="AL16" s="596"/>
      <c r="AM16" s="596"/>
      <c r="AN16" s="596"/>
      <c r="AO16" s="596"/>
      <c r="AP16" s="597" t="s">
        <v>1842</v>
      </c>
      <c r="AQ16" s="440" t="s">
        <v>1827</v>
      </c>
      <c r="AR16" s="245"/>
      <c r="AS16" s="715">
        <f t="shared" ref="AS16:AS23" si="0">AJ16-(O16+P16+Q16+U16+V16+W16+AA16+AB16+AC16+AG16+AH16+AI16)</f>
        <v>0</v>
      </c>
      <c r="AT16" s="715">
        <f t="shared" ref="AT16:AT23" si="1">AJ16-(AK16+AL16+AM16+AN16+AO16)</f>
        <v>0</v>
      </c>
    </row>
    <row r="17" spans="1:46" s="509" customFormat="1" ht="47.25">
      <c r="A17" s="457" t="s">
        <v>285</v>
      </c>
      <c r="B17" s="457" t="s">
        <v>2342</v>
      </c>
      <c r="C17" s="586" t="s">
        <v>2229</v>
      </c>
      <c r="D17" s="460" t="s">
        <v>1843</v>
      </c>
      <c r="E17" s="717">
        <f t="shared" ref="E17:E22" si="2">L17+M17+N17+R17+S17+T17+X17+Y17+Z17+AD17+AE17+AF17</f>
        <v>168</v>
      </c>
      <c r="F17" s="718" t="s">
        <v>168</v>
      </c>
      <c r="G17" s="189" t="s">
        <v>1844</v>
      </c>
      <c r="H17" s="189" t="s">
        <v>1845</v>
      </c>
      <c r="I17" s="272">
        <v>50</v>
      </c>
      <c r="J17" s="272"/>
      <c r="K17" s="272">
        <v>50</v>
      </c>
      <c r="L17" s="23">
        <v>10</v>
      </c>
      <c r="M17" s="23">
        <v>15</v>
      </c>
      <c r="N17" s="23">
        <v>15</v>
      </c>
      <c r="O17" s="591">
        <v>2000</v>
      </c>
      <c r="P17" s="591">
        <v>2392.91</v>
      </c>
      <c r="Q17" s="591">
        <v>2392.91</v>
      </c>
      <c r="R17" s="23">
        <v>15</v>
      </c>
      <c r="S17" s="23">
        <v>15</v>
      </c>
      <c r="T17" s="23">
        <v>15</v>
      </c>
      <c r="U17" s="591">
        <v>2392.91</v>
      </c>
      <c r="V17" s="591">
        <v>2392.91</v>
      </c>
      <c r="W17" s="591">
        <v>2392.91</v>
      </c>
      <c r="X17" s="23">
        <v>15</v>
      </c>
      <c r="Y17" s="23">
        <v>15</v>
      </c>
      <c r="Z17" s="23">
        <v>15</v>
      </c>
      <c r="AA17" s="591">
        <v>2392.91</v>
      </c>
      <c r="AB17" s="591">
        <v>2392.91</v>
      </c>
      <c r="AC17" s="591">
        <v>2392.91</v>
      </c>
      <c r="AD17" s="23">
        <v>15</v>
      </c>
      <c r="AE17" s="23">
        <v>15</v>
      </c>
      <c r="AF17" s="23">
        <v>8</v>
      </c>
      <c r="AG17" s="591">
        <v>2392.91</v>
      </c>
      <c r="AH17" s="591">
        <v>2392.91</v>
      </c>
      <c r="AI17" s="591">
        <v>1882.76</v>
      </c>
      <c r="AJ17" s="588">
        <f>O17+P17+Q17+U17+V17+W17+AA17+AB17+AC17+AG17+AH17+AI17</f>
        <v>27811.859999999997</v>
      </c>
      <c r="AK17" s="588">
        <f>+AJ17</f>
        <v>27811.859999999997</v>
      </c>
      <c r="AL17" s="598"/>
      <c r="AM17" s="598"/>
      <c r="AN17" s="598"/>
      <c r="AO17" s="598"/>
      <c r="AP17" s="590" t="s">
        <v>101</v>
      </c>
      <c r="AQ17" s="590" t="s">
        <v>1827</v>
      </c>
      <c r="AR17" s="599"/>
      <c r="AS17" s="715">
        <f t="shared" si="0"/>
        <v>0</v>
      </c>
      <c r="AT17" s="715">
        <f t="shared" si="1"/>
        <v>0</v>
      </c>
    </row>
    <row r="18" spans="1:46" ht="94.5">
      <c r="A18" s="457" t="s">
        <v>285</v>
      </c>
      <c r="B18" s="457" t="s">
        <v>2342</v>
      </c>
      <c r="C18" s="586" t="s">
        <v>2234</v>
      </c>
      <c r="D18" s="460" t="s">
        <v>1846</v>
      </c>
      <c r="E18" s="136">
        <f t="shared" si="2"/>
        <v>4</v>
      </c>
      <c r="F18" s="155" t="s">
        <v>168</v>
      </c>
      <c r="G18" s="600" t="s">
        <v>1847</v>
      </c>
      <c r="H18" s="600" t="s">
        <v>1848</v>
      </c>
      <c r="I18" s="250">
        <v>30</v>
      </c>
      <c r="J18" s="250"/>
      <c r="K18" s="250">
        <v>30</v>
      </c>
      <c r="L18" s="254">
        <v>1</v>
      </c>
      <c r="M18" s="254"/>
      <c r="N18" s="254"/>
      <c r="O18" s="601">
        <v>4171.7700000000004</v>
      </c>
      <c r="P18" s="601"/>
      <c r="Q18" s="601"/>
      <c r="R18" s="254">
        <v>1</v>
      </c>
      <c r="S18" s="254"/>
      <c r="T18" s="254"/>
      <c r="U18" s="601">
        <v>4171.78</v>
      </c>
      <c r="V18" s="601"/>
      <c r="W18" s="601"/>
      <c r="X18" s="254">
        <v>1</v>
      </c>
      <c r="Y18" s="254"/>
      <c r="Z18" s="254"/>
      <c r="AA18" s="601">
        <v>4171.78</v>
      </c>
      <c r="AB18" s="602"/>
      <c r="AC18" s="602"/>
      <c r="AD18" s="254"/>
      <c r="AE18" s="254">
        <v>1</v>
      </c>
      <c r="AF18" s="254"/>
      <c r="AG18" s="601"/>
      <c r="AH18" s="601">
        <v>4171.78</v>
      </c>
      <c r="AI18" s="601"/>
      <c r="AJ18" s="588">
        <f t="shared" ref="AJ18:AJ23" si="3">O18+P18+Q18+U18+V18+W18+AA18+AB18+AC18+AG18+AH18+AI18</f>
        <v>16687.109999999997</v>
      </c>
      <c r="AK18" s="588">
        <f t="shared" ref="AK18:AK23" si="4">+AJ18</f>
        <v>16687.109999999997</v>
      </c>
      <c r="AL18" s="604"/>
      <c r="AM18" s="604"/>
      <c r="AN18" s="604"/>
      <c r="AO18" s="604"/>
      <c r="AP18" s="590" t="s">
        <v>101</v>
      </c>
      <c r="AQ18" s="590" t="s">
        <v>1827</v>
      </c>
      <c r="AR18" s="605"/>
      <c r="AS18" s="715">
        <f t="shared" si="0"/>
        <v>0</v>
      </c>
      <c r="AT18" s="715">
        <f t="shared" si="1"/>
        <v>0</v>
      </c>
    </row>
    <row r="19" spans="1:46" ht="47.25">
      <c r="A19" s="457" t="s">
        <v>285</v>
      </c>
      <c r="B19" s="457" t="s">
        <v>2342</v>
      </c>
      <c r="C19" s="586" t="s">
        <v>2341</v>
      </c>
      <c r="D19" s="460" t="s">
        <v>1849</v>
      </c>
      <c r="E19" s="136">
        <f t="shared" si="2"/>
        <v>54</v>
      </c>
      <c r="F19" s="155" t="s">
        <v>168</v>
      </c>
      <c r="G19" s="600" t="s">
        <v>1850</v>
      </c>
      <c r="H19" s="600" t="s">
        <v>1851</v>
      </c>
      <c r="I19" s="250">
        <v>6</v>
      </c>
      <c r="J19" s="250"/>
      <c r="K19" s="250">
        <v>6</v>
      </c>
      <c r="L19" s="254">
        <v>2</v>
      </c>
      <c r="M19" s="254">
        <v>5</v>
      </c>
      <c r="N19" s="254">
        <v>5</v>
      </c>
      <c r="O19" s="601">
        <v>168.71</v>
      </c>
      <c r="P19" s="601">
        <v>300</v>
      </c>
      <c r="Q19" s="601">
        <v>300</v>
      </c>
      <c r="R19" s="254">
        <v>5</v>
      </c>
      <c r="S19" s="254">
        <v>5</v>
      </c>
      <c r="T19" s="254">
        <v>5</v>
      </c>
      <c r="U19" s="601">
        <v>300</v>
      </c>
      <c r="V19" s="601">
        <v>300</v>
      </c>
      <c r="W19" s="601">
        <v>300</v>
      </c>
      <c r="X19" s="254">
        <v>5</v>
      </c>
      <c r="Y19" s="254">
        <v>5</v>
      </c>
      <c r="Z19" s="254">
        <v>5</v>
      </c>
      <c r="AA19" s="601">
        <v>300</v>
      </c>
      <c r="AB19" s="601">
        <v>300</v>
      </c>
      <c r="AC19" s="601">
        <v>300</v>
      </c>
      <c r="AD19" s="254">
        <v>5</v>
      </c>
      <c r="AE19" s="254">
        <v>5</v>
      </c>
      <c r="AF19" s="254">
        <v>2</v>
      </c>
      <c r="AG19" s="601">
        <v>300</v>
      </c>
      <c r="AH19" s="601">
        <v>300</v>
      </c>
      <c r="AI19" s="601">
        <v>168.71</v>
      </c>
      <c r="AJ19" s="588">
        <f t="shared" si="3"/>
        <v>3337.42</v>
      </c>
      <c r="AK19" s="588">
        <f t="shared" si="4"/>
        <v>3337.42</v>
      </c>
      <c r="AL19" s="606"/>
      <c r="AM19" s="606"/>
      <c r="AN19" s="606"/>
      <c r="AO19" s="606"/>
      <c r="AP19" s="590" t="s">
        <v>101</v>
      </c>
      <c r="AQ19" s="590" t="s">
        <v>1827</v>
      </c>
      <c r="AR19" s="605"/>
      <c r="AS19" s="715">
        <f t="shared" si="0"/>
        <v>0</v>
      </c>
      <c r="AT19" s="715">
        <f t="shared" si="1"/>
        <v>0</v>
      </c>
    </row>
    <row r="20" spans="1:46" ht="47.25">
      <c r="A20" s="457" t="s">
        <v>285</v>
      </c>
      <c r="B20" s="457" t="s">
        <v>2342</v>
      </c>
      <c r="C20" s="586" t="s">
        <v>2240</v>
      </c>
      <c r="D20" s="460" t="s">
        <v>1852</v>
      </c>
      <c r="E20" s="139">
        <f t="shared" si="2"/>
        <v>5</v>
      </c>
      <c r="F20" s="155" t="s">
        <v>168</v>
      </c>
      <c r="G20" s="600" t="s">
        <v>1853</v>
      </c>
      <c r="H20" s="600" t="s">
        <v>1854</v>
      </c>
      <c r="I20" s="250">
        <v>5</v>
      </c>
      <c r="J20" s="298"/>
      <c r="K20" s="250">
        <v>5</v>
      </c>
      <c r="L20" s="146"/>
      <c r="M20" s="146"/>
      <c r="N20" s="146">
        <v>1</v>
      </c>
      <c r="O20" s="607"/>
      <c r="P20" s="607"/>
      <c r="Q20" s="607">
        <v>556.23</v>
      </c>
      <c r="R20" s="146">
        <v>1</v>
      </c>
      <c r="S20" s="146"/>
      <c r="T20" s="146"/>
      <c r="U20" s="607">
        <v>556.23</v>
      </c>
      <c r="V20" s="607"/>
      <c r="W20" s="607"/>
      <c r="X20" s="146">
        <v>1</v>
      </c>
      <c r="Y20" s="146"/>
      <c r="Z20" s="146">
        <v>1</v>
      </c>
      <c r="AA20" s="603">
        <v>556.27</v>
      </c>
      <c r="AB20" s="603"/>
      <c r="AC20" s="603">
        <v>556.23</v>
      </c>
      <c r="AD20" s="146">
        <v>1</v>
      </c>
      <c r="AE20" s="146"/>
      <c r="AF20" s="146"/>
      <c r="AG20" s="607">
        <v>556.23</v>
      </c>
      <c r="AH20" s="607"/>
      <c r="AI20" s="607"/>
      <c r="AJ20" s="588">
        <f t="shared" si="3"/>
        <v>2781.19</v>
      </c>
      <c r="AK20" s="588">
        <f t="shared" si="4"/>
        <v>2781.19</v>
      </c>
      <c r="AL20" s="608"/>
      <c r="AM20" s="608"/>
      <c r="AN20" s="608"/>
      <c r="AO20" s="608"/>
      <c r="AP20" s="590" t="s">
        <v>101</v>
      </c>
      <c r="AQ20" s="590" t="s">
        <v>1827</v>
      </c>
      <c r="AR20" s="605"/>
      <c r="AS20" s="715">
        <f t="shared" si="0"/>
        <v>0</v>
      </c>
      <c r="AT20" s="715">
        <f t="shared" si="1"/>
        <v>0</v>
      </c>
    </row>
    <row r="21" spans="1:46" ht="31.5">
      <c r="A21" s="922" t="s">
        <v>285</v>
      </c>
      <c r="B21" s="922" t="s">
        <v>2342</v>
      </c>
      <c r="C21" s="925" t="s">
        <v>2245</v>
      </c>
      <c r="D21" s="928" t="s">
        <v>1855</v>
      </c>
      <c r="E21" s="136">
        <f t="shared" si="2"/>
        <v>60</v>
      </c>
      <c r="F21" s="155" t="s">
        <v>131</v>
      </c>
      <c r="G21" s="931" t="s">
        <v>1856</v>
      </c>
      <c r="H21" s="931" t="s">
        <v>1857</v>
      </c>
      <c r="I21" s="250">
        <v>2</v>
      </c>
      <c r="J21" s="250"/>
      <c r="K21" s="250">
        <v>2</v>
      </c>
      <c r="L21" s="146"/>
      <c r="M21" s="146"/>
      <c r="N21" s="146">
        <v>12</v>
      </c>
      <c r="O21" s="607"/>
      <c r="P21" s="607"/>
      <c r="Q21" s="607">
        <v>222.49</v>
      </c>
      <c r="R21" s="146"/>
      <c r="S21" s="146">
        <v>12</v>
      </c>
      <c r="T21" s="146"/>
      <c r="U21" s="607"/>
      <c r="V21" s="607">
        <v>222.49</v>
      </c>
      <c r="W21" s="607"/>
      <c r="X21" s="146">
        <v>12</v>
      </c>
      <c r="Y21" s="146"/>
      <c r="Z21" s="146">
        <v>12</v>
      </c>
      <c r="AA21" s="607">
        <v>222.49</v>
      </c>
      <c r="AB21" s="603"/>
      <c r="AC21" s="607">
        <v>222.49</v>
      </c>
      <c r="AD21" s="146">
        <v>12</v>
      </c>
      <c r="AE21" s="146"/>
      <c r="AF21" s="146"/>
      <c r="AG21" s="607">
        <v>222.49</v>
      </c>
      <c r="AH21" s="607"/>
      <c r="AI21" s="607"/>
      <c r="AJ21" s="588">
        <f t="shared" si="3"/>
        <v>1112.45</v>
      </c>
      <c r="AK21" s="588">
        <f t="shared" si="4"/>
        <v>1112.45</v>
      </c>
      <c r="AL21" s="608"/>
      <c r="AM21" s="608"/>
      <c r="AN21" s="608"/>
      <c r="AO21" s="608"/>
      <c r="AP21" s="609" t="s">
        <v>101</v>
      </c>
      <c r="AQ21" s="609" t="s">
        <v>1827</v>
      </c>
      <c r="AR21" s="605"/>
      <c r="AS21" s="715">
        <f t="shared" si="0"/>
        <v>0</v>
      </c>
      <c r="AT21" s="715">
        <f t="shared" si="1"/>
        <v>0</v>
      </c>
    </row>
    <row r="22" spans="1:46" ht="31.5">
      <c r="A22" s="923"/>
      <c r="B22" s="923"/>
      <c r="C22" s="926"/>
      <c r="D22" s="929"/>
      <c r="E22" s="136">
        <f t="shared" si="2"/>
        <v>40</v>
      </c>
      <c r="F22" s="155" t="s">
        <v>134</v>
      </c>
      <c r="G22" s="932"/>
      <c r="H22" s="932"/>
      <c r="I22" s="250">
        <v>2</v>
      </c>
      <c r="J22" s="250"/>
      <c r="K22" s="250">
        <v>2</v>
      </c>
      <c r="L22" s="146"/>
      <c r="M22" s="146"/>
      <c r="N22" s="146">
        <v>8</v>
      </c>
      <c r="O22" s="607"/>
      <c r="P22" s="607"/>
      <c r="Q22" s="607">
        <v>222.49</v>
      </c>
      <c r="R22" s="146"/>
      <c r="S22" s="146">
        <v>8</v>
      </c>
      <c r="T22" s="146"/>
      <c r="U22" s="607"/>
      <c r="V22" s="607">
        <v>222.49</v>
      </c>
      <c r="W22" s="607"/>
      <c r="X22" s="146">
        <v>8</v>
      </c>
      <c r="Y22" s="146"/>
      <c r="Z22" s="146">
        <v>8</v>
      </c>
      <c r="AA22" s="607">
        <v>222.49</v>
      </c>
      <c r="AB22" s="603"/>
      <c r="AC22" s="607">
        <v>222.49</v>
      </c>
      <c r="AD22" s="146">
        <v>8</v>
      </c>
      <c r="AE22" s="146"/>
      <c r="AF22" s="146"/>
      <c r="AG22" s="607">
        <v>222.49</v>
      </c>
      <c r="AH22" s="607"/>
      <c r="AI22" s="607"/>
      <c r="AJ22" s="588">
        <f t="shared" si="3"/>
        <v>1112.45</v>
      </c>
      <c r="AK22" s="588">
        <f t="shared" si="4"/>
        <v>1112.45</v>
      </c>
      <c r="AL22" s="608"/>
      <c r="AM22" s="608"/>
      <c r="AN22" s="608"/>
      <c r="AO22" s="608"/>
      <c r="AP22" s="609" t="s">
        <v>101</v>
      </c>
      <c r="AQ22" s="609" t="s">
        <v>1827</v>
      </c>
      <c r="AR22" s="605"/>
      <c r="AS22" s="715">
        <f t="shared" si="0"/>
        <v>0</v>
      </c>
      <c r="AT22" s="715">
        <f t="shared" si="1"/>
        <v>0</v>
      </c>
    </row>
    <row r="23" spans="1:46" ht="31.5">
      <c r="A23" s="924"/>
      <c r="B23" s="924"/>
      <c r="C23" s="927"/>
      <c r="D23" s="930"/>
      <c r="E23" s="136">
        <v>1</v>
      </c>
      <c r="F23" s="155" t="s">
        <v>196</v>
      </c>
      <c r="G23" s="933"/>
      <c r="H23" s="933"/>
      <c r="I23" s="250">
        <v>2</v>
      </c>
      <c r="J23" s="250"/>
      <c r="K23" s="250">
        <v>2</v>
      </c>
      <c r="L23" s="146"/>
      <c r="M23" s="146"/>
      <c r="N23" s="146">
        <v>1</v>
      </c>
      <c r="O23" s="607"/>
      <c r="P23" s="607"/>
      <c r="Q23" s="607">
        <v>222.49</v>
      </c>
      <c r="R23" s="146"/>
      <c r="S23" s="146">
        <v>1</v>
      </c>
      <c r="T23" s="146"/>
      <c r="U23" s="607"/>
      <c r="V23" s="607">
        <v>222.49</v>
      </c>
      <c r="W23" s="607"/>
      <c r="X23" s="146">
        <v>1</v>
      </c>
      <c r="Y23" s="146"/>
      <c r="Z23" s="146">
        <v>1</v>
      </c>
      <c r="AA23" s="607">
        <v>222.49</v>
      </c>
      <c r="AB23" s="603"/>
      <c r="AC23" s="607">
        <v>222.49</v>
      </c>
      <c r="AD23" s="146">
        <v>1</v>
      </c>
      <c r="AE23" s="146"/>
      <c r="AF23" s="146"/>
      <c r="AG23" s="607">
        <v>222.49</v>
      </c>
      <c r="AH23" s="607"/>
      <c r="AI23" s="607"/>
      <c r="AJ23" s="588">
        <f t="shared" si="3"/>
        <v>1112.45</v>
      </c>
      <c r="AK23" s="588">
        <f t="shared" si="4"/>
        <v>1112.45</v>
      </c>
      <c r="AL23" s="608"/>
      <c r="AM23" s="608"/>
      <c r="AN23" s="608"/>
      <c r="AO23" s="608"/>
      <c r="AP23" s="609" t="s">
        <v>101</v>
      </c>
      <c r="AQ23" s="609" t="s">
        <v>1827</v>
      </c>
      <c r="AR23" s="605"/>
      <c r="AS23" s="715">
        <f t="shared" si="0"/>
        <v>0</v>
      </c>
      <c r="AT23" s="715">
        <f t="shared" si="1"/>
        <v>0</v>
      </c>
    </row>
    <row r="24" spans="1:46" s="620" customFormat="1" ht="17.25" customHeight="1">
      <c r="A24" s="461"/>
      <c r="B24" s="461"/>
      <c r="C24" s="461"/>
      <c r="D24" s="461" t="s">
        <v>156</v>
      </c>
      <c r="E24" s="610"/>
      <c r="F24" s="611"/>
      <c r="G24" s="612"/>
      <c r="H24" s="613"/>
      <c r="I24" s="614">
        <f>SUM(I10+I12+I14+I16)</f>
        <v>100</v>
      </c>
      <c r="J24" s="614"/>
      <c r="K24" s="614">
        <f>SUM(K10+K12+K14+K16)</f>
        <v>100</v>
      </c>
      <c r="L24" s="615"/>
      <c r="M24" s="615"/>
      <c r="N24" s="615"/>
      <c r="O24" s="616">
        <f>SUM(O10+O12+O14+O16)</f>
        <v>6340.4800000000005</v>
      </c>
      <c r="P24" s="616">
        <f>SUM(P10+P12+P14+P16)</f>
        <v>3249.1499999999996</v>
      </c>
      <c r="Q24" s="616">
        <f>SUM(Q10+Q12+Q14+Q16)</f>
        <v>4472.8499999999995</v>
      </c>
      <c r="R24" s="615"/>
      <c r="S24" s="615"/>
      <c r="T24" s="615"/>
      <c r="U24" s="616">
        <f>SUM(U10+U12+U14+U16)</f>
        <v>7977.16</v>
      </c>
      <c r="V24" s="616">
        <f>SUM(V10+V12+V14+V16)</f>
        <v>3360.3799999999992</v>
      </c>
      <c r="W24" s="616">
        <f>SUM(W10+W12+W14+W16)</f>
        <v>2692.91</v>
      </c>
      <c r="X24" s="615"/>
      <c r="Y24" s="615"/>
      <c r="Z24" s="615"/>
      <c r="AA24" s="616">
        <f>SUM(AA10+AA12+AA14+AA16)</f>
        <v>8088.4299999999985</v>
      </c>
      <c r="AB24" s="616">
        <f>SUM(AB10+AB12+AB14+AB16)</f>
        <v>2692.91</v>
      </c>
      <c r="AC24" s="616">
        <f>SUM(AC10+AC12+AC14+AC16)</f>
        <v>3916.6099999999997</v>
      </c>
      <c r="AD24" s="615"/>
      <c r="AE24" s="615"/>
      <c r="AF24" s="615"/>
      <c r="AG24" s="616">
        <f>SUM(AG10+AG12+AG14+AG16)</f>
        <v>3916.6099999999997</v>
      </c>
      <c r="AH24" s="616">
        <f>SUM(AH10+AH12+AH14+AH16)</f>
        <v>6864.69</v>
      </c>
      <c r="AI24" s="616">
        <f>SUM(AI10+AI12+AI14+AI16)</f>
        <v>2051.4699999999998</v>
      </c>
      <c r="AJ24" s="616">
        <f>SUM(L24:AI24)</f>
        <v>55623.649999999994</v>
      </c>
      <c r="AK24" s="616">
        <f>SUM(AK10+AK12+AK14+AK16)</f>
        <v>55623.649999999987</v>
      </c>
      <c r="AL24" s="617"/>
      <c r="AM24" s="617"/>
      <c r="AN24" s="617"/>
      <c r="AO24" s="617"/>
      <c r="AP24" s="618"/>
      <c r="AQ24" s="619"/>
      <c r="AR24" s="612"/>
    </row>
    <row r="25" spans="1:46">
      <c r="B25" s="788"/>
      <c r="C25" s="788"/>
    </row>
    <row r="26" spans="1:46">
      <c r="AI26" s="789"/>
    </row>
  </sheetData>
  <mergeCells count="43">
    <mergeCell ref="A1:AR1"/>
    <mergeCell ref="A2:AR2"/>
    <mergeCell ref="A6:C6"/>
    <mergeCell ref="D6:D9"/>
    <mergeCell ref="E6:E9"/>
    <mergeCell ref="F6:F9"/>
    <mergeCell ref="G6:G9"/>
    <mergeCell ref="H6:H9"/>
    <mergeCell ref="I6:I9"/>
    <mergeCell ref="J6:J9"/>
    <mergeCell ref="AK6:AO6"/>
    <mergeCell ref="AP6:AP9"/>
    <mergeCell ref="AQ6:AQ9"/>
    <mergeCell ref="AR6:AR9"/>
    <mergeCell ref="AD7:AI7"/>
    <mergeCell ref="AJ7:AJ9"/>
    <mergeCell ref="AK7:AK9"/>
    <mergeCell ref="AL7:AL9"/>
    <mergeCell ref="AM7:AM9"/>
    <mergeCell ref="AN7:AN9"/>
    <mergeCell ref="AO7:AO9"/>
    <mergeCell ref="X7:AC7"/>
    <mergeCell ref="L8:N8"/>
    <mergeCell ref="O8:Q8"/>
    <mergeCell ref="R8:T8"/>
    <mergeCell ref="U8:W8"/>
    <mergeCell ref="X8:Z8"/>
    <mergeCell ref="AG8:AI8"/>
    <mergeCell ref="A21:A23"/>
    <mergeCell ref="B21:B23"/>
    <mergeCell ref="C21:C23"/>
    <mergeCell ref="D21:D23"/>
    <mergeCell ref="G21:G23"/>
    <mergeCell ref="H21:H23"/>
    <mergeCell ref="A7:A9"/>
    <mergeCell ref="B7:B9"/>
    <mergeCell ref="C7:C9"/>
    <mergeCell ref="K6:K9"/>
    <mergeCell ref="L6:AJ6"/>
    <mergeCell ref="AA8:AC8"/>
    <mergeCell ref="AD8:AF8"/>
    <mergeCell ref="L7:Q7"/>
    <mergeCell ref="R7:W7"/>
  </mergeCells>
  <printOptions horizontalCentered="1"/>
  <pageMargins left="0.98425196850393704" right="0.78740157480314965" top="0.98425196850393704" bottom="0.78740157480314965" header="0" footer="0"/>
  <pageSetup paperSize="5" scale="40" fitToHeight="2" orientation="landscape" r:id="rId1"/>
  <headerFooter alignWithMargins="0">
    <oddFooter>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FF00"/>
  </sheetPr>
  <dimension ref="A1:BJ65"/>
  <sheetViews>
    <sheetView showGridLines="0" view="pageBreakPreview" topLeftCell="AF54" zoomScale="124" zoomScaleSheetLayoutView="124" workbookViewId="0">
      <selection activeCell="A29" sqref="A29"/>
    </sheetView>
  </sheetViews>
  <sheetFormatPr baseColWidth="10" defaultRowHeight="15.75"/>
  <cols>
    <col min="1" max="1" width="5.5703125" style="124" bestFit="1" customWidth="1"/>
    <col min="2" max="2" width="10.5703125" style="124" bestFit="1" customWidth="1"/>
    <col min="3" max="3" width="18.42578125" style="307" bestFit="1" customWidth="1"/>
    <col min="4" max="4" width="27.140625" style="124" customWidth="1"/>
    <col min="5" max="5" width="8.5703125" style="124" bestFit="1" customWidth="1"/>
    <col min="6" max="6" width="13.140625" style="124" bestFit="1" customWidth="1"/>
    <col min="7" max="7" width="25.7109375" style="124" customWidth="1"/>
    <col min="8" max="8" width="13.85546875" style="124" customWidth="1"/>
    <col min="9" max="9" width="13.140625" style="124" customWidth="1"/>
    <col min="10" max="10" width="11.85546875" style="124" customWidth="1"/>
    <col min="11" max="11" width="12.140625" style="307" customWidth="1"/>
    <col min="12" max="14" width="4.7109375" style="307" bestFit="1" customWidth="1"/>
    <col min="15" max="15" width="8.5703125" style="237" bestFit="1" customWidth="1"/>
    <col min="16" max="17" width="7.42578125" style="237" bestFit="1" customWidth="1"/>
    <col min="18" max="18" width="8.5703125" style="308" bestFit="1" customWidth="1"/>
    <col min="19" max="20" width="4.7109375" style="308" bestFit="1" customWidth="1"/>
    <col min="21" max="21" width="10.85546875" style="237" bestFit="1" customWidth="1"/>
    <col min="22" max="22" width="8.140625" style="237" bestFit="1" customWidth="1"/>
    <col min="23" max="23" width="8.5703125" style="124" bestFit="1" customWidth="1"/>
    <col min="24" max="26" width="4.7109375" style="124" bestFit="1" customWidth="1"/>
    <col min="27" max="29" width="8.5703125" style="124" bestFit="1" customWidth="1"/>
    <col min="30" max="32" width="4.7109375" style="307" bestFit="1" customWidth="1"/>
    <col min="33" max="34" width="7.5703125" style="124" bestFit="1" customWidth="1"/>
    <col min="35" max="35" width="11.5703125" style="124" bestFit="1" customWidth="1"/>
    <col min="36" max="36" width="13.85546875" style="124" bestFit="1" customWidth="1"/>
    <col min="37" max="37" width="11" style="237" bestFit="1" customWidth="1"/>
    <col min="38" max="38" width="10.42578125" style="124" bestFit="1" customWidth="1"/>
    <col min="39" max="39" width="6.42578125" style="124" bestFit="1" customWidth="1"/>
    <col min="40" max="40" width="12.42578125" style="124" bestFit="1" customWidth="1"/>
    <col min="41" max="41" width="7.5703125" style="124" bestFit="1" customWidth="1"/>
    <col min="42" max="42" width="11.28515625" style="124" customWidth="1"/>
    <col min="43" max="43" width="13" style="124" customWidth="1"/>
    <col min="44" max="44" width="31.28515625" style="124" customWidth="1"/>
    <col min="45" max="45" width="11.42578125" style="124"/>
    <col min="46" max="46" width="11.5703125" style="124" bestFit="1" customWidth="1"/>
    <col min="47" max="244" width="11.42578125" style="124"/>
    <col min="245" max="245" width="0" style="124" hidden="1" customWidth="1"/>
    <col min="246" max="246" width="0.28515625" style="124" customWidth="1"/>
    <col min="247" max="247" width="3.7109375" style="124" customWidth="1"/>
    <col min="248" max="248" width="8.140625" style="124" customWidth="1"/>
    <col min="249" max="249" width="10.140625" style="124" customWidth="1"/>
    <col min="250" max="250" width="20" style="124" customWidth="1"/>
    <col min="251" max="251" width="8.140625" style="124" customWidth="1"/>
    <col min="252" max="252" width="8.42578125" style="124" customWidth="1"/>
    <col min="253" max="253" width="12.28515625" style="124" customWidth="1"/>
    <col min="254" max="254" width="6.7109375" style="124" customWidth="1"/>
    <col min="255" max="255" width="6.28515625" style="124" customWidth="1"/>
    <col min="256" max="256" width="8.42578125" style="124" customWidth="1"/>
    <col min="257" max="257" width="7.140625" style="124" customWidth="1"/>
    <col min="258" max="258" width="3.28515625" style="124" customWidth="1"/>
    <col min="259" max="259" width="3.5703125" style="124" customWidth="1"/>
    <col min="260" max="260" width="5.140625" style="124" customWidth="1"/>
    <col min="261" max="261" width="5.7109375" style="124" customWidth="1"/>
    <col min="262" max="262" width="6.140625" style="124" bestFit="1" customWidth="1"/>
    <col min="263" max="263" width="6.7109375" style="124" customWidth="1"/>
    <col min="264" max="264" width="5.7109375" style="124" bestFit="1" customWidth="1"/>
    <col min="265" max="265" width="3.140625" style="124" bestFit="1" customWidth="1"/>
    <col min="266" max="266" width="4.140625" style="124" bestFit="1" customWidth="1"/>
    <col min="267" max="267" width="6.28515625" style="124" customWidth="1"/>
    <col min="268" max="269" width="6.140625" style="124" bestFit="1" customWidth="1"/>
    <col min="270" max="270" width="4.5703125" style="124" customWidth="1"/>
    <col min="271" max="271" width="5.5703125" style="124" bestFit="1" customWidth="1"/>
    <col min="272" max="272" width="4.85546875" style="124" customWidth="1"/>
    <col min="273" max="273" width="5.5703125" style="124" customWidth="1"/>
    <col min="274" max="274" width="5.85546875" style="124" customWidth="1"/>
    <col min="275" max="275" width="5.5703125" style="124" customWidth="1"/>
    <col min="276" max="276" width="3.42578125" style="124" customWidth="1"/>
    <col min="277" max="277" width="3.28515625" style="124" customWidth="1"/>
    <col min="278" max="278" width="4.28515625" style="124" bestFit="1" customWidth="1"/>
    <col min="279" max="279" width="5.28515625" style="124" bestFit="1" customWidth="1"/>
    <col min="280" max="280" width="6.140625" style="124" bestFit="1" customWidth="1"/>
    <col min="281" max="281" width="5.140625" style="124" bestFit="1" customWidth="1"/>
    <col min="282" max="282" width="7.5703125" style="124" customWidth="1"/>
    <col min="283" max="283" width="6.28515625" style="124" customWidth="1"/>
    <col min="284" max="286" width="5.42578125" style="124" customWidth="1"/>
    <col min="287" max="287" width="6.140625" style="124" customWidth="1"/>
    <col min="288" max="288" width="6.7109375" style="124" customWidth="1"/>
    <col min="289" max="289" width="8.7109375" style="124" customWidth="1"/>
    <col min="290" max="290" width="9" style="124" customWidth="1"/>
    <col min="291" max="500" width="11.42578125" style="124"/>
    <col min="501" max="501" width="0" style="124" hidden="1" customWidth="1"/>
    <col min="502" max="502" width="0.28515625" style="124" customWidth="1"/>
    <col min="503" max="503" width="3.7109375" style="124" customWidth="1"/>
    <col min="504" max="504" width="8.140625" style="124" customWidth="1"/>
    <col min="505" max="505" width="10.140625" style="124" customWidth="1"/>
    <col min="506" max="506" width="20" style="124" customWidth="1"/>
    <col min="507" max="507" width="8.140625" style="124" customWidth="1"/>
    <col min="508" max="508" width="8.42578125" style="124" customWidth="1"/>
    <col min="509" max="509" width="12.28515625" style="124" customWidth="1"/>
    <col min="510" max="510" width="6.7109375" style="124" customWidth="1"/>
    <col min="511" max="511" width="6.28515625" style="124" customWidth="1"/>
    <col min="512" max="512" width="8.42578125" style="124" customWidth="1"/>
    <col min="513" max="513" width="7.140625" style="124" customWidth="1"/>
    <col min="514" max="514" width="3.28515625" style="124" customWidth="1"/>
    <col min="515" max="515" width="3.5703125" style="124" customWidth="1"/>
    <col min="516" max="516" width="5.140625" style="124" customWidth="1"/>
    <col min="517" max="517" width="5.7109375" style="124" customWidth="1"/>
    <col min="518" max="518" width="6.140625" style="124" bestFit="1" customWidth="1"/>
    <col min="519" max="519" width="6.7109375" style="124" customWidth="1"/>
    <col min="520" max="520" width="5.7109375" style="124" bestFit="1" customWidth="1"/>
    <col min="521" max="521" width="3.140625" style="124" bestFit="1" customWidth="1"/>
    <col min="522" max="522" width="4.140625" style="124" bestFit="1" customWidth="1"/>
    <col min="523" max="523" width="6.28515625" style="124" customWidth="1"/>
    <col min="524" max="525" width="6.140625" style="124" bestFit="1" customWidth="1"/>
    <col min="526" max="526" width="4.5703125" style="124" customWidth="1"/>
    <col min="527" max="527" width="5.5703125" style="124" bestFit="1" customWidth="1"/>
    <col min="528" max="528" width="4.85546875" style="124" customWidth="1"/>
    <col min="529" max="529" width="5.5703125" style="124" customWidth="1"/>
    <col min="530" max="530" width="5.85546875" style="124" customWidth="1"/>
    <col min="531" max="531" width="5.5703125" style="124" customWidth="1"/>
    <col min="532" max="532" width="3.42578125" style="124" customWidth="1"/>
    <col min="533" max="533" width="3.28515625" style="124" customWidth="1"/>
    <col min="534" max="534" width="4.28515625" style="124" bestFit="1" customWidth="1"/>
    <col min="535" max="535" width="5.28515625" style="124" bestFit="1" customWidth="1"/>
    <col min="536" max="536" width="6.140625" style="124" bestFit="1" customWidth="1"/>
    <col min="537" max="537" width="5.140625" style="124" bestFit="1" customWidth="1"/>
    <col min="538" max="538" width="7.5703125" style="124" customWidth="1"/>
    <col min="539" max="539" width="6.28515625" style="124" customWidth="1"/>
    <col min="540" max="542" width="5.42578125" style="124" customWidth="1"/>
    <col min="543" max="543" width="6.140625" style="124" customWidth="1"/>
    <col min="544" max="544" width="6.7109375" style="124" customWidth="1"/>
    <col min="545" max="545" width="8.7109375" style="124" customWidth="1"/>
    <col min="546" max="546" width="9" style="124" customWidth="1"/>
    <col min="547" max="756" width="11.42578125" style="124"/>
    <col min="757" max="757" width="0" style="124" hidden="1" customWidth="1"/>
    <col min="758" max="758" width="0.28515625" style="124" customWidth="1"/>
    <col min="759" max="759" width="3.7109375" style="124" customWidth="1"/>
    <col min="760" max="760" width="8.140625" style="124" customWidth="1"/>
    <col min="761" max="761" width="10.140625" style="124" customWidth="1"/>
    <col min="762" max="762" width="20" style="124" customWidth="1"/>
    <col min="763" max="763" width="8.140625" style="124" customWidth="1"/>
    <col min="764" max="764" width="8.42578125" style="124" customWidth="1"/>
    <col min="765" max="765" width="12.28515625" style="124" customWidth="1"/>
    <col min="766" max="766" width="6.7109375" style="124" customWidth="1"/>
    <col min="767" max="767" width="6.28515625" style="124" customWidth="1"/>
    <col min="768" max="768" width="8.42578125" style="124" customWidth="1"/>
    <col min="769" max="769" width="7.140625" style="124" customWidth="1"/>
    <col min="770" max="770" width="3.28515625" style="124" customWidth="1"/>
    <col min="771" max="771" width="3.5703125" style="124" customWidth="1"/>
    <col min="772" max="772" width="5.140625" style="124" customWidth="1"/>
    <col min="773" max="773" width="5.7109375" style="124" customWidth="1"/>
    <col min="774" max="774" width="6.140625" style="124" bestFit="1" customWidth="1"/>
    <col min="775" max="775" width="6.7109375" style="124" customWidth="1"/>
    <col min="776" max="776" width="5.7109375" style="124" bestFit="1" customWidth="1"/>
    <col min="777" max="777" width="3.140625" style="124" bestFit="1" customWidth="1"/>
    <col min="778" max="778" width="4.140625" style="124" bestFit="1" customWidth="1"/>
    <col min="779" max="779" width="6.28515625" style="124" customWidth="1"/>
    <col min="780" max="781" width="6.140625" style="124" bestFit="1" customWidth="1"/>
    <col min="782" max="782" width="4.5703125" style="124" customWidth="1"/>
    <col min="783" max="783" width="5.5703125" style="124" bestFit="1" customWidth="1"/>
    <col min="784" max="784" width="4.85546875" style="124" customWidth="1"/>
    <col min="785" max="785" width="5.5703125" style="124" customWidth="1"/>
    <col min="786" max="786" width="5.85546875" style="124" customWidth="1"/>
    <col min="787" max="787" width="5.5703125" style="124" customWidth="1"/>
    <col min="788" max="788" width="3.42578125" style="124" customWidth="1"/>
    <col min="789" max="789" width="3.28515625" style="124" customWidth="1"/>
    <col min="790" max="790" width="4.28515625" style="124" bestFit="1" customWidth="1"/>
    <col min="791" max="791" width="5.28515625" style="124" bestFit="1" customWidth="1"/>
    <col min="792" max="792" width="6.140625" style="124" bestFit="1" customWidth="1"/>
    <col min="793" max="793" width="5.140625" style="124" bestFit="1" customWidth="1"/>
    <col min="794" max="794" width="7.5703125" style="124" customWidth="1"/>
    <col min="795" max="795" width="6.28515625" style="124" customWidth="1"/>
    <col min="796" max="798" width="5.42578125" style="124" customWidth="1"/>
    <col min="799" max="799" width="6.140625" style="124" customWidth="1"/>
    <col min="800" max="800" width="6.7109375" style="124" customWidth="1"/>
    <col min="801" max="801" width="8.7109375" style="124" customWidth="1"/>
    <col min="802" max="802" width="9" style="124" customWidth="1"/>
    <col min="803" max="1012" width="11.42578125" style="124"/>
    <col min="1013" max="1013" width="0" style="124" hidden="1" customWidth="1"/>
    <col min="1014" max="1014" width="0.28515625" style="124" customWidth="1"/>
    <col min="1015" max="1015" width="3.7109375" style="124" customWidth="1"/>
    <col min="1016" max="1016" width="8.140625" style="124" customWidth="1"/>
    <col min="1017" max="1017" width="10.140625" style="124" customWidth="1"/>
    <col min="1018" max="1018" width="20" style="124" customWidth="1"/>
    <col min="1019" max="1019" width="8.140625" style="124" customWidth="1"/>
    <col min="1020" max="1020" width="8.42578125" style="124" customWidth="1"/>
    <col min="1021" max="1021" width="12.28515625" style="124" customWidth="1"/>
    <col min="1022" max="1022" width="6.7109375" style="124" customWidth="1"/>
    <col min="1023" max="1023" width="6.28515625" style="124" customWidth="1"/>
    <col min="1024" max="1024" width="8.42578125" style="124" customWidth="1"/>
    <col min="1025" max="1025" width="7.140625" style="124" customWidth="1"/>
    <col min="1026" max="1026" width="3.28515625" style="124" customWidth="1"/>
    <col min="1027" max="1027" width="3.5703125" style="124" customWidth="1"/>
    <col min="1028" max="1028" width="5.140625" style="124" customWidth="1"/>
    <col min="1029" max="1029" width="5.7109375" style="124" customWidth="1"/>
    <col min="1030" max="1030" width="6.140625" style="124" bestFit="1" customWidth="1"/>
    <col min="1031" max="1031" width="6.7109375" style="124" customWidth="1"/>
    <col min="1032" max="1032" width="5.7109375" style="124" bestFit="1" customWidth="1"/>
    <col min="1033" max="1033" width="3.140625" style="124" bestFit="1" customWidth="1"/>
    <col min="1034" max="1034" width="4.140625" style="124" bestFit="1" customWidth="1"/>
    <col min="1035" max="1035" width="6.28515625" style="124" customWidth="1"/>
    <col min="1036" max="1037" width="6.140625" style="124" bestFit="1" customWidth="1"/>
    <col min="1038" max="1038" width="4.5703125" style="124" customWidth="1"/>
    <col min="1039" max="1039" width="5.5703125" style="124" bestFit="1" customWidth="1"/>
    <col min="1040" max="1040" width="4.85546875" style="124" customWidth="1"/>
    <col min="1041" max="1041" width="5.5703125" style="124" customWidth="1"/>
    <col min="1042" max="1042" width="5.85546875" style="124" customWidth="1"/>
    <col min="1043" max="1043" width="5.5703125" style="124" customWidth="1"/>
    <col min="1044" max="1044" width="3.42578125" style="124" customWidth="1"/>
    <col min="1045" max="1045" width="3.28515625" style="124" customWidth="1"/>
    <col min="1046" max="1046" width="4.28515625" style="124" bestFit="1" customWidth="1"/>
    <col min="1047" max="1047" width="5.28515625" style="124" bestFit="1" customWidth="1"/>
    <col min="1048" max="1048" width="6.140625" style="124" bestFit="1" customWidth="1"/>
    <col min="1049" max="1049" width="5.140625" style="124" bestFit="1" customWidth="1"/>
    <col min="1050" max="1050" width="7.5703125" style="124" customWidth="1"/>
    <col min="1051" max="1051" width="6.28515625" style="124" customWidth="1"/>
    <col min="1052" max="1054" width="5.42578125" style="124" customWidth="1"/>
    <col min="1055" max="1055" width="6.140625" style="124" customWidth="1"/>
    <col min="1056" max="1056" width="6.7109375" style="124" customWidth="1"/>
    <col min="1057" max="1057" width="8.7109375" style="124" customWidth="1"/>
    <col min="1058" max="1058" width="9" style="124" customWidth="1"/>
    <col min="1059" max="1268" width="11.42578125" style="124"/>
    <col min="1269" max="1269" width="0" style="124" hidden="1" customWidth="1"/>
    <col min="1270" max="1270" width="0.28515625" style="124" customWidth="1"/>
    <col min="1271" max="1271" width="3.7109375" style="124" customWidth="1"/>
    <col min="1272" max="1272" width="8.140625" style="124" customWidth="1"/>
    <col min="1273" max="1273" width="10.140625" style="124" customWidth="1"/>
    <col min="1274" max="1274" width="20" style="124" customWidth="1"/>
    <col min="1275" max="1275" width="8.140625" style="124" customWidth="1"/>
    <col min="1276" max="1276" width="8.42578125" style="124" customWidth="1"/>
    <col min="1277" max="1277" width="12.28515625" style="124" customWidth="1"/>
    <col min="1278" max="1278" width="6.7109375" style="124" customWidth="1"/>
    <col min="1279" max="1279" width="6.28515625" style="124" customWidth="1"/>
    <col min="1280" max="1280" width="8.42578125" style="124" customWidth="1"/>
    <col min="1281" max="1281" width="7.140625" style="124" customWidth="1"/>
    <col min="1282" max="1282" width="3.28515625" style="124" customWidth="1"/>
    <col min="1283" max="1283" width="3.5703125" style="124" customWidth="1"/>
    <col min="1284" max="1284" width="5.140625" style="124" customWidth="1"/>
    <col min="1285" max="1285" width="5.7109375" style="124" customWidth="1"/>
    <col min="1286" max="1286" width="6.140625" style="124" bestFit="1" customWidth="1"/>
    <col min="1287" max="1287" width="6.7109375" style="124" customWidth="1"/>
    <col min="1288" max="1288" width="5.7109375" style="124" bestFit="1" customWidth="1"/>
    <col min="1289" max="1289" width="3.140625" style="124" bestFit="1" customWidth="1"/>
    <col min="1290" max="1290" width="4.140625" style="124" bestFit="1" customWidth="1"/>
    <col min="1291" max="1291" width="6.28515625" style="124" customWidth="1"/>
    <col min="1292" max="1293" width="6.140625" style="124" bestFit="1" customWidth="1"/>
    <col min="1294" max="1294" width="4.5703125" style="124" customWidth="1"/>
    <col min="1295" max="1295" width="5.5703125" style="124" bestFit="1" customWidth="1"/>
    <col min="1296" max="1296" width="4.85546875" style="124" customWidth="1"/>
    <col min="1297" max="1297" width="5.5703125" style="124" customWidth="1"/>
    <col min="1298" max="1298" width="5.85546875" style="124" customWidth="1"/>
    <col min="1299" max="1299" width="5.5703125" style="124" customWidth="1"/>
    <col min="1300" max="1300" width="3.42578125" style="124" customWidth="1"/>
    <col min="1301" max="1301" width="3.28515625" style="124" customWidth="1"/>
    <col min="1302" max="1302" width="4.28515625" style="124" bestFit="1" customWidth="1"/>
    <col min="1303" max="1303" width="5.28515625" style="124" bestFit="1" customWidth="1"/>
    <col min="1304" max="1304" width="6.140625" style="124" bestFit="1" customWidth="1"/>
    <col min="1305" max="1305" width="5.140625" style="124" bestFit="1" customWidth="1"/>
    <col min="1306" max="1306" width="7.5703125" style="124" customWidth="1"/>
    <col min="1307" max="1307" width="6.28515625" style="124" customWidth="1"/>
    <col min="1308" max="1310" width="5.42578125" style="124" customWidth="1"/>
    <col min="1311" max="1311" width="6.140625" style="124" customWidth="1"/>
    <col min="1312" max="1312" width="6.7109375" style="124" customWidth="1"/>
    <col min="1313" max="1313" width="8.7109375" style="124" customWidth="1"/>
    <col min="1314" max="1314" width="9" style="124" customWidth="1"/>
    <col min="1315" max="1524" width="11.42578125" style="124"/>
    <col min="1525" max="1525" width="0" style="124" hidden="1" customWidth="1"/>
    <col min="1526" max="1526" width="0.28515625" style="124" customWidth="1"/>
    <col min="1527" max="1527" width="3.7109375" style="124" customWidth="1"/>
    <col min="1528" max="1528" width="8.140625" style="124" customWidth="1"/>
    <col min="1529" max="1529" width="10.140625" style="124" customWidth="1"/>
    <col min="1530" max="1530" width="20" style="124" customWidth="1"/>
    <col min="1531" max="1531" width="8.140625" style="124" customWidth="1"/>
    <col min="1532" max="1532" width="8.42578125" style="124" customWidth="1"/>
    <col min="1533" max="1533" width="12.28515625" style="124" customWidth="1"/>
    <col min="1534" max="1534" width="6.7109375" style="124" customWidth="1"/>
    <col min="1535" max="1535" width="6.28515625" style="124" customWidth="1"/>
    <col min="1536" max="1536" width="8.42578125" style="124" customWidth="1"/>
    <col min="1537" max="1537" width="7.140625" style="124" customWidth="1"/>
    <col min="1538" max="1538" width="3.28515625" style="124" customWidth="1"/>
    <col min="1539" max="1539" width="3.5703125" style="124" customWidth="1"/>
    <col min="1540" max="1540" width="5.140625" style="124" customWidth="1"/>
    <col min="1541" max="1541" width="5.7109375" style="124" customWidth="1"/>
    <col min="1542" max="1542" width="6.140625" style="124" bestFit="1" customWidth="1"/>
    <col min="1543" max="1543" width="6.7109375" style="124" customWidth="1"/>
    <col min="1544" max="1544" width="5.7109375" style="124" bestFit="1" customWidth="1"/>
    <col min="1545" max="1545" width="3.140625" style="124" bestFit="1" customWidth="1"/>
    <col min="1546" max="1546" width="4.140625" style="124" bestFit="1" customWidth="1"/>
    <col min="1547" max="1547" width="6.28515625" style="124" customWidth="1"/>
    <col min="1548" max="1549" width="6.140625" style="124" bestFit="1" customWidth="1"/>
    <col min="1550" max="1550" width="4.5703125" style="124" customWidth="1"/>
    <col min="1551" max="1551" width="5.5703125" style="124" bestFit="1" customWidth="1"/>
    <col min="1552" max="1552" width="4.85546875" style="124" customWidth="1"/>
    <col min="1553" max="1553" width="5.5703125" style="124" customWidth="1"/>
    <col min="1554" max="1554" width="5.85546875" style="124" customWidth="1"/>
    <col min="1555" max="1555" width="5.5703125" style="124" customWidth="1"/>
    <col min="1556" max="1556" width="3.42578125" style="124" customWidth="1"/>
    <col min="1557" max="1557" width="3.28515625" style="124" customWidth="1"/>
    <col min="1558" max="1558" width="4.28515625" style="124" bestFit="1" customWidth="1"/>
    <col min="1559" max="1559" width="5.28515625" style="124" bestFit="1" customWidth="1"/>
    <col min="1560" max="1560" width="6.140625" style="124" bestFit="1" customWidth="1"/>
    <col min="1561" max="1561" width="5.140625" style="124" bestFit="1" customWidth="1"/>
    <col min="1562" max="1562" width="7.5703125" style="124" customWidth="1"/>
    <col min="1563" max="1563" width="6.28515625" style="124" customWidth="1"/>
    <col min="1564" max="1566" width="5.42578125" style="124" customWidth="1"/>
    <col min="1567" max="1567" width="6.140625" style="124" customWidth="1"/>
    <col min="1568" max="1568" width="6.7109375" style="124" customWidth="1"/>
    <col min="1569" max="1569" width="8.7109375" style="124" customWidth="1"/>
    <col min="1570" max="1570" width="9" style="124" customWidth="1"/>
    <col min="1571" max="1780" width="11.42578125" style="124"/>
    <col min="1781" max="1781" width="0" style="124" hidden="1" customWidth="1"/>
    <col min="1782" max="1782" width="0.28515625" style="124" customWidth="1"/>
    <col min="1783" max="1783" width="3.7109375" style="124" customWidth="1"/>
    <col min="1784" max="1784" width="8.140625" style="124" customWidth="1"/>
    <col min="1785" max="1785" width="10.140625" style="124" customWidth="1"/>
    <col min="1786" max="1786" width="20" style="124" customWidth="1"/>
    <col min="1787" max="1787" width="8.140625" style="124" customWidth="1"/>
    <col min="1788" max="1788" width="8.42578125" style="124" customWidth="1"/>
    <col min="1789" max="1789" width="12.28515625" style="124" customWidth="1"/>
    <col min="1790" max="1790" width="6.7109375" style="124" customWidth="1"/>
    <col min="1791" max="1791" width="6.28515625" style="124" customWidth="1"/>
    <col min="1792" max="1792" width="8.42578125" style="124" customWidth="1"/>
    <col min="1793" max="1793" width="7.140625" style="124" customWidth="1"/>
    <col min="1794" max="1794" width="3.28515625" style="124" customWidth="1"/>
    <col min="1795" max="1795" width="3.5703125" style="124" customWidth="1"/>
    <col min="1796" max="1796" width="5.140625" style="124" customWidth="1"/>
    <col min="1797" max="1797" width="5.7109375" style="124" customWidth="1"/>
    <col min="1798" max="1798" width="6.140625" style="124" bestFit="1" customWidth="1"/>
    <col min="1799" max="1799" width="6.7109375" style="124" customWidth="1"/>
    <col min="1800" max="1800" width="5.7109375" style="124" bestFit="1" customWidth="1"/>
    <col min="1801" max="1801" width="3.140625" style="124" bestFit="1" customWidth="1"/>
    <col min="1802" max="1802" width="4.140625" style="124" bestFit="1" customWidth="1"/>
    <col min="1803" max="1803" width="6.28515625" style="124" customWidth="1"/>
    <col min="1804" max="1805" width="6.140625" style="124" bestFit="1" customWidth="1"/>
    <col min="1806" max="1806" width="4.5703125" style="124" customWidth="1"/>
    <col min="1807" max="1807" width="5.5703125" style="124" bestFit="1" customWidth="1"/>
    <col min="1808" max="1808" width="4.85546875" style="124" customWidth="1"/>
    <col min="1809" max="1809" width="5.5703125" style="124" customWidth="1"/>
    <col min="1810" max="1810" width="5.85546875" style="124" customWidth="1"/>
    <col min="1811" max="1811" width="5.5703125" style="124" customWidth="1"/>
    <col min="1812" max="1812" width="3.42578125" style="124" customWidth="1"/>
    <col min="1813" max="1813" width="3.28515625" style="124" customWidth="1"/>
    <col min="1814" max="1814" width="4.28515625" style="124" bestFit="1" customWidth="1"/>
    <col min="1815" max="1815" width="5.28515625" style="124" bestFit="1" customWidth="1"/>
    <col min="1816" max="1816" width="6.140625" style="124" bestFit="1" customWidth="1"/>
    <col min="1817" max="1817" width="5.140625" style="124" bestFit="1" customWidth="1"/>
    <col min="1818" max="1818" width="7.5703125" style="124" customWidth="1"/>
    <col min="1819" max="1819" width="6.28515625" style="124" customWidth="1"/>
    <col min="1820" max="1822" width="5.42578125" style="124" customWidth="1"/>
    <col min="1823" max="1823" width="6.140625" style="124" customWidth="1"/>
    <col min="1824" max="1824" width="6.7109375" style="124" customWidth="1"/>
    <col min="1825" max="1825" width="8.7109375" style="124" customWidth="1"/>
    <col min="1826" max="1826" width="9" style="124" customWidth="1"/>
    <col min="1827" max="2036" width="11.42578125" style="124"/>
    <col min="2037" max="2037" width="0" style="124" hidden="1" customWidth="1"/>
    <col min="2038" max="2038" width="0.28515625" style="124" customWidth="1"/>
    <col min="2039" max="2039" width="3.7109375" style="124" customWidth="1"/>
    <col min="2040" max="2040" width="8.140625" style="124" customWidth="1"/>
    <col min="2041" max="2041" width="10.140625" style="124" customWidth="1"/>
    <col min="2042" max="2042" width="20" style="124" customWidth="1"/>
    <col min="2043" max="2043" width="8.140625" style="124" customWidth="1"/>
    <col min="2044" max="2044" width="8.42578125" style="124" customWidth="1"/>
    <col min="2045" max="2045" width="12.28515625" style="124" customWidth="1"/>
    <col min="2046" max="2046" width="6.7109375" style="124" customWidth="1"/>
    <col min="2047" max="2047" width="6.28515625" style="124" customWidth="1"/>
    <col min="2048" max="2048" width="8.42578125" style="124" customWidth="1"/>
    <col min="2049" max="2049" width="7.140625" style="124" customWidth="1"/>
    <col min="2050" max="2050" width="3.28515625" style="124" customWidth="1"/>
    <col min="2051" max="2051" width="3.5703125" style="124" customWidth="1"/>
    <col min="2052" max="2052" width="5.140625" style="124" customWidth="1"/>
    <col min="2053" max="2053" width="5.7109375" style="124" customWidth="1"/>
    <col min="2054" max="2054" width="6.140625" style="124" bestFit="1" customWidth="1"/>
    <col min="2055" max="2055" width="6.7109375" style="124" customWidth="1"/>
    <col min="2056" max="2056" width="5.7109375" style="124" bestFit="1" customWidth="1"/>
    <col min="2057" max="2057" width="3.140625" style="124" bestFit="1" customWidth="1"/>
    <col min="2058" max="2058" width="4.140625" style="124" bestFit="1" customWidth="1"/>
    <col min="2059" max="2059" width="6.28515625" style="124" customWidth="1"/>
    <col min="2060" max="2061" width="6.140625" style="124" bestFit="1" customWidth="1"/>
    <col min="2062" max="2062" width="4.5703125" style="124" customWidth="1"/>
    <col min="2063" max="2063" width="5.5703125" style="124" bestFit="1" customWidth="1"/>
    <col min="2064" max="2064" width="4.85546875" style="124" customWidth="1"/>
    <col min="2065" max="2065" width="5.5703125" style="124" customWidth="1"/>
    <col min="2066" max="2066" width="5.85546875" style="124" customWidth="1"/>
    <col min="2067" max="2067" width="5.5703125" style="124" customWidth="1"/>
    <col min="2068" max="2068" width="3.42578125" style="124" customWidth="1"/>
    <col min="2069" max="2069" width="3.28515625" style="124" customWidth="1"/>
    <col min="2070" max="2070" width="4.28515625" style="124" bestFit="1" customWidth="1"/>
    <col min="2071" max="2071" width="5.28515625" style="124" bestFit="1" customWidth="1"/>
    <col min="2072" max="2072" width="6.140625" style="124" bestFit="1" customWidth="1"/>
    <col min="2073" max="2073" width="5.140625" style="124" bestFit="1" customWidth="1"/>
    <col min="2074" max="2074" width="7.5703125" style="124" customWidth="1"/>
    <col min="2075" max="2075" width="6.28515625" style="124" customWidth="1"/>
    <col min="2076" max="2078" width="5.42578125" style="124" customWidth="1"/>
    <col min="2079" max="2079" width="6.140625" style="124" customWidth="1"/>
    <col min="2080" max="2080" width="6.7109375" style="124" customWidth="1"/>
    <col min="2081" max="2081" width="8.7109375" style="124" customWidth="1"/>
    <col min="2082" max="2082" width="9" style="124" customWidth="1"/>
    <col min="2083" max="2292" width="11.42578125" style="124"/>
    <col min="2293" max="2293" width="0" style="124" hidden="1" customWidth="1"/>
    <col min="2294" max="2294" width="0.28515625" style="124" customWidth="1"/>
    <col min="2295" max="2295" width="3.7109375" style="124" customWidth="1"/>
    <col min="2296" max="2296" width="8.140625" style="124" customWidth="1"/>
    <col min="2297" max="2297" width="10.140625" style="124" customWidth="1"/>
    <col min="2298" max="2298" width="20" style="124" customWidth="1"/>
    <col min="2299" max="2299" width="8.140625" style="124" customWidth="1"/>
    <col min="2300" max="2300" width="8.42578125" style="124" customWidth="1"/>
    <col min="2301" max="2301" width="12.28515625" style="124" customWidth="1"/>
    <col min="2302" max="2302" width="6.7109375" style="124" customWidth="1"/>
    <col min="2303" max="2303" width="6.28515625" style="124" customWidth="1"/>
    <col min="2304" max="2304" width="8.42578125" style="124" customWidth="1"/>
    <col min="2305" max="2305" width="7.140625" style="124" customWidth="1"/>
    <col min="2306" max="2306" width="3.28515625" style="124" customWidth="1"/>
    <col min="2307" max="2307" width="3.5703125" style="124" customWidth="1"/>
    <col min="2308" max="2308" width="5.140625" style="124" customWidth="1"/>
    <col min="2309" max="2309" width="5.7109375" style="124" customWidth="1"/>
    <col min="2310" max="2310" width="6.140625" style="124" bestFit="1" customWidth="1"/>
    <col min="2311" max="2311" width="6.7109375" style="124" customWidth="1"/>
    <col min="2312" max="2312" width="5.7109375" style="124" bestFit="1" customWidth="1"/>
    <col min="2313" max="2313" width="3.140625" style="124" bestFit="1" customWidth="1"/>
    <col min="2314" max="2314" width="4.140625" style="124" bestFit="1" customWidth="1"/>
    <col min="2315" max="2315" width="6.28515625" style="124" customWidth="1"/>
    <col min="2316" max="2317" width="6.140625" style="124" bestFit="1" customWidth="1"/>
    <col min="2318" max="2318" width="4.5703125" style="124" customWidth="1"/>
    <col min="2319" max="2319" width="5.5703125" style="124" bestFit="1" customWidth="1"/>
    <col min="2320" max="2320" width="4.85546875" style="124" customWidth="1"/>
    <col min="2321" max="2321" width="5.5703125" style="124" customWidth="1"/>
    <col min="2322" max="2322" width="5.85546875" style="124" customWidth="1"/>
    <col min="2323" max="2323" width="5.5703125" style="124" customWidth="1"/>
    <col min="2324" max="2324" width="3.42578125" style="124" customWidth="1"/>
    <col min="2325" max="2325" width="3.28515625" style="124" customWidth="1"/>
    <col min="2326" max="2326" width="4.28515625" style="124" bestFit="1" customWidth="1"/>
    <col min="2327" max="2327" width="5.28515625" style="124" bestFit="1" customWidth="1"/>
    <col min="2328" max="2328" width="6.140625" style="124" bestFit="1" customWidth="1"/>
    <col min="2329" max="2329" width="5.140625" style="124" bestFit="1" customWidth="1"/>
    <col min="2330" max="2330" width="7.5703125" style="124" customWidth="1"/>
    <col min="2331" max="2331" width="6.28515625" style="124" customWidth="1"/>
    <col min="2332" max="2334" width="5.42578125" style="124" customWidth="1"/>
    <col min="2335" max="2335" width="6.140625" style="124" customWidth="1"/>
    <col min="2336" max="2336" width="6.7109375" style="124" customWidth="1"/>
    <col min="2337" max="2337" width="8.7109375" style="124" customWidth="1"/>
    <col min="2338" max="2338" width="9" style="124" customWidth="1"/>
    <col min="2339" max="2548" width="11.42578125" style="124"/>
    <col min="2549" max="2549" width="0" style="124" hidden="1" customWidth="1"/>
    <col min="2550" max="2550" width="0.28515625" style="124" customWidth="1"/>
    <col min="2551" max="2551" width="3.7109375" style="124" customWidth="1"/>
    <col min="2552" max="2552" width="8.140625" style="124" customWidth="1"/>
    <col min="2553" max="2553" width="10.140625" style="124" customWidth="1"/>
    <col min="2554" max="2554" width="20" style="124" customWidth="1"/>
    <col min="2555" max="2555" width="8.140625" style="124" customWidth="1"/>
    <col min="2556" max="2556" width="8.42578125" style="124" customWidth="1"/>
    <col min="2557" max="2557" width="12.28515625" style="124" customWidth="1"/>
    <col min="2558" max="2558" width="6.7109375" style="124" customWidth="1"/>
    <col min="2559" max="2559" width="6.28515625" style="124" customWidth="1"/>
    <col min="2560" max="2560" width="8.42578125" style="124" customWidth="1"/>
    <col min="2561" max="2561" width="7.140625" style="124" customWidth="1"/>
    <col min="2562" max="2562" width="3.28515625" style="124" customWidth="1"/>
    <col min="2563" max="2563" width="3.5703125" style="124" customWidth="1"/>
    <col min="2564" max="2564" width="5.140625" style="124" customWidth="1"/>
    <col min="2565" max="2565" width="5.7109375" style="124" customWidth="1"/>
    <col min="2566" max="2566" width="6.140625" style="124" bestFit="1" customWidth="1"/>
    <col min="2567" max="2567" width="6.7109375" style="124" customWidth="1"/>
    <col min="2568" max="2568" width="5.7109375" style="124" bestFit="1" customWidth="1"/>
    <col min="2569" max="2569" width="3.140625" style="124" bestFit="1" customWidth="1"/>
    <col min="2570" max="2570" width="4.140625" style="124" bestFit="1" customWidth="1"/>
    <col min="2571" max="2571" width="6.28515625" style="124" customWidth="1"/>
    <col min="2572" max="2573" width="6.140625" style="124" bestFit="1" customWidth="1"/>
    <col min="2574" max="2574" width="4.5703125" style="124" customWidth="1"/>
    <col min="2575" max="2575" width="5.5703125" style="124" bestFit="1" customWidth="1"/>
    <col min="2576" max="2576" width="4.85546875" style="124" customWidth="1"/>
    <col min="2577" max="2577" width="5.5703125" style="124" customWidth="1"/>
    <col min="2578" max="2578" width="5.85546875" style="124" customWidth="1"/>
    <col min="2579" max="2579" width="5.5703125" style="124" customWidth="1"/>
    <col min="2580" max="2580" width="3.42578125" style="124" customWidth="1"/>
    <col min="2581" max="2581" width="3.28515625" style="124" customWidth="1"/>
    <col min="2582" max="2582" width="4.28515625" style="124" bestFit="1" customWidth="1"/>
    <col min="2583" max="2583" width="5.28515625" style="124" bestFit="1" customWidth="1"/>
    <col min="2584" max="2584" width="6.140625" style="124" bestFit="1" customWidth="1"/>
    <col min="2585" max="2585" width="5.140625" style="124" bestFit="1" customWidth="1"/>
    <col min="2586" max="2586" width="7.5703125" style="124" customWidth="1"/>
    <col min="2587" max="2587" width="6.28515625" style="124" customWidth="1"/>
    <col min="2588" max="2590" width="5.42578125" style="124" customWidth="1"/>
    <col min="2591" max="2591" width="6.140625" style="124" customWidth="1"/>
    <col min="2592" max="2592" width="6.7109375" style="124" customWidth="1"/>
    <col min="2593" max="2593" width="8.7109375" style="124" customWidth="1"/>
    <col min="2594" max="2594" width="9" style="124" customWidth="1"/>
    <col min="2595" max="2804" width="11.42578125" style="124"/>
    <col min="2805" max="2805" width="0" style="124" hidden="1" customWidth="1"/>
    <col min="2806" max="2806" width="0.28515625" style="124" customWidth="1"/>
    <col min="2807" max="2807" width="3.7109375" style="124" customWidth="1"/>
    <col min="2808" max="2808" width="8.140625" style="124" customWidth="1"/>
    <col min="2809" max="2809" width="10.140625" style="124" customWidth="1"/>
    <col min="2810" max="2810" width="20" style="124" customWidth="1"/>
    <col min="2811" max="2811" width="8.140625" style="124" customWidth="1"/>
    <col min="2812" max="2812" width="8.42578125" style="124" customWidth="1"/>
    <col min="2813" max="2813" width="12.28515625" style="124" customWidth="1"/>
    <col min="2814" max="2814" width="6.7109375" style="124" customWidth="1"/>
    <col min="2815" max="2815" width="6.28515625" style="124" customWidth="1"/>
    <col min="2816" max="2816" width="8.42578125" style="124" customWidth="1"/>
    <col min="2817" max="2817" width="7.140625" style="124" customWidth="1"/>
    <col min="2818" max="2818" width="3.28515625" style="124" customWidth="1"/>
    <col min="2819" max="2819" width="3.5703125" style="124" customWidth="1"/>
    <col min="2820" max="2820" width="5.140625" style="124" customWidth="1"/>
    <col min="2821" max="2821" width="5.7109375" style="124" customWidth="1"/>
    <col min="2822" max="2822" width="6.140625" style="124" bestFit="1" customWidth="1"/>
    <col min="2823" max="2823" width="6.7109375" style="124" customWidth="1"/>
    <col min="2824" max="2824" width="5.7109375" style="124" bestFit="1" customWidth="1"/>
    <col min="2825" max="2825" width="3.140625" style="124" bestFit="1" customWidth="1"/>
    <col min="2826" max="2826" width="4.140625" style="124" bestFit="1" customWidth="1"/>
    <col min="2827" max="2827" width="6.28515625" style="124" customWidth="1"/>
    <col min="2828" max="2829" width="6.140625" style="124" bestFit="1" customWidth="1"/>
    <col min="2830" max="2830" width="4.5703125" style="124" customWidth="1"/>
    <col min="2831" max="2831" width="5.5703125" style="124" bestFit="1" customWidth="1"/>
    <col min="2832" max="2832" width="4.85546875" style="124" customWidth="1"/>
    <col min="2833" max="2833" width="5.5703125" style="124" customWidth="1"/>
    <col min="2834" max="2834" width="5.85546875" style="124" customWidth="1"/>
    <col min="2835" max="2835" width="5.5703125" style="124" customWidth="1"/>
    <col min="2836" max="2836" width="3.42578125" style="124" customWidth="1"/>
    <col min="2837" max="2837" width="3.28515625" style="124" customWidth="1"/>
    <col min="2838" max="2838" width="4.28515625" style="124" bestFit="1" customWidth="1"/>
    <col min="2839" max="2839" width="5.28515625" style="124" bestFit="1" customWidth="1"/>
    <col min="2840" max="2840" width="6.140625" style="124" bestFit="1" customWidth="1"/>
    <col min="2841" max="2841" width="5.140625" style="124" bestFit="1" customWidth="1"/>
    <col min="2842" max="2842" width="7.5703125" style="124" customWidth="1"/>
    <col min="2843" max="2843" width="6.28515625" style="124" customWidth="1"/>
    <col min="2844" max="2846" width="5.42578125" style="124" customWidth="1"/>
    <col min="2847" max="2847" width="6.140625" style="124" customWidth="1"/>
    <col min="2848" max="2848" width="6.7109375" style="124" customWidth="1"/>
    <col min="2849" max="2849" width="8.7109375" style="124" customWidth="1"/>
    <col min="2850" max="2850" width="9" style="124" customWidth="1"/>
    <col min="2851" max="3060" width="11.42578125" style="124"/>
    <col min="3061" max="3061" width="0" style="124" hidden="1" customWidth="1"/>
    <col min="3062" max="3062" width="0.28515625" style="124" customWidth="1"/>
    <col min="3063" max="3063" width="3.7109375" style="124" customWidth="1"/>
    <col min="3064" max="3064" width="8.140625" style="124" customWidth="1"/>
    <col min="3065" max="3065" width="10.140625" style="124" customWidth="1"/>
    <col min="3066" max="3066" width="20" style="124" customWidth="1"/>
    <col min="3067" max="3067" width="8.140625" style="124" customWidth="1"/>
    <col min="3068" max="3068" width="8.42578125" style="124" customWidth="1"/>
    <col min="3069" max="3069" width="12.28515625" style="124" customWidth="1"/>
    <col min="3070" max="3070" width="6.7109375" style="124" customWidth="1"/>
    <col min="3071" max="3071" width="6.28515625" style="124" customWidth="1"/>
    <col min="3072" max="3072" width="8.42578125" style="124" customWidth="1"/>
    <col min="3073" max="3073" width="7.140625" style="124" customWidth="1"/>
    <col min="3074" max="3074" width="3.28515625" style="124" customWidth="1"/>
    <col min="3075" max="3075" width="3.5703125" style="124" customWidth="1"/>
    <col min="3076" max="3076" width="5.140625" style="124" customWidth="1"/>
    <col min="3077" max="3077" width="5.7109375" style="124" customWidth="1"/>
    <col min="3078" max="3078" width="6.140625" style="124" bestFit="1" customWidth="1"/>
    <col min="3079" max="3079" width="6.7109375" style="124" customWidth="1"/>
    <col min="3080" max="3080" width="5.7109375" style="124" bestFit="1" customWidth="1"/>
    <col min="3081" max="3081" width="3.140625" style="124" bestFit="1" customWidth="1"/>
    <col min="3082" max="3082" width="4.140625" style="124" bestFit="1" customWidth="1"/>
    <col min="3083" max="3083" width="6.28515625" style="124" customWidth="1"/>
    <col min="3084" max="3085" width="6.140625" style="124" bestFit="1" customWidth="1"/>
    <col min="3086" max="3086" width="4.5703125" style="124" customWidth="1"/>
    <col min="3087" max="3087" width="5.5703125" style="124" bestFit="1" customWidth="1"/>
    <col min="3088" max="3088" width="4.85546875" style="124" customWidth="1"/>
    <col min="3089" max="3089" width="5.5703125" style="124" customWidth="1"/>
    <col min="3090" max="3090" width="5.85546875" style="124" customWidth="1"/>
    <col min="3091" max="3091" width="5.5703125" style="124" customWidth="1"/>
    <col min="3092" max="3092" width="3.42578125" style="124" customWidth="1"/>
    <col min="3093" max="3093" width="3.28515625" style="124" customWidth="1"/>
    <col min="3094" max="3094" width="4.28515625" style="124" bestFit="1" customWidth="1"/>
    <col min="3095" max="3095" width="5.28515625" style="124" bestFit="1" customWidth="1"/>
    <col min="3096" max="3096" width="6.140625" style="124" bestFit="1" customWidth="1"/>
    <col min="3097" max="3097" width="5.140625" style="124" bestFit="1" customWidth="1"/>
    <col min="3098" max="3098" width="7.5703125" style="124" customWidth="1"/>
    <col min="3099" max="3099" width="6.28515625" style="124" customWidth="1"/>
    <col min="3100" max="3102" width="5.42578125" style="124" customWidth="1"/>
    <col min="3103" max="3103" width="6.140625" style="124" customWidth="1"/>
    <col min="3104" max="3104" width="6.7109375" style="124" customWidth="1"/>
    <col min="3105" max="3105" width="8.7109375" style="124" customWidth="1"/>
    <col min="3106" max="3106" width="9" style="124" customWidth="1"/>
    <col min="3107" max="3316" width="11.42578125" style="124"/>
    <col min="3317" max="3317" width="0" style="124" hidden="1" customWidth="1"/>
    <col min="3318" max="3318" width="0.28515625" style="124" customWidth="1"/>
    <col min="3319" max="3319" width="3.7109375" style="124" customWidth="1"/>
    <col min="3320" max="3320" width="8.140625" style="124" customWidth="1"/>
    <col min="3321" max="3321" width="10.140625" style="124" customWidth="1"/>
    <col min="3322" max="3322" width="20" style="124" customWidth="1"/>
    <col min="3323" max="3323" width="8.140625" style="124" customWidth="1"/>
    <col min="3324" max="3324" width="8.42578125" style="124" customWidth="1"/>
    <col min="3325" max="3325" width="12.28515625" style="124" customWidth="1"/>
    <col min="3326" max="3326" width="6.7109375" style="124" customWidth="1"/>
    <col min="3327" max="3327" width="6.28515625" style="124" customWidth="1"/>
    <col min="3328" max="3328" width="8.42578125" style="124" customWidth="1"/>
    <col min="3329" max="3329" width="7.140625" style="124" customWidth="1"/>
    <col min="3330" max="3330" width="3.28515625" style="124" customWidth="1"/>
    <col min="3331" max="3331" width="3.5703125" style="124" customWidth="1"/>
    <col min="3332" max="3332" width="5.140625" style="124" customWidth="1"/>
    <col min="3333" max="3333" width="5.7109375" style="124" customWidth="1"/>
    <col min="3334" max="3334" width="6.140625" style="124" bestFit="1" customWidth="1"/>
    <col min="3335" max="3335" width="6.7109375" style="124" customWidth="1"/>
    <col min="3336" max="3336" width="5.7109375" style="124" bestFit="1" customWidth="1"/>
    <col min="3337" max="3337" width="3.140625" style="124" bestFit="1" customWidth="1"/>
    <col min="3338" max="3338" width="4.140625" style="124" bestFit="1" customWidth="1"/>
    <col min="3339" max="3339" width="6.28515625" style="124" customWidth="1"/>
    <col min="3340" max="3341" width="6.140625" style="124" bestFit="1" customWidth="1"/>
    <col min="3342" max="3342" width="4.5703125" style="124" customWidth="1"/>
    <col min="3343" max="3343" width="5.5703125" style="124" bestFit="1" customWidth="1"/>
    <col min="3344" max="3344" width="4.85546875" style="124" customWidth="1"/>
    <col min="3345" max="3345" width="5.5703125" style="124" customWidth="1"/>
    <col min="3346" max="3346" width="5.85546875" style="124" customWidth="1"/>
    <col min="3347" max="3347" width="5.5703125" style="124" customWidth="1"/>
    <col min="3348" max="3348" width="3.42578125" style="124" customWidth="1"/>
    <col min="3349" max="3349" width="3.28515625" style="124" customWidth="1"/>
    <col min="3350" max="3350" width="4.28515625" style="124" bestFit="1" customWidth="1"/>
    <col min="3351" max="3351" width="5.28515625" style="124" bestFit="1" customWidth="1"/>
    <col min="3352" max="3352" width="6.140625" style="124" bestFit="1" customWidth="1"/>
    <col min="3353" max="3353" width="5.140625" style="124" bestFit="1" customWidth="1"/>
    <col min="3354" max="3354" width="7.5703125" style="124" customWidth="1"/>
    <col min="3355" max="3355" width="6.28515625" style="124" customWidth="1"/>
    <col min="3356" max="3358" width="5.42578125" style="124" customWidth="1"/>
    <col min="3359" max="3359" width="6.140625" style="124" customWidth="1"/>
    <col min="3360" max="3360" width="6.7109375" style="124" customWidth="1"/>
    <col min="3361" max="3361" width="8.7109375" style="124" customWidth="1"/>
    <col min="3362" max="3362" width="9" style="124" customWidth="1"/>
    <col min="3363" max="3572" width="11.42578125" style="124"/>
    <col min="3573" max="3573" width="0" style="124" hidden="1" customWidth="1"/>
    <col min="3574" max="3574" width="0.28515625" style="124" customWidth="1"/>
    <col min="3575" max="3575" width="3.7109375" style="124" customWidth="1"/>
    <col min="3576" max="3576" width="8.140625" style="124" customWidth="1"/>
    <col min="3577" max="3577" width="10.140625" style="124" customWidth="1"/>
    <col min="3578" max="3578" width="20" style="124" customWidth="1"/>
    <col min="3579" max="3579" width="8.140625" style="124" customWidth="1"/>
    <col min="3580" max="3580" width="8.42578125" style="124" customWidth="1"/>
    <col min="3581" max="3581" width="12.28515625" style="124" customWidth="1"/>
    <col min="3582" max="3582" width="6.7109375" style="124" customWidth="1"/>
    <col min="3583" max="3583" width="6.28515625" style="124" customWidth="1"/>
    <col min="3584" max="3584" width="8.42578125" style="124" customWidth="1"/>
    <col min="3585" max="3585" width="7.140625" style="124" customWidth="1"/>
    <col min="3586" max="3586" width="3.28515625" style="124" customWidth="1"/>
    <col min="3587" max="3587" width="3.5703125" style="124" customWidth="1"/>
    <col min="3588" max="3588" width="5.140625" style="124" customWidth="1"/>
    <col min="3589" max="3589" width="5.7109375" style="124" customWidth="1"/>
    <col min="3590" max="3590" width="6.140625" style="124" bestFit="1" customWidth="1"/>
    <col min="3591" max="3591" width="6.7109375" style="124" customWidth="1"/>
    <col min="3592" max="3592" width="5.7109375" style="124" bestFit="1" customWidth="1"/>
    <col min="3593" max="3593" width="3.140625" style="124" bestFit="1" customWidth="1"/>
    <col min="3594" max="3594" width="4.140625" style="124" bestFit="1" customWidth="1"/>
    <col min="3595" max="3595" width="6.28515625" style="124" customWidth="1"/>
    <col min="3596" max="3597" width="6.140625" style="124" bestFit="1" customWidth="1"/>
    <col min="3598" max="3598" width="4.5703125" style="124" customWidth="1"/>
    <col min="3599" max="3599" width="5.5703125" style="124" bestFit="1" customWidth="1"/>
    <col min="3600" max="3600" width="4.85546875" style="124" customWidth="1"/>
    <col min="3601" max="3601" width="5.5703125" style="124" customWidth="1"/>
    <col min="3602" max="3602" width="5.85546875" style="124" customWidth="1"/>
    <col min="3603" max="3603" width="5.5703125" style="124" customWidth="1"/>
    <col min="3604" max="3604" width="3.42578125" style="124" customWidth="1"/>
    <col min="3605" max="3605" width="3.28515625" style="124" customWidth="1"/>
    <col min="3606" max="3606" width="4.28515625" style="124" bestFit="1" customWidth="1"/>
    <col min="3607" max="3607" width="5.28515625" style="124" bestFit="1" customWidth="1"/>
    <col min="3608" max="3608" width="6.140625" style="124" bestFit="1" customWidth="1"/>
    <col min="3609" max="3609" width="5.140625" style="124" bestFit="1" customWidth="1"/>
    <col min="3610" max="3610" width="7.5703125" style="124" customWidth="1"/>
    <col min="3611" max="3611" width="6.28515625" style="124" customWidth="1"/>
    <col min="3612" max="3614" width="5.42578125" style="124" customWidth="1"/>
    <col min="3615" max="3615" width="6.140625" style="124" customWidth="1"/>
    <col min="3616" max="3616" width="6.7109375" style="124" customWidth="1"/>
    <col min="3617" max="3617" width="8.7109375" style="124" customWidth="1"/>
    <col min="3618" max="3618" width="9" style="124" customWidth="1"/>
    <col min="3619" max="3828" width="11.42578125" style="124"/>
    <col min="3829" max="3829" width="0" style="124" hidden="1" customWidth="1"/>
    <col min="3830" max="3830" width="0.28515625" style="124" customWidth="1"/>
    <col min="3831" max="3831" width="3.7109375" style="124" customWidth="1"/>
    <col min="3832" max="3832" width="8.140625" style="124" customWidth="1"/>
    <col min="3833" max="3833" width="10.140625" style="124" customWidth="1"/>
    <col min="3834" max="3834" width="20" style="124" customWidth="1"/>
    <col min="3835" max="3835" width="8.140625" style="124" customWidth="1"/>
    <col min="3836" max="3836" width="8.42578125" style="124" customWidth="1"/>
    <col min="3837" max="3837" width="12.28515625" style="124" customWidth="1"/>
    <col min="3838" max="3838" width="6.7109375" style="124" customWidth="1"/>
    <col min="3839" max="3839" width="6.28515625" style="124" customWidth="1"/>
    <col min="3840" max="3840" width="8.42578125" style="124" customWidth="1"/>
    <col min="3841" max="3841" width="7.140625" style="124" customWidth="1"/>
    <col min="3842" max="3842" width="3.28515625" style="124" customWidth="1"/>
    <col min="3843" max="3843" width="3.5703125" style="124" customWidth="1"/>
    <col min="3844" max="3844" width="5.140625" style="124" customWidth="1"/>
    <col min="3845" max="3845" width="5.7109375" style="124" customWidth="1"/>
    <col min="3846" max="3846" width="6.140625" style="124" bestFit="1" customWidth="1"/>
    <col min="3847" max="3847" width="6.7109375" style="124" customWidth="1"/>
    <col min="3848" max="3848" width="5.7109375" style="124" bestFit="1" customWidth="1"/>
    <col min="3849" max="3849" width="3.140625" style="124" bestFit="1" customWidth="1"/>
    <col min="3850" max="3850" width="4.140625" style="124" bestFit="1" customWidth="1"/>
    <col min="3851" max="3851" width="6.28515625" style="124" customWidth="1"/>
    <col min="3852" max="3853" width="6.140625" style="124" bestFit="1" customWidth="1"/>
    <col min="3854" max="3854" width="4.5703125" style="124" customWidth="1"/>
    <col min="3855" max="3855" width="5.5703125" style="124" bestFit="1" customWidth="1"/>
    <col min="3856" max="3856" width="4.85546875" style="124" customWidth="1"/>
    <col min="3857" max="3857" width="5.5703125" style="124" customWidth="1"/>
    <col min="3858" max="3858" width="5.85546875" style="124" customWidth="1"/>
    <col min="3859" max="3859" width="5.5703125" style="124" customWidth="1"/>
    <col min="3860" max="3860" width="3.42578125" style="124" customWidth="1"/>
    <col min="3861" max="3861" width="3.28515625" style="124" customWidth="1"/>
    <col min="3862" max="3862" width="4.28515625" style="124" bestFit="1" customWidth="1"/>
    <col min="3863" max="3863" width="5.28515625" style="124" bestFit="1" customWidth="1"/>
    <col min="3864" max="3864" width="6.140625" style="124" bestFit="1" customWidth="1"/>
    <col min="3865" max="3865" width="5.140625" style="124" bestFit="1" customWidth="1"/>
    <col min="3866" max="3866" width="7.5703125" style="124" customWidth="1"/>
    <col min="3867" max="3867" width="6.28515625" style="124" customWidth="1"/>
    <col min="3868" max="3870" width="5.42578125" style="124" customWidth="1"/>
    <col min="3871" max="3871" width="6.140625" style="124" customWidth="1"/>
    <col min="3872" max="3872" width="6.7109375" style="124" customWidth="1"/>
    <col min="3873" max="3873" width="8.7109375" style="124" customWidth="1"/>
    <col min="3874" max="3874" width="9" style="124" customWidth="1"/>
    <col min="3875" max="4084" width="11.42578125" style="124"/>
    <col min="4085" max="4085" width="0" style="124" hidden="1" customWidth="1"/>
    <col min="4086" max="4086" width="0.28515625" style="124" customWidth="1"/>
    <col min="4087" max="4087" width="3.7109375" style="124" customWidth="1"/>
    <col min="4088" max="4088" width="8.140625" style="124" customWidth="1"/>
    <col min="4089" max="4089" width="10.140625" style="124" customWidth="1"/>
    <col min="4090" max="4090" width="20" style="124" customWidth="1"/>
    <col min="4091" max="4091" width="8.140625" style="124" customWidth="1"/>
    <col min="4092" max="4092" width="8.42578125" style="124" customWidth="1"/>
    <col min="4093" max="4093" width="12.28515625" style="124" customWidth="1"/>
    <col min="4094" max="4094" width="6.7109375" style="124" customWidth="1"/>
    <col min="4095" max="4095" width="6.28515625" style="124" customWidth="1"/>
    <col min="4096" max="4096" width="8.42578125" style="124" customWidth="1"/>
    <col min="4097" max="4097" width="7.140625" style="124" customWidth="1"/>
    <col min="4098" max="4098" width="3.28515625" style="124" customWidth="1"/>
    <col min="4099" max="4099" width="3.5703125" style="124" customWidth="1"/>
    <col min="4100" max="4100" width="5.140625" style="124" customWidth="1"/>
    <col min="4101" max="4101" width="5.7109375" style="124" customWidth="1"/>
    <col min="4102" max="4102" width="6.140625" style="124" bestFit="1" customWidth="1"/>
    <col min="4103" max="4103" width="6.7109375" style="124" customWidth="1"/>
    <col min="4104" max="4104" width="5.7109375" style="124" bestFit="1" customWidth="1"/>
    <col min="4105" max="4105" width="3.140625" style="124" bestFit="1" customWidth="1"/>
    <col min="4106" max="4106" width="4.140625" style="124" bestFit="1" customWidth="1"/>
    <col min="4107" max="4107" width="6.28515625" style="124" customWidth="1"/>
    <col min="4108" max="4109" width="6.140625" style="124" bestFit="1" customWidth="1"/>
    <col min="4110" max="4110" width="4.5703125" style="124" customWidth="1"/>
    <col min="4111" max="4111" width="5.5703125" style="124" bestFit="1" customWidth="1"/>
    <col min="4112" max="4112" width="4.85546875" style="124" customWidth="1"/>
    <col min="4113" max="4113" width="5.5703125" style="124" customWidth="1"/>
    <col min="4114" max="4114" width="5.85546875" style="124" customWidth="1"/>
    <col min="4115" max="4115" width="5.5703125" style="124" customWidth="1"/>
    <col min="4116" max="4116" width="3.42578125" style="124" customWidth="1"/>
    <col min="4117" max="4117" width="3.28515625" style="124" customWidth="1"/>
    <col min="4118" max="4118" width="4.28515625" style="124" bestFit="1" customWidth="1"/>
    <col min="4119" max="4119" width="5.28515625" style="124" bestFit="1" customWidth="1"/>
    <col min="4120" max="4120" width="6.140625" style="124" bestFit="1" customWidth="1"/>
    <col min="4121" max="4121" width="5.140625" style="124" bestFit="1" customWidth="1"/>
    <col min="4122" max="4122" width="7.5703125" style="124" customWidth="1"/>
    <col min="4123" max="4123" width="6.28515625" style="124" customWidth="1"/>
    <col min="4124" max="4126" width="5.42578125" style="124" customWidth="1"/>
    <col min="4127" max="4127" width="6.140625" style="124" customWidth="1"/>
    <col min="4128" max="4128" width="6.7109375" style="124" customWidth="1"/>
    <col min="4129" max="4129" width="8.7109375" style="124" customWidth="1"/>
    <col min="4130" max="4130" width="9" style="124" customWidth="1"/>
    <col min="4131" max="4340" width="11.42578125" style="124"/>
    <col min="4341" max="4341" width="0" style="124" hidden="1" customWidth="1"/>
    <col min="4342" max="4342" width="0.28515625" style="124" customWidth="1"/>
    <col min="4343" max="4343" width="3.7109375" style="124" customWidth="1"/>
    <col min="4344" max="4344" width="8.140625" style="124" customWidth="1"/>
    <col min="4345" max="4345" width="10.140625" style="124" customWidth="1"/>
    <col min="4346" max="4346" width="20" style="124" customWidth="1"/>
    <col min="4347" max="4347" width="8.140625" style="124" customWidth="1"/>
    <col min="4348" max="4348" width="8.42578125" style="124" customWidth="1"/>
    <col min="4349" max="4349" width="12.28515625" style="124" customWidth="1"/>
    <col min="4350" max="4350" width="6.7109375" style="124" customWidth="1"/>
    <col min="4351" max="4351" width="6.28515625" style="124" customWidth="1"/>
    <col min="4352" max="4352" width="8.42578125" style="124" customWidth="1"/>
    <col min="4353" max="4353" width="7.140625" style="124" customWidth="1"/>
    <col min="4354" max="4354" width="3.28515625" style="124" customWidth="1"/>
    <col min="4355" max="4355" width="3.5703125" style="124" customWidth="1"/>
    <col min="4356" max="4356" width="5.140625" style="124" customWidth="1"/>
    <col min="4357" max="4357" width="5.7109375" style="124" customWidth="1"/>
    <col min="4358" max="4358" width="6.140625" style="124" bestFit="1" customWidth="1"/>
    <col min="4359" max="4359" width="6.7109375" style="124" customWidth="1"/>
    <col min="4360" max="4360" width="5.7109375" style="124" bestFit="1" customWidth="1"/>
    <col min="4361" max="4361" width="3.140625" style="124" bestFit="1" customWidth="1"/>
    <col min="4362" max="4362" width="4.140625" style="124" bestFit="1" customWidth="1"/>
    <col min="4363" max="4363" width="6.28515625" style="124" customWidth="1"/>
    <col min="4364" max="4365" width="6.140625" style="124" bestFit="1" customWidth="1"/>
    <col min="4366" max="4366" width="4.5703125" style="124" customWidth="1"/>
    <col min="4367" max="4367" width="5.5703125" style="124" bestFit="1" customWidth="1"/>
    <col min="4368" max="4368" width="4.85546875" style="124" customWidth="1"/>
    <col min="4369" max="4369" width="5.5703125" style="124" customWidth="1"/>
    <col min="4370" max="4370" width="5.85546875" style="124" customWidth="1"/>
    <col min="4371" max="4371" width="5.5703125" style="124" customWidth="1"/>
    <col min="4372" max="4372" width="3.42578125" style="124" customWidth="1"/>
    <col min="4373" max="4373" width="3.28515625" style="124" customWidth="1"/>
    <col min="4374" max="4374" width="4.28515625" style="124" bestFit="1" customWidth="1"/>
    <col min="4375" max="4375" width="5.28515625" style="124" bestFit="1" customWidth="1"/>
    <col min="4376" max="4376" width="6.140625" style="124" bestFit="1" customWidth="1"/>
    <col min="4377" max="4377" width="5.140625" style="124" bestFit="1" customWidth="1"/>
    <col min="4378" max="4378" width="7.5703125" style="124" customWidth="1"/>
    <col min="4379" max="4379" width="6.28515625" style="124" customWidth="1"/>
    <col min="4380" max="4382" width="5.42578125" style="124" customWidth="1"/>
    <col min="4383" max="4383" width="6.140625" style="124" customWidth="1"/>
    <col min="4384" max="4384" width="6.7109375" style="124" customWidth="1"/>
    <col min="4385" max="4385" width="8.7109375" style="124" customWidth="1"/>
    <col min="4386" max="4386" width="9" style="124" customWidth="1"/>
    <col min="4387" max="4596" width="11.42578125" style="124"/>
    <col min="4597" max="4597" width="0" style="124" hidden="1" customWidth="1"/>
    <col min="4598" max="4598" width="0.28515625" style="124" customWidth="1"/>
    <col min="4599" max="4599" width="3.7109375" style="124" customWidth="1"/>
    <col min="4600" max="4600" width="8.140625" style="124" customWidth="1"/>
    <col min="4601" max="4601" width="10.140625" style="124" customWidth="1"/>
    <col min="4602" max="4602" width="20" style="124" customWidth="1"/>
    <col min="4603" max="4603" width="8.140625" style="124" customWidth="1"/>
    <col min="4604" max="4604" width="8.42578125" style="124" customWidth="1"/>
    <col min="4605" max="4605" width="12.28515625" style="124" customWidth="1"/>
    <col min="4606" max="4606" width="6.7109375" style="124" customWidth="1"/>
    <col min="4607" max="4607" width="6.28515625" style="124" customWidth="1"/>
    <col min="4608" max="4608" width="8.42578125" style="124" customWidth="1"/>
    <col min="4609" max="4609" width="7.140625" style="124" customWidth="1"/>
    <col min="4610" max="4610" width="3.28515625" style="124" customWidth="1"/>
    <col min="4611" max="4611" width="3.5703125" style="124" customWidth="1"/>
    <col min="4612" max="4612" width="5.140625" style="124" customWidth="1"/>
    <col min="4613" max="4613" width="5.7109375" style="124" customWidth="1"/>
    <col min="4614" max="4614" width="6.140625" style="124" bestFit="1" customWidth="1"/>
    <col min="4615" max="4615" width="6.7109375" style="124" customWidth="1"/>
    <col min="4616" max="4616" width="5.7109375" style="124" bestFit="1" customWidth="1"/>
    <col min="4617" max="4617" width="3.140625" style="124" bestFit="1" customWidth="1"/>
    <col min="4618" max="4618" width="4.140625" style="124" bestFit="1" customWidth="1"/>
    <col min="4619" max="4619" width="6.28515625" style="124" customWidth="1"/>
    <col min="4620" max="4621" width="6.140625" style="124" bestFit="1" customWidth="1"/>
    <col min="4622" max="4622" width="4.5703125" style="124" customWidth="1"/>
    <col min="4623" max="4623" width="5.5703125" style="124" bestFit="1" customWidth="1"/>
    <col min="4624" max="4624" width="4.85546875" style="124" customWidth="1"/>
    <col min="4625" max="4625" width="5.5703125" style="124" customWidth="1"/>
    <col min="4626" max="4626" width="5.85546875" style="124" customWidth="1"/>
    <col min="4627" max="4627" width="5.5703125" style="124" customWidth="1"/>
    <col min="4628" max="4628" width="3.42578125" style="124" customWidth="1"/>
    <col min="4629" max="4629" width="3.28515625" style="124" customWidth="1"/>
    <col min="4630" max="4630" width="4.28515625" style="124" bestFit="1" customWidth="1"/>
    <col min="4631" max="4631" width="5.28515625" style="124" bestFit="1" customWidth="1"/>
    <col min="4632" max="4632" width="6.140625" style="124" bestFit="1" customWidth="1"/>
    <col min="4633" max="4633" width="5.140625" style="124" bestFit="1" customWidth="1"/>
    <col min="4634" max="4634" width="7.5703125" style="124" customWidth="1"/>
    <col min="4635" max="4635" width="6.28515625" style="124" customWidth="1"/>
    <col min="4636" max="4638" width="5.42578125" style="124" customWidth="1"/>
    <col min="4639" max="4639" width="6.140625" style="124" customWidth="1"/>
    <col min="4640" max="4640" width="6.7109375" style="124" customWidth="1"/>
    <col min="4641" max="4641" width="8.7109375" style="124" customWidth="1"/>
    <col min="4642" max="4642" width="9" style="124" customWidth="1"/>
    <col min="4643" max="4852" width="11.42578125" style="124"/>
    <col min="4853" max="4853" width="0" style="124" hidden="1" customWidth="1"/>
    <col min="4854" max="4854" width="0.28515625" style="124" customWidth="1"/>
    <col min="4855" max="4855" width="3.7109375" style="124" customWidth="1"/>
    <col min="4856" max="4856" width="8.140625" style="124" customWidth="1"/>
    <col min="4857" max="4857" width="10.140625" style="124" customWidth="1"/>
    <col min="4858" max="4858" width="20" style="124" customWidth="1"/>
    <col min="4859" max="4859" width="8.140625" style="124" customWidth="1"/>
    <col min="4860" max="4860" width="8.42578125" style="124" customWidth="1"/>
    <col min="4861" max="4861" width="12.28515625" style="124" customWidth="1"/>
    <col min="4862" max="4862" width="6.7109375" style="124" customWidth="1"/>
    <col min="4863" max="4863" width="6.28515625" style="124" customWidth="1"/>
    <col min="4864" max="4864" width="8.42578125" style="124" customWidth="1"/>
    <col min="4865" max="4865" width="7.140625" style="124" customWidth="1"/>
    <col min="4866" max="4866" width="3.28515625" style="124" customWidth="1"/>
    <col min="4867" max="4867" width="3.5703125" style="124" customWidth="1"/>
    <col min="4868" max="4868" width="5.140625" style="124" customWidth="1"/>
    <col min="4869" max="4869" width="5.7109375" style="124" customWidth="1"/>
    <col min="4870" max="4870" width="6.140625" style="124" bestFit="1" customWidth="1"/>
    <col min="4871" max="4871" width="6.7109375" style="124" customWidth="1"/>
    <col min="4872" max="4872" width="5.7109375" style="124" bestFit="1" customWidth="1"/>
    <col min="4873" max="4873" width="3.140625" style="124" bestFit="1" customWidth="1"/>
    <col min="4874" max="4874" width="4.140625" style="124" bestFit="1" customWidth="1"/>
    <col min="4875" max="4875" width="6.28515625" style="124" customWidth="1"/>
    <col min="4876" max="4877" width="6.140625" style="124" bestFit="1" customWidth="1"/>
    <col min="4878" max="4878" width="4.5703125" style="124" customWidth="1"/>
    <col min="4879" max="4879" width="5.5703125" style="124" bestFit="1" customWidth="1"/>
    <col min="4880" max="4880" width="4.85546875" style="124" customWidth="1"/>
    <col min="4881" max="4881" width="5.5703125" style="124" customWidth="1"/>
    <col min="4882" max="4882" width="5.85546875" style="124" customWidth="1"/>
    <col min="4883" max="4883" width="5.5703125" style="124" customWidth="1"/>
    <col min="4884" max="4884" width="3.42578125" style="124" customWidth="1"/>
    <col min="4885" max="4885" width="3.28515625" style="124" customWidth="1"/>
    <col min="4886" max="4886" width="4.28515625" style="124" bestFit="1" customWidth="1"/>
    <col min="4887" max="4887" width="5.28515625" style="124" bestFit="1" customWidth="1"/>
    <col min="4888" max="4888" width="6.140625" style="124" bestFit="1" customWidth="1"/>
    <col min="4889" max="4889" width="5.140625" style="124" bestFit="1" customWidth="1"/>
    <col min="4890" max="4890" width="7.5703125" style="124" customWidth="1"/>
    <col min="4891" max="4891" width="6.28515625" style="124" customWidth="1"/>
    <col min="4892" max="4894" width="5.42578125" style="124" customWidth="1"/>
    <col min="4895" max="4895" width="6.140625" style="124" customWidth="1"/>
    <col min="4896" max="4896" width="6.7109375" style="124" customWidth="1"/>
    <col min="4897" max="4897" width="8.7109375" style="124" customWidth="1"/>
    <col min="4898" max="4898" width="9" style="124" customWidth="1"/>
    <col min="4899" max="5108" width="11.42578125" style="124"/>
    <col min="5109" max="5109" width="0" style="124" hidden="1" customWidth="1"/>
    <col min="5110" max="5110" width="0.28515625" style="124" customWidth="1"/>
    <col min="5111" max="5111" width="3.7109375" style="124" customWidth="1"/>
    <col min="5112" max="5112" width="8.140625" style="124" customWidth="1"/>
    <col min="5113" max="5113" width="10.140625" style="124" customWidth="1"/>
    <col min="5114" max="5114" width="20" style="124" customWidth="1"/>
    <col min="5115" max="5115" width="8.140625" style="124" customWidth="1"/>
    <col min="5116" max="5116" width="8.42578125" style="124" customWidth="1"/>
    <col min="5117" max="5117" width="12.28515625" style="124" customWidth="1"/>
    <col min="5118" max="5118" width="6.7109375" style="124" customWidth="1"/>
    <col min="5119" max="5119" width="6.28515625" style="124" customWidth="1"/>
    <col min="5120" max="5120" width="8.42578125" style="124" customWidth="1"/>
    <col min="5121" max="5121" width="7.140625" style="124" customWidth="1"/>
    <col min="5122" max="5122" width="3.28515625" style="124" customWidth="1"/>
    <col min="5123" max="5123" width="3.5703125" style="124" customWidth="1"/>
    <col min="5124" max="5124" width="5.140625" style="124" customWidth="1"/>
    <col min="5125" max="5125" width="5.7109375" style="124" customWidth="1"/>
    <col min="5126" max="5126" width="6.140625" style="124" bestFit="1" customWidth="1"/>
    <col min="5127" max="5127" width="6.7109375" style="124" customWidth="1"/>
    <col min="5128" max="5128" width="5.7109375" style="124" bestFit="1" customWidth="1"/>
    <col min="5129" max="5129" width="3.140625" style="124" bestFit="1" customWidth="1"/>
    <col min="5130" max="5130" width="4.140625" style="124" bestFit="1" customWidth="1"/>
    <col min="5131" max="5131" width="6.28515625" style="124" customWidth="1"/>
    <col min="5132" max="5133" width="6.140625" style="124" bestFit="1" customWidth="1"/>
    <col min="5134" max="5134" width="4.5703125" style="124" customWidth="1"/>
    <col min="5135" max="5135" width="5.5703125" style="124" bestFit="1" customWidth="1"/>
    <col min="5136" max="5136" width="4.85546875" style="124" customWidth="1"/>
    <col min="5137" max="5137" width="5.5703125" style="124" customWidth="1"/>
    <col min="5138" max="5138" width="5.85546875" style="124" customWidth="1"/>
    <col min="5139" max="5139" width="5.5703125" style="124" customWidth="1"/>
    <col min="5140" max="5140" width="3.42578125" style="124" customWidth="1"/>
    <col min="5141" max="5141" width="3.28515625" style="124" customWidth="1"/>
    <col min="5142" max="5142" width="4.28515625" style="124" bestFit="1" customWidth="1"/>
    <col min="5143" max="5143" width="5.28515625" style="124" bestFit="1" customWidth="1"/>
    <col min="5144" max="5144" width="6.140625" style="124" bestFit="1" customWidth="1"/>
    <col min="5145" max="5145" width="5.140625" style="124" bestFit="1" customWidth="1"/>
    <col min="5146" max="5146" width="7.5703125" style="124" customWidth="1"/>
    <col min="5147" max="5147" width="6.28515625" style="124" customWidth="1"/>
    <col min="5148" max="5150" width="5.42578125" style="124" customWidth="1"/>
    <col min="5151" max="5151" width="6.140625" style="124" customWidth="1"/>
    <col min="5152" max="5152" width="6.7109375" style="124" customWidth="1"/>
    <col min="5153" max="5153" width="8.7109375" style="124" customWidth="1"/>
    <col min="5154" max="5154" width="9" style="124" customWidth="1"/>
    <col min="5155" max="5364" width="11.42578125" style="124"/>
    <col min="5365" max="5365" width="0" style="124" hidden="1" customWidth="1"/>
    <col min="5366" max="5366" width="0.28515625" style="124" customWidth="1"/>
    <col min="5367" max="5367" width="3.7109375" style="124" customWidth="1"/>
    <col min="5368" max="5368" width="8.140625" style="124" customWidth="1"/>
    <col min="5369" max="5369" width="10.140625" style="124" customWidth="1"/>
    <col min="5370" max="5370" width="20" style="124" customWidth="1"/>
    <col min="5371" max="5371" width="8.140625" style="124" customWidth="1"/>
    <col min="5372" max="5372" width="8.42578125" style="124" customWidth="1"/>
    <col min="5373" max="5373" width="12.28515625" style="124" customWidth="1"/>
    <col min="5374" max="5374" width="6.7109375" style="124" customWidth="1"/>
    <col min="5375" max="5375" width="6.28515625" style="124" customWidth="1"/>
    <col min="5376" max="5376" width="8.42578125" style="124" customWidth="1"/>
    <col min="5377" max="5377" width="7.140625" style="124" customWidth="1"/>
    <col min="5378" max="5378" width="3.28515625" style="124" customWidth="1"/>
    <col min="5379" max="5379" width="3.5703125" style="124" customWidth="1"/>
    <col min="5380" max="5380" width="5.140625" style="124" customWidth="1"/>
    <col min="5381" max="5381" width="5.7109375" style="124" customWidth="1"/>
    <col min="5382" max="5382" width="6.140625" style="124" bestFit="1" customWidth="1"/>
    <col min="5383" max="5383" width="6.7109375" style="124" customWidth="1"/>
    <col min="5384" max="5384" width="5.7109375" style="124" bestFit="1" customWidth="1"/>
    <col min="5385" max="5385" width="3.140625" style="124" bestFit="1" customWidth="1"/>
    <col min="5386" max="5386" width="4.140625" style="124" bestFit="1" customWidth="1"/>
    <col min="5387" max="5387" width="6.28515625" style="124" customWidth="1"/>
    <col min="5388" max="5389" width="6.140625" style="124" bestFit="1" customWidth="1"/>
    <col min="5390" max="5390" width="4.5703125" style="124" customWidth="1"/>
    <col min="5391" max="5391" width="5.5703125" style="124" bestFit="1" customWidth="1"/>
    <col min="5392" max="5392" width="4.85546875" style="124" customWidth="1"/>
    <col min="5393" max="5393" width="5.5703125" style="124" customWidth="1"/>
    <col min="5394" max="5394" width="5.85546875" style="124" customWidth="1"/>
    <col min="5395" max="5395" width="5.5703125" style="124" customWidth="1"/>
    <col min="5396" max="5396" width="3.42578125" style="124" customWidth="1"/>
    <col min="5397" max="5397" width="3.28515625" style="124" customWidth="1"/>
    <col min="5398" max="5398" width="4.28515625" style="124" bestFit="1" customWidth="1"/>
    <col min="5399" max="5399" width="5.28515625" style="124" bestFit="1" customWidth="1"/>
    <col min="5400" max="5400" width="6.140625" style="124" bestFit="1" customWidth="1"/>
    <col min="5401" max="5401" width="5.140625" style="124" bestFit="1" customWidth="1"/>
    <col min="5402" max="5402" width="7.5703125" style="124" customWidth="1"/>
    <col min="5403" max="5403" width="6.28515625" style="124" customWidth="1"/>
    <col min="5404" max="5406" width="5.42578125" style="124" customWidth="1"/>
    <col min="5407" max="5407" width="6.140625" style="124" customWidth="1"/>
    <col min="5408" max="5408" width="6.7109375" style="124" customWidth="1"/>
    <col min="5409" max="5409" width="8.7109375" style="124" customWidth="1"/>
    <col min="5410" max="5410" width="9" style="124" customWidth="1"/>
    <col min="5411" max="5620" width="11.42578125" style="124"/>
    <col min="5621" max="5621" width="0" style="124" hidden="1" customWidth="1"/>
    <col min="5622" max="5622" width="0.28515625" style="124" customWidth="1"/>
    <col min="5623" max="5623" width="3.7109375" style="124" customWidth="1"/>
    <col min="5624" max="5624" width="8.140625" style="124" customWidth="1"/>
    <col min="5625" max="5625" width="10.140625" style="124" customWidth="1"/>
    <col min="5626" max="5626" width="20" style="124" customWidth="1"/>
    <col min="5627" max="5627" width="8.140625" style="124" customWidth="1"/>
    <col min="5628" max="5628" width="8.42578125" style="124" customWidth="1"/>
    <col min="5629" max="5629" width="12.28515625" style="124" customWidth="1"/>
    <col min="5630" max="5630" width="6.7109375" style="124" customWidth="1"/>
    <col min="5631" max="5631" width="6.28515625" style="124" customWidth="1"/>
    <col min="5632" max="5632" width="8.42578125" style="124" customWidth="1"/>
    <col min="5633" max="5633" width="7.140625" style="124" customWidth="1"/>
    <col min="5634" max="5634" width="3.28515625" style="124" customWidth="1"/>
    <col min="5635" max="5635" width="3.5703125" style="124" customWidth="1"/>
    <col min="5636" max="5636" width="5.140625" style="124" customWidth="1"/>
    <col min="5637" max="5637" width="5.7109375" style="124" customWidth="1"/>
    <col min="5638" max="5638" width="6.140625" style="124" bestFit="1" customWidth="1"/>
    <col min="5639" max="5639" width="6.7109375" style="124" customWidth="1"/>
    <col min="5640" max="5640" width="5.7109375" style="124" bestFit="1" customWidth="1"/>
    <col min="5641" max="5641" width="3.140625" style="124" bestFit="1" customWidth="1"/>
    <col min="5642" max="5642" width="4.140625" style="124" bestFit="1" customWidth="1"/>
    <col min="5643" max="5643" width="6.28515625" style="124" customWidth="1"/>
    <col min="5644" max="5645" width="6.140625" style="124" bestFit="1" customWidth="1"/>
    <col min="5646" max="5646" width="4.5703125" style="124" customWidth="1"/>
    <col min="5647" max="5647" width="5.5703125" style="124" bestFit="1" customWidth="1"/>
    <col min="5648" max="5648" width="4.85546875" style="124" customWidth="1"/>
    <col min="5649" max="5649" width="5.5703125" style="124" customWidth="1"/>
    <col min="5650" max="5650" width="5.85546875" style="124" customWidth="1"/>
    <col min="5651" max="5651" width="5.5703125" style="124" customWidth="1"/>
    <col min="5652" max="5652" width="3.42578125" style="124" customWidth="1"/>
    <col min="5653" max="5653" width="3.28515625" style="124" customWidth="1"/>
    <col min="5654" max="5654" width="4.28515625" style="124" bestFit="1" customWidth="1"/>
    <col min="5655" max="5655" width="5.28515625" style="124" bestFit="1" customWidth="1"/>
    <col min="5656" max="5656" width="6.140625" style="124" bestFit="1" customWidth="1"/>
    <col min="5657" max="5657" width="5.140625" style="124" bestFit="1" customWidth="1"/>
    <col min="5658" max="5658" width="7.5703125" style="124" customWidth="1"/>
    <col min="5659" max="5659" width="6.28515625" style="124" customWidth="1"/>
    <col min="5660" max="5662" width="5.42578125" style="124" customWidth="1"/>
    <col min="5663" max="5663" width="6.140625" style="124" customWidth="1"/>
    <col min="5664" max="5664" width="6.7109375" style="124" customWidth="1"/>
    <col min="5665" max="5665" width="8.7109375" style="124" customWidth="1"/>
    <col min="5666" max="5666" width="9" style="124" customWidth="1"/>
    <col min="5667" max="5876" width="11.42578125" style="124"/>
    <col min="5877" max="5877" width="0" style="124" hidden="1" customWidth="1"/>
    <col min="5878" max="5878" width="0.28515625" style="124" customWidth="1"/>
    <col min="5879" max="5879" width="3.7109375" style="124" customWidth="1"/>
    <col min="5880" max="5880" width="8.140625" style="124" customWidth="1"/>
    <col min="5881" max="5881" width="10.140625" style="124" customWidth="1"/>
    <col min="5882" max="5882" width="20" style="124" customWidth="1"/>
    <col min="5883" max="5883" width="8.140625" style="124" customWidth="1"/>
    <col min="5884" max="5884" width="8.42578125" style="124" customWidth="1"/>
    <col min="5885" max="5885" width="12.28515625" style="124" customWidth="1"/>
    <col min="5886" max="5886" width="6.7109375" style="124" customWidth="1"/>
    <col min="5887" max="5887" width="6.28515625" style="124" customWidth="1"/>
    <col min="5888" max="5888" width="8.42578125" style="124" customWidth="1"/>
    <col min="5889" max="5889" width="7.140625" style="124" customWidth="1"/>
    <col min="5890" max="5890" width="3.28515625" style="124" customWidth="1"/>
    <col min="5891" max="5891" width="3.5703125" style="124" customWidth="1"/>
    <col min="5892" max="5892" width="5.140625" style="124" customWidth="1"/>
    <col min="5893" max="5893" width="5.7109375" style="124" customWidth="1"/>
    <col min="5894" max="5894" width="6.140625" style="124" bestFit="1" customWidth="1"/>
    <col min="5895" max="5895" width="6.7109375" style="124" customWidth="1"/>
    <col min="5896" max="5896" width="5.7109375" style="124" bestFit="1" customWidth="1"/>
    <col min="5897" max="5897" width="3.140625" style="124" bestFit="1" customWidth="1"/>
    <col min="5898" max="5898" width="4.140625" style="124" bestFit="1" customWidth="1"/>
    <col min="5899" max="5899" width="6.28515625" style="124" customWidth="1"/>
    <col min="5900" max="5901" width="6.140625" style="124" bestFit="1" customWidth="1"/>
    <col min="5902" max="5902" width="4.5703125" style="124" customWidth="1"/>
    <col min="5903" max="5903" width="5.5703125" style="124" bestFit="1" customWidth="1"/>
    <col min="5904" max="5904" width="4.85546875" style="124" customWidth="1"/>
    <col min="5905" max="5905" width="5.5703125" style="124" customWidth="1"/>
    <col min="5906" max="5906" width="5.85546875" style="124" customWidth="1"/>
    <col min="5907" max="5907" width="5.5703125" style="124" customWidth="1"/>
    <col min="5908" max="5908" width="3.42578125" style="124" customWidth="1"/>
    <col min="5909" max="5909" width="3.28515625" style="124" customWidth="1"/>
    <col min="5910" max="5910" width="4.28515625" style="124" bestFit="1" customWidth="1"/>
    <col min="5911" max="5911" width="5.28515625" style="124" bestFit="1" customWidth="1"/>
    <col min="5912" max="5912" width="6.140625" style="124" bestFit="1" customWidth="1"/>
    <col min="5913" max="5913" width="5.140625" style="124" bestFit="1" customWidth="1"/>
    <col min="5914" max="5914" width="7.5703125" style="124" customWidth="1"/>
    <col min="5915" max="5915" width="6.28515625" style="124" customWidth="1"/>
    <col min="5916" max="5918" width="5.42578125" style="124" customWidth="1"/>
    <col min="5919" max="5919" width="6.140625" style="124" customWidth="1"/>
    <col min="5920" max="5920" width="6.7109375" style="124" customWidth="1"/>
    <col min="5921" max="5921" width="8.7109375" style="124" customWidth="1"/>
    <col min="5922" max="5922" width="9" style="124" customWidth="1"/>
    <col min="5923" max="6132" width="11.42578125" style="124"/>
    <col min="6133" max="6133" width="0" style="124" hidden="1" customWidth="1"/>
    <col min="6134" max="6134" width="0.28515625" style="124" customWidth="1"/>
    <col min="6135" max="6135" width="3.7109375" style="124" customWidth="1"/>
    <col min="6136" max="6136" width="8.140625" style="124" customWidth="1"/>
    <col min="6137" max="6137" width="10.140625" style="124" customWidth="1"/>
    <col min="6138" max="6138" width="20" style="124" customWidth="1"/>
    <col min="6139" max="6139" width="8.140625" style="124" customWidth="1"/>
    <col min="6140" max="6140" width="8.42578125" style="124" customWidth="1"/>
    <col min="6141" max="6141" width="12.28515625" style="124" customWidth="1"/>
    <col min="6142" max="6142" width="6.7109375" style="124" customWidth="1"/>
    <col min="6143" max="6143" width="6.28515625" style="124" customWidth="1"/>
    <col min="6144" max="6144" width="8.42578125" style="124" customWidth="1"/>
    <col min="6145" max="6145" width="7.140625" style="124" customWidth="1"/>
    <col min="6146" max="6146" width="3.28515625" style="124" customWidth="1"/>
    <col min="6147" max="6147" width="3.5703125" style="124" customWidth="1"/>
    <col min="6148" max="6148" width="5.140625" style="124" customWidth="1"/>
    <col min="6149" max="6149" width="5.7109375" style="124" customWidth="1"/>
    <col min="6150" max="6150" width="6.140625" style="124" bestFit="1" customWidth="1"/>
    <col min="6151" max="6151" width="6.7109375" style="124" customWidth="1"/>
    <col min="6152" max="6152" width="5.7109375" style="124" bestFit="1" customWidth="1"/>
    <col min="6153" max="6153" width="3.140625" style="124" bestFit="1" customWidth="1"/>
    <col min="6154" max="6154" width="4.140625" style="124" bestFit="1" customWidth="1"/>
    <col min="6155" max="6155" width="6.28515625" style="124" customWidth="1"/>
    <col min="6156" max="6157" width="6.140625" style="124" bestFit="1" customWidth="1"/>
    <col min="6158" max="6158" width="4.5703125" style="124" customWidth="1"/>
    <col min="6159" max="6159" width="5.5703125" style="124" bestFit="1" customWidth="1"/>
    <col min="6160" max="6160" width="4.85546875" style="124" customWidth="1"/>
    <col min="6161" max="6161" width="5.5703125" style="124" customWidth="1"/>
    <col min="6162" max="6162" width="5.85546875" style="124" customWidth="1"/>
    <col min="6163" max="6163" width="5.5703125" style="124" customWidth="1"/>
    <col min="6164" max="6164" width="3.42578125" style="124" customWidth="1"/>
    <col min="6165" max="6165" width="3.28515625" style="124" customWidth="1"/>
    <col min="6166" max="6166" width="4.28515625" style="124" bestFit="1" customWidth="1"/>
    <col min="6167" max="6167" width="5.28515625" style="124" bestFit="1" customWidth="1"/>
    <col min="6168" max="6168" width="6.140625" style="124" bestFit="1" customWidth="1"/>
    <col min="6169" max="6169" width="5.140625" style="124" bestFit="1" customWidth="1"/>
    <col min="6170" max="6170" width="7.5703125" style="124" customWidth="1"/>
    <col min="6171" max="6171" width="6.28515625" style="124" customWidth="1"/>
    <col min="6172" max="6174" width="5.42578125" style="124" customWidth="1"/>
    <col min="6175" max="6175" width="6.140625" style="124" customWidth="1"/>
    <col min="6176" max="6176" width="6.7109375" style="124" customWidth="1"/>
    <col min="6177" max="6177" width="8.7109375" style="124" customWidth="1"/>
    <col min="6178" max="6178" width="9" style="124" customWidth="1"/>
    <col min="6179" max="6388" width="11.42578125" style="124"/>
    <col min="6389" max="6389" width="0" style="124" hidden="1" customWidth="1"/>
    <col min="6390" max="6390" width="0.28515625" style="124" customWidth="1"/>
    <col min="6391" max="6391" width="3.7109375" style="124" customWidth="1"/>
    <col min="6392" max="6392" width="8.140625" style="124" customWidth="1"/>
    <col min="6393" max="6393" width="10.140625" style="124" customWidth="1"/>
    <col min="6394" max="6394" width="20" style="124" customWidth="1"/>
    <col min="6395" max="6395" width="8.140625" style="124" customWidth="1"/>
    <col min="6396" max="6396" width="8.42578125" style="124" customWidth="1"/>
    <col min="6397" max="6397" width="12.28515625" style="124" customWidth="1"/>
    <col min="6398" max="6398" width="6.7109375" style="124" customWidth="1"/>
    <col min="6399" max="6399" width="6.28515625" style="124" customWidth="1"/>
    <col min="6400" max="6400" width="8.42578125" style="124" customWidth="1"/>
    <col min="6401" max="6401" width="7.140625" style="124" customWidth="1"/>
    <col min="6402" max="6402" width="3.28515625" style="124" customWidth="1"/>
    <col min="6403" max="6403" width="3.5703125" style="124" customWidth="1"/>
    <col min="6404" max="6404" width="5.140625" style="124" customWidth="1"/>
    <col min="6405" max="6405" width="5.7109375" style="124" customWidth="1"/>
    <col min="6406" max="6406" width="6.140625" style="124" bestFit="1" customWidth="1"/>
    <col min="6407" max="6407" width="6.7109375" style="124" customWidth="1"/>
    <col min="6408" max="6408" width="5.7109375" style="124" bestFit="1" customWidth="1"/>
    <col min="6409" max="6409" width="3.140625" style="124" bestFit="1" customWidth="1"/>
    <col min="6410" max="6410" width="4.140625" style="124" bestFit="1" customWidth="1"/>
    <col min="6411" max="6411" width="6.28515625" style="124" customWidth="1"/>
    <col min="6412" max="6413" width="6.140625" style="124" bestFit="1" customWidth="1"/>
    <col min="6414" max="6414" width="4.5703125" style="124" customWidth="1"/>
    <col min="6415" max="6415" width="5.5703125" style="124" bestFit="1" customWidth="1"/>
    <col min="6416" max="6416" width="4.85546875" style="124" customWidth="1"/>
    <col min="6417" max="6417" width="5.5703125" style="124" customWidth="1"/>
    <col min="6418" max="6418" width="5.85546875" style="124" customWidth="1"/>
    <col min="6419" max="6419" width="5.5703125" style="124" customWidth="1"/>
    <col min="6420" max="6420" width="3.42578125" style="124" customWidth="1"/>
    <col min="6421" max="6421" width="3.28515625" style="124" customWidth="1"/>
    <col min="6422" max="6422" width="4.28515625" style="124" bestFit="1" customWidth="1"/>
    <col min="6423" max="6423" width="5.28515625" style="124" bestFit="1" customWidth="1"/>
    <col min="6424" max="6424" width="6.140625" style="124" bestFit="1" customWidth="1"/>
    <col min="6425" max="6425" width="5.140625" style="124" bestFit="1" customWidth="1"/>
    <col min="6426" max="6426" width="7.5703125" style="124" customWidth="1"/>
    <col min="6427" max="6427" width="6.28515625" style="124" customWidth="1"/>
    <col min="6428" max="6430" width="5.42578125" style="124" customWidth="1"/>
    <col min="6431" max="6431" width="6.140625" style="124" customWidth="1"/>
    <col min="6432" max="6432" width="6.7109375" style="124" customWidth="1"/>
    <col min="6433" max="6433" width="8.7109375" style="124" customWidth="1"/>
    <col min="6434" max="6434" width="9" style="124" customWidth="1"/>
    <col min="6435" max="6644" width="11.42578125" style="124"/>
    <col min="6645" max="6645" width="0" style="124" hidden="1" customWidth="1"/>
    <col min="6646" max="6646" width="0.28515625" style="124" customWidth="1"/>
    <col min="6647" max="6647" width="3.7109375" style="124" customWidth="1"/>
    <col min="6648" max="6648" width="8.140625" style="124" customWidth="1"/>
    <col min="6649" max="6649" width="10.140625" style="124" customWidth="1"/>
    <col min="6650" max="6650" width="20" style="124" customWidth="1"/>
    <col min="6651" max="6651" width="8.140625" style="124" customWidth="1"/>
    <col min="6652" max="6652" width="8.42578125" style="124" customWidth="1"/>
    <col min="6653" max="6653" width="12.28515625" style="124" customWidth="1"/>
    <col min="6654" max="6654" width="6.7109375" style="124" customWidth="1"/>
    <col min="6655" max="6655" width="6.28515625" style="124" customWidth="1"/>
    <col min="6656" max="6656" width="8.42578125" style="124" customWidth="1"/>
    <col min="6657" max="6657" width="7.140625" style="124" customWidth="1"/>
    <col min="6658" max="6658" width="3.28515625" style="124" customWidth="1"/>
    <col min="6659" max="6659" width="3.5703125" style="124" customWidth="1"/>
    <col min="6660" max="6660" width="5.140625" style="124" customWidth="1"/>
    <col min="6661" max="6661" width="5.7109375" style="124" customWidth="1"/>
    <col min="6662" max="6662" width="6.140625" style="124" bestFit="1" customWidth="1"/>
    <col min="6663" max="6663" width="6.7109375" style="124" customWidth="1"/>
    <col min="6664" max="6664" width="5.7109375" style="124" bestFit="1" customWidth="1"/>
    <col min="6665" max="6665" width="3.140625" style="124" bestFit="1" customWidth="1"/>
    <col min="6666" max="6666" width="4.140625" style="124" bestFit="1" customWidth="1"/>
    <col min="6667" max="6667" width="6.28515625" style="124" customWidth="1"/>
    <col min="6668" max="6669" width="6.140625" style="124" bestFit="1" customWidth="1"/>
    <col min="6670" max="6670" width="4.5703125" style="124" customWidth="1"/>
    <col min="6671" max="6671" width="5.5703125" style="124" bestFit="1" customWidth="1"/>
    <col min="6672" max="6672" width="4.85546875" style="124" customWidth="1"/>
    <col min="6673" max="6673" width="5.5703125" style="124" customWidth="1"/>
    <col min="6674" max="6674" width="5.85546875" style="124" customWidth="1"/>
    <col min="6675" max="6675" width="5.5703125" style="124" customWidth="1"/>
    <col min="6676" max="6676" width="3.42578125" style="124" customWidth="1"/>
    <col min="6677" max="6677" width="3.28515625" style="124" customWidth="1"/>
    <col min="6678" max="6678" width="4.28515625" style="124" bestFit="1" customWidth="1"/>
    <col min="6679" max="6679" width="5.28515625" style="124" bestFit="1" customWidth="1"/>
    <col min="6680" max="6680" width="6.140625" style="124" bestFit="1" customWidth="1"/>
    <col min="6681" max="6681" width="5.140625" style="124" bestFit="1" customWidth="1"/>
    <col min="6682" max="6682" width="7.5703125" style="124" customWidth="1"/>
    <col min="6683" max="6683" width="6.28515625" style="124" customWidth="1"/>
    <col min="6684" max="6686" width="5.42578125" style="124" customWidth="1"/>
    <col min="6687" max="6687" width="6.140625" style="124" customWidth="1"/>
    <col min="6688" max="6688" width="6.7109375" style="124" customWidth="1"/>
    <col min="6689" max="6689" width="8.7109375" style="124" customWidth="1"/>
    <col min="6690" max="6690" width="9" style="124" customWidth="1"/>
    <col min="6691" max="6900" width="11.42578125" style="124"/>
    <col min="6901" max="6901" width="0" style="124" hidden="1" customWidth="1"/>
    <col min="6902" max="6902" width="0.28515625" style="124" customWidth="1"/>
    <col min="6903" max="6903" width="3.7109375" style="124" customWidth="1"/>
    <col min="6904" max="6904" width="8.140625" style="124" customWidth="1"/>
    <col min="6905" max="6905" width="10.140625" style="124" customWidth="1"/>
    <col min="6906" max="6906" width="20" style="124" customWidth="1"/>
    <col min="6907" max="6907" width="8.140625" style="124" customWidth="1"/>
    <col min="6908" max="6908" width="8.42578125" style="124" customWidth="1"/>
    <col min="6909" max="6909" width="12.28515625" style="124" customWidth="1"/>
    <col min="6910" max="6910" width="6.7109375" style="124" customWidth="1"/>
    <col min="6911" max="6911" width="6.28515625" style="124" customWidth="1"/>
    <col min="6912" max="6912" width="8.42578125" style="124" customWidth="1"/>
    <col min="6913" max="6913" width="7.140625" style="124" customWidth="1"/>
    <col min="6914" max="6914" width="3.28515625" style="124" customWidth="1"/>
    <col min="6915" max="6915" width="3.5703125" style="124" customWidth="1"/>
    <col min="6916" max="6916" width="5.140625" style="124" customWidth="1"/>
    <col min="6917" max="6917" width="5.7109375" style="124" customWidth="1"/>
    <col min="6918" max="6918" width="6.140625" style="124" bestFit="1" customWidth="1"/>
    <col min="6919" max="6919" width="6.7109375" style="124" customWidth="1"/>
    <col min="6920" max="6920" width="5.7109375" style="124" bestFit="1" customWidth="1"/>
    <col min="6921" max="6921" width="3.140625" style="124" bestFit="1" customWidth="1"/>
    <col min="6922" max="6922" width="4.140625" style="124" bestFit="1" customWidth="1"/>
    <col min="6923" max="6923" width="6.28515625" style="124" customWidth="1"/>
    <col min="6924" max="6925" width="6.140625" style="124" bestFit="1" customWidth="1"/>
    <col min="6926" max="6926" width="4.5703125" style="124" customWidth="1"/>
    <col min="6927" max="6927" width="5.5703125" style="124" bestFit="1" customWidth="1"/>
    <col min="6928" max="6928" width="4.85546875" style="124" customWidth="1"/>
    <col min="6929" max="6929" width="5.5703125" style="124" customWidth="1"/>
    <col min="6930" max="6930" width="5.85546875" style="124" customWidth="1"/>
    <col min="6931" max="6931" width="5.5703125" style="124" customWidth="1"/>
    <col min="6932" max="6932" width="3.42578125" style="124" customWidth="1"/>
    <col min="6933" max="6933" width="3.28515625" style="124" customWidth="1"/>
    <col min="6934" max="6934" width="4.28515625" style="124" bestFit="1" customWidth="1"/>
    <col min="6935" max="6935" width="5.28515625" style="124" bestFit="1" customWidth="1"/>
    <col min="6936" max="6936" width="6.140625" style="124" bestFit="1" customWidth="1"/>
    <col min="6937" max="6937" width="5.140625" style="124" bestFit="1" customWidth="1"/>
    <col min="6938" max="6938" width="7.5703125" style="124" customWidth="1"/>
    <col min="6939" max="6939" width="6.28515625" style="124" customWidth="1"/>
    <col min="6940" max="6942" width="5.42578125" style="124" customWidth="1"/>
    <col min="6943" max="6943" width="6.140625" style="124" customWidth="1"/>
    <col min="6944" max="6944" width="6.7109375" style="124" customWidth="1"/>
    <col min="6945" max="6945" width="8.7109375" style="124" customWidth="1"/>
    <col min="6946" max="6946" width="9" style="124" customWidth="1"/>
    <col min="6947" max="7156" width="11.42578125" style="124"/>
    <col min="7157" max="7157" width="0" style="124" hidden="1" customWidth="1"/>
    <col min="7158" max="7158" width="0.28515625" style="124" customWidth="1"/>
    <col min="7159" max="7159" width="3.7109375" style="124" customWidth="1"/>
    <col min="7160" max="7160" width="8.140625" style="124" customWidth="1"/>
    <col min="7161" max="7161" width="10.140625" style="124" customWidth="1"/>
    <col min="7162" max="7162" width="20" style="124" customWidth="1"/>
    <col min="7163" max="7163" width="8.140625" style="124" customWidth="1"/>
    <col min="7164" max="7164" width="8.42578125" style="124" customWidth="1"/>
    <col min="7165" max="7165" width="12.28515625" style="124" customWidth="1"/>
    <col min="7166" max="7166" width="6.7109375" style="124" customWidth="1"/>
    <col min="7167" max="7167" width="6.28515625" style="124" customWidth="1"/>
    <col min="7168" max="7168" width="8.42578125" style="124" customWidth="1"/>
    <col min="7169" max="7169" width="7.140625" style="124" customWidth="1"/>
    <col min="7170" max="7170" width="3.28515625" style="124" customWidth="1"/>
    <col min="7171" max="7171" width="3.5703125" style="124" customWidth="1"/>
    <col min="7172" max="7172" width="5.140625" style="124" customWidth="1"/>
    <col min="7173" max="7173" width="5.7109375" style="124" customWidth="1"/>
    <col min="7174" max="7174" width="6.140625" style="124" bestFit="1" customWidth="1"/>
    <col min="7175" max="7175" width="6.7109375" style="124" customWidth="1"/>
    <col min="7176" max="7176" width="5.7109375" style="124" bestFit="1" customWidth="1"/>
    <col min="7177" max="7177" width="3.140625" style="124" bestFit="1" customWidth="1"/>
    <col min="7178" max="7178" width="4.140625" style="124" bestFit="1" customWidth="1"/>
    <col min="7179" max="7179" width="6.28515625" style="124" customWidth="1"/>
    <col min="7180" max="7181" width="6.140625" style="124" bestFit="1" customWidth="1"/>
    <col min="7182" max="7182" width="4.5703125" style="124" customWidth="1"/>
    <col min="7183" max="7183" width="5.5703125" style="124" bestFit="1" customWidth="1"/>
    <col min="7184" max="7184" width="4.85546875" style="124" customWidth="1"/>
    <col min="7185" max="7185" width="5.5703125" style="124" customWidth="1"/>
    <col min="7186" max="7186" width="5.85546875" style="124" customWidth="1"/>
    <col min="7187" max="7187" width="5.5703125" style="124" customWidth="1"/>
    <col min="7188" max="7188" width="3.42578125" style="124" customWidth="1"/>
    <col min="7189" max="7189" width="3.28515625" style="124" customWidth="1"/>
    <col min="7190" max="7190" width="4.28515625" style="124" bestFit="1" customWidth="1"/>
    <col min="7191" max="7191" width="5.28515625" style="124" bestFit="1" customWidth="1"/>
    <col min="7192" max="7192" width="6.140625" style="124" bestFit="1" customWidth="1"/>
    <col min="7193" max="7193" width="5.140625" style="124" bestFit="1" customWidth="1"/>
    <col min="7194" max="7194" width="7.5703125" style="124" customWidth="1"/>
    <col min="7195" max="7195" width="6.28515625" style="124" customWidth="1"/>
    <col min="7196" max="7198" width="5.42578125" style="124" customWidth="1"/>
    <col min="7199" max="7199" width="6.140625" style="124" customWidth="1"/>
    <col min="7200" max="7200" width="6.7109375" style="124" customWidth="1"/>
    <col min="7201" max="7201" width="8.7109375" style="124" customWidth="1"/>
    <col min="7202" max="7202" width="9" style="124" customWidth="1"/>
    <col min="7203" max="7412" width="11.42578125" style="124"/>
    <col min="7413" max="7413" width="0" style="124" hidden="1" customWidth="1"/>
    <col min="7414" max="7414" width="0.28515625" style="124" customWidth="1"/>
    <col min="7415" max="7415" width="3.7109375" style="124" customWidth="1"/>
    <col min="7416" max="7416" width="8.140625" style="124" customWidth="1"/>
    <col min="7417" max="7417" width="10.140625" style="124" customWidth="1"/>
    <col min="7418" max="7418" width="20" style="124" customWidth="1"/>
    <col min="7419" max="7419" width="8.140625" style="124" customWidth="1"/>
    <col min="7420" max="7420" width="8.42578125" style="124" customWidth="1"/>
    <col min="7421" max="7421" width="12.28515625" style="124" customWidth="1"/>
    <col min="7422" max="7422" width="6.7109375" style="124" customWidth="1"/>
    <col min="7423" max="7423" width="6.28515625" style="124" customWidth="1"/>
    <col min="7424" max="7424" width="8.42578125" style="124" customWidth="1"/>
    <col min="7425" max="7425" width="7.140625" style="124" customWidth="1"/>
    <col min="7426" max="7426" width="3.28515625" style="124" customWidth="1"/>
    <col min="7427" max="7427" width="3.5703125" style="124" customWidth="1"/>
    <col min="7428" max="7428" width="5.140625" style="124" customWidth="1"/>
    <col min="7429" max="7429" width="5.7109375" style="124" customWidth="1"/>
    <col min="7430" max="7430" width="6.140625" style="124" bestFit="1" customWidth="1"/>
    <col min="7431" max="7431" width="6.7109375" style="124" customWidth="1"/>
    <col min="7432" max="7432" width="5.7109375" style="124" bestFit="1" customWidth="1"/>
    <col min="7433" max="7433" width="3.140625" style="124" bestFit="1" customWidth="1"/>
    <col min="7434" max="7434" width="4.140625" style="124" bestFit="1" customWidth="1"/>
    <col min="7435" max="7435" width="6.28515625" style="124" customWidth="1"/>
    <col min="7436" max="7437" width="6.140625" style="124" bestFit="1" customWidth="1"/>
    <col min="7438" max="7438" width="4.5703125" style="124" customWidth="1"/>
    <col min="7439" max="7439" width="5.5703125" style="124" bestFit="1" customWidth="1"/>
    <col min="7440" max="7440" width="4.85546875" style="124" customWidth="1"/>
    <col min="7441" max="7441" width="5.5703125" style="124" customWidth="1"/>
    <col min="7442" max="7442" width="5.85546875" style="124" customWidth="1"/>
    <col min="7443" max="7443" width="5.5703125" style="124" customWidth="1"/>
    <col min="7444" max="7444" width="3.42578125" style="124" customWidth="1"/>
    <col min="7445" max="7445" width="3.28515625" style="124" customWidth="1"/>
    <col min="7446" max="7446" width="4.28515625" style="124" bestFit="1" customWidth="1"/>
    <col min="7447" max="7447" width="5.28515625" style="124" bestFit="1" customWidth="1"/>
    <col min="7448" max="7448" width="6.140625" style="124" bestFit="1" customWidth="1"/>
    <col min="7449" max="7449" width="5.140625" style="124" bestFit="1" customWidth="1"/>
    <col min="7450" max="7450" width="7.5703125" style="124" customWidth="1"/>
    <col min="7451" max="7451" width="6.28515625" style="124" customWidth="1"/>
    <col min="7452" max="7454" width="5.42578125" style="124" customWidth="1"/>
    <col min="7455" max="7455" width="6.140625" style="124" customWidth="1"/>
    <col min="7456" max="7456" width="6.7109375" style="124" customWidth="1"/>
    <col min="7457" max="7457" width="8.7109375" style="124" customWidth="1"/>
    <col min="7458" max="7458" width="9" style="124" customWidth="1"/>
    <col min="7459" max="7668" width="11.42578125" style="124"/>
    <col min="7669" max="7669" width="0" style="124" hidden="1" customWidth="1"/>
    <col min="7670" max="7670" width="0.28515625" style="124" customWidth="1"/>
    <col min="7671" max="7671" width="3.7109375" style="124" customWidth="1"/>
    <col min="7672" max="7672" width="8.140625" style="124" customWidth="1"/>
    <col min="7673" max="7673" width="10.140625" style="124" customWidth="1"/>
    <col min="7674" max="7674" width="20" style="124" customWidth="1"/>
    <col min="7675" max="7675" width="8.140625" style="124" customWidth="1"/>
    <col min="7676" max="7676" width="8.42578125" style="124" customWidth="1"/>
    <col min="7677" max="7677" width="12.28515625" style="124" customWidth="1"/>
    <col min="7678" max="7678" width="6.7109375" style="124" customWidth="1"/>
    <col min="7679" max="7679" width="6.28515625" style="124" customWidth="1"/>
    <col min="7680" max="7680" width="8.42578125" style="124" customWidth="1"/>
    <col min="7681" max="7681" width="7.140625" style="124" customWidth="1"/>
    <col min="7682" max="7682" width="3.28515625" style="124" customWidth="1"/>
    <col min="7683" max="7683" width="3.5703125" style="124" customWidth="1"/>
    <col min="7684" max="7684" width="5.140625" style="124" customWidth="1"/>
    <col min="7685" max="7685" width="5.7109375" style="124" customWidth="1"/>
    <col min="7686" max="7686" width="6.140625" style="124" bestFit="1" customWidth="1"/>
    <col min="7687" max="7687" width="6.7109375" style="124" customWidth="1"/>
    <col min="7688" max="7688" width="5.7109375" style="124" bestFit="1" customWidth="1"/>
    <col min="7689" max="7689" width="3.140625" style="124" bestFit="1" customWidth="1"/>
    <col min="7690" max="7690" width="4.140625" style="124" bestFit="1" customWidth="1"/>
    <col min="7691" max="7691" width="6.28515625" style="124" customWidth="1"/>
    <col min="7692" max="7693" width="6.140625" style="124" bestFit="1" customWidth="1"/>
    <col min="7694" max="7694" width="4.5703125" style="124" customWidth="1"/>
    <col min="7695" max="7695" width="5.5703125" style="124" bestFit="1" customWidth="1"/>
    <col min="7696" max="7696" width="4.85546875" style="124" customWidth="1"/>
    <col min="7697" max="7697" width="5.5703125" style="124" customWidth="1"/>
    <col min="7698" max="7698" width="5.85546875" style="124" customWidth="1"/>
    <col min="7699" max="7699" width="5.5703125" style="124" customWidth="1"/>
    <col min="7700" max="7700" width="3.42578125" style="124" customWidth="1"/>
    <col min="7701" max="7701" width="3.28515625" style="124" customWidth="1"/>
    <col min="7702" max="7702" width="4.28515625" style="124" bestFit="1" customWidth="1"/>
    <col min="7703" max="7703" width="5.28515625" style="124" bestFit="1" customWidth="1"/>
    <col min="7704" max="7704" width="6.140625" style="124" bestFit="1" customWidth="1"/>
    <col min="7705" max="7705" width="5.140625" style="124" bestFit="1" customWidth="1"/>
    <col min="7706" max="7706" width="7.5703125" style="124" customWidth="1"/>
    <col min="7707" max="7707" width="6.28515625" style="124" customWidth="1"/>
    <col min="7708" max="7710" width="5.42578125" style="124" customWidth="1"/>
    <col min="7711" max="7711" width="6.140625" style="124" customWidth="1"/>
    <col min="7712" max="7712" width="6.7109375" style="124" customWidth="1"/>
    <col min="7713" max="7713" width="8.7109375" style="124" customWidth="1"/>
    <col min="7714" max="7714" width="9" style="124" customWidth="1"/>
    <col min="7715" max="7924" width="11.42578125" style="124"/>
    <col min="7925" max="7925" width="0" style="124" hidden="1" customWidth="1"/>
    <col min="7926" max="7926" width="0.28515625" style="124" customWidth="1"/>
    <col min="7927" max="7927" width="3.7109375" style="124" customWidth="1"/>
    <col min="7928" max="7928" width="8.140625" style="124" customWidth="1"/>
    <col min="7929" max="7929" width="10.140625" style="124" customWidth="1"/>
    <col min="7930" max="7930" width="20" style="124" customWidth="1"/>
    <col min="7931" max="7931" width="8.140625" style="124" customWidth="1"/>
    <col min="7932" max="7932" width="8.42578125" style="124" customWidth="1"/>
    <col min="7933" max="7933" width="12.28515625" style="124" customWidth="1"/>
    <col min="7934" max="7934" width="6.7109375" style="124" customWidth="1"/>
    <col min="7935" max="7935" width="6.28515625" style="124" customWidth="1"/>
    <col min="7936" max="7936" width="8.42578125" style="124" customWidth="1"/>
    <col min="7937" max="7937" width="7.140625" style="124" customWidth="1"/>
    <col min="7938" max="7938" width="3.28515625" style="124" customWidth="1"/>
    <col min="7939" max="7939" width="3.5703125" style="124" customWidth="1"/>
    <col min="7940" max="7940" width="5.140625" style="124" customWidth="1"/>
    <col min="7941" max="7941" width="5.7109375" style="124" customWidth="1"/>
    <col min="7942" max="7942" width="6.140625" style="124" bestFit="1" customWidth="1"/>
    <col min="7943" max="7943" width="6.7109375" style="124" customWidth="1"/>
    <col min="7944" max="7944" width="5.7109375" style="124" bestFit="1" customWidth="1"/>
    <col min="7945" max="7945" width="3.140625" style="124" bestFit="1" customWidth="1"/>
    <col min="7946" max="7946" width="4.140625" style="124" bestFit="1" customWidth="1"/>
    <col min="7947" max="7947" width="6.28515625" style="124" customWidth="1"/>
    <col min="7948" max="7949" width="6.140625" style="124" bestFit="1" customWidth="1"/>
    <col min="7950" max="7950" width="4.5703125" style="124" customWidth="1"/>
    <col min="7951" max="7951" width="5.5703125" style="124" bestFit="1" customWidth="1"/>
    <col min="7952" max="7952" width="4.85546875" style="124" customWidth="1"/>
    <col min="7953" max="7953" width="5.5703125" style="124" customWidth="1"/>
    <col min="7954" max="7954" width="5.85546875" style="124" customWidth="1"/>
    <col min="7955" max="7955" width="5.5703125" style="124" customWidth="1"/>
    <col min="7956" max="7956" width="3.42578125" style="124" customWidth="1"/>
    <col min="7957" max="7957" width="3.28515625" style="124" customWidth="1"/>
    <col min="7958" max="7958" width="4.28515625" style="124" bestFit="1" customWidth="1"/>
    <col min="7959" max="7959" width="5.28515625" style="124" bestFit="1" customWidth="1"/>
    <col min="7960" max="7960" width="6.140625" style="124" bestFit="1" customWidth="1"/>
    <col min="7961" max="7961" width="5.140625" style="124" bestFit="1" customWidth="1"/>
    <col min="7962" max="7962" width="7.5703125" style="124" customWidth="1"/>
    <col min="7963" max="7963" width="6.28515625" style="124" customWidth="1"/>
    <col min="7964" max="7966" width="5.42578125" style="124" customWidth="1"/>
    <col min="7967" max="7967" width="6.140625" style="124" customWidth="1"/>
    <col min="7968" max="7968" width="6.7109375" style="124" customWidth="1"/>
    <col min="7969" max="7969" width="8.7109375" style="124" customWidth="1"/>
    <col min="7970" max="7970" width="9" style="124" customWidth="1"/>
    <col min="7971" max="8180" width="11.42578125" style="124"/>
    <col min="8181" max="8181" width="0" style="124" hidden="1" customWidth="1"/>
    <col min="8182" max="8182" width="0.28515625" style="124" customWidth="1"/>
    <col min="8183" max="8183" width="3.7109375" style="124" customWidth="1"/>
    <col min="8184" max="8184" width="8.140625" style="124" customWidth="1"/>
    <col min="8185" max="8185" width="10.140625" style="124" customWidth="1"/>
    <col min="8186" max="8186" width="20" style="124" customWidth="1"/>
    <col min="8187" max="8187" width="8.140625" style="124" customWidth="1"/>
    <col min="8188" max="8188" width="8.42578125" style="124" customWidth="1"/>
    <col min="8189" max="8189" width="12.28515625" style="124" customWidth="1"/>
    <col min="8190" max="8190" width="6.7109375" style="124" customWidth="1"/>
    <col min="8191" max="8191" width="6.28515625" style="124" customWidth="1"/>
    <col min="8192" max="8192" width="8.42578125" style="124" customWidth="1"/>
    <col min="8193" max="8193" width="7.140625" style="124" customWidth="1"/>
    <col min="8194" max="8194" width="3.28515625" style="124" customWidth="1"/>
    <col min="8195" max="8195" width="3.5703125" style="124" customWidth="1"/>
    <col min="8196" max="8196" width="5.140625" style="124" customWidth="1"/>
    <col min="8197" max="8197" width="5.7109375" style="124" customWidth="1"/>
    <col min="8198" max="8198" width="6.140625" style="124" bestFit="1" customWidth="1"/>
    <col min="8199" max="8199" width="6.7109375" style="124" customWidth="1"/>
    <col min="8200" max="8200" width="5.7109375" style="124" bestFit="1" customWidth="1"/>
    <col min="8201" max="8201" width="3.140625" style="124" bestFit="1" customWidth="1"/>
    <col min="8202" max="8202" width="4.140625" style="124" bestFit="1" customWidth="1"/>
    <col min="8203" max="8203" width="6.28515625" style="124" customWidth="1"/>
    <col min="8204" max="8205" width="6.140625" style="124" bestFit="1" customWidth="1"/>
    <col min="8206" max="8206" width="4.5703125" style="124" customWidth="1"/>
    <col min="8207" max="8207" width="5.5703125" style="124" bestFit="1" customWidth="1"/>
    <col min="8208" max="8208" width="4.85546875" style="124" customWidth="1"/>
    <col min="8209" max="8209" width="5.5703125" style="124" customWidth="1"/>
    <col min="8210" max="8210" width="5.85546875" style="124" customWidth="1"/>
    <col min="8211" max="8211" width="5.5703125" style="124" customWidth="1"/>
    <col min="8212" max="8212" width="3.42578125" style="124" customWidth="1"/>
    <col min="8213" max="8213" width="3.28515625" style="124" customWidth="1"/>
    <col min="8214" max="8214" width="4.28515625" style="124" bestFit="1" customWidth="1"/>
    <col min="8215" max="8215" width="5.28515625" style="124" bestFit="1" customWidth="1"/>
    <col min="8216" max="8216" width="6.140625" style="124" bestFit="1" customWidth="1"/>
    <col min="8217" max="8217" width="5.140625" style="124" bestFit="1" customWidth="1"/>
    <col min="8218" max="8218" width="7.5703125" style="124" customWidth="1"/>
    <col min="8219" max="8219" width="6.28515625" style="124" customWidth="1"/>
    <col min="8220" max="8222" width="5.42578125" style="124" customWidth="1"/>
    <col min="8223" max="8223" width="6.140625" style="124" customWidth="1"/>
    <col min="8224" max="8224" width="6.7109375" style="124" customWidth="1"/>
    <col min="8225" max="8225" width="8.7109375" style="124" customWidth="1"/>
    <col min="8226" max="8226" width="9" style="124" customWidth="1"/>
    <col min="8227" max="8436" width="11.42578125" style="124"/>
    <col min="8437" max="8437" width="0" style="124" hidden="1" customWidth="1"/>
    <col min="8438" max="8438" width="0.28515625" style="124" customWidth="1"/>
    <col min="8439" max="8439" width="3.7109375" style="124" customWidth="1"/>
    <col min="8440" max="8440" width="8.140625" style="124" customWidth="1"/>
    <col min="8441" max="8441" width="10.140625" style="124" customWidth="1"/>
    <col min="8442" max="8442" width="20" style="124" customWidth="1"/>
    <col min="8443" max="8443" width="8.140625" style="124" customWidth="1"/>
    <col min="8444" max="8444" width="8.42578125" style="124" customWidth="1"/>
    <col min="8445" max="8445" width="12.28515625" style="124" customWidth="1"/>
    <col min="8446" max="8446" width="6.7109375" style="124" customWidth="1"/>
    <col min="8447" max="8447" width="6.28515625" style="124" customWidth="1"/>
    <col min="8448" max="8448" width="8.42578125" style="124" customWidth="1"/>
    <col min="8449" max="8449" width="7.140625" style="124" customWidth="1"/>
    <col min="8450" max="8450" width="3.28515625" style="124" customWidth="1"/>
    <col min="8451" max="8451" width="3.5703125" style="124" customWidth="1"/>
    <col min="8452" max="8452" width="5.140625" style="124" customWidth="1"/>
    <col min="8453" max="8453" width="5.7109375" style="124" customWidth="1"/>
    <col min="8454" max="8454" width="6.140625" style="124" bestFit="1" customWidth="1"/>
    <col min="8455" max="8455" width="6.7109375" style="124" customWidth="1"/>
    <col min="8456" max="8456" width="5.7109375" style="124" bestFit="1" customWidth="1"/>
    <col min="8457" max="8457" width="3.140625" style="124" bestFit="1" customWidth="1"/>
    <col min="8458" max="8458" width="4.140625" style="124" bestFit="1" customWidth="1"/>
    <col min="8459" max="8459" width="6.28515625" style="124" customWidth="1"/>
    <col min="8460" max="8461" width="6.140625" style="124" bestFit="1" customWidth="1"/>
    <col min="8462" max="8462" width="4.5703125" style="124" customWidth="1"/>
    <col min="8463" max="8463" width="5.5703125" style="124" bestFit="1" customWidth="1"/>
    <col min="8464" max="8464" width="4.85546875" style="124" customWidth="1"/>
    <col min="8465" max="8465" width="5.5703125" style="124" customWidth="1"/>
    <col min="8466" max="8466" width="5.85546875" style="124" customWidth="1"/>
    <col min="8467" max="8467" width="5.5703125" style="124" customWidth="1"/>
    <col min="8468" max="8468" width="3.42578125" style="124" customWidth="1"/>
    <col min="8469" max="8469" width="3.28515625" style="124" customWidth="1"/>
    <col min="8470" max="8470" width="4.28515625" style="124" bestFit="1" customWidth="1"/>
    <col min="8471" max="8471" width="5.28515625" style="124" bestFit="1" customWidth="1"/>
    <col min="8472" max="8472" width="6.140625" style="124" bestFit="1" customWidth="1"/>
    <col min="8473" max="8473" width="5.140625" style="124" bestFit="1" customWidth="1"/>
    <col min="8474" max="8474" width="7.5703125" style="124" customWidth="1"/>
    <col min="8475" max="8475" width="6.28515625" style="124" customWidth="1"/>
    <col min="8476" max="8478" width="5.42578125" style="124" customWidth="1"/>
    <col min="8479" max="8479" width="6.140625" style="124" customWidth="1"/>
    <col min="8480" max="8480" width="6.7109375" style="124" customWidth="1"/>
    <col min="8481" max="8481" width="8.7109375" style="124" customWidth="1"/>
    <col min="8482" max="8482" width="9" style="124" customWidth="1"/>
    <col min="8483" max="8692" width="11.42578125" style="124"/>
    <col min="8693" max="8693" width="0" style="124" hidden="1" customWidth="1"/>
    <col min="8694" max="8694" width="0.28515625" style="124" customWidth="1"/>
    <col min="8695" max="8695" width="3.7109375" style="124" customWidth="1"/>
    <col min="8696" max="8696" width="8.140625" style="124" customWidth="1"/>
    <col min="8697" max="8697" width="10.140625" style="124" customWidth="1"/>
    <col min="8698" max="8698" width="20" style="124" customWidth="1"/>
    <col min="8699" max="8699" width="8.140625" style="124" customWidth="1"/>
    <col min="8700" max="8700" width="8.42578125" style="124" customWidth="1"/>
    <col min="8701" max="8701" width="12.28515625" style="124" customWidth="1"/>
    <col min="8702" max="8702" width="6.7109375" style="124" customWidth="1"/>
    <col min="8703" max="8703" width="6.28515625" style="124" customWidth="1"/>
    <col min="8704" max="8704" width="8.42578125" style="124" customWidth="1"/>
    <col min="8705" max="8705" width="7.140625" style="124" customWidth="1"/>
    <col min="8706" max="8706" width="3.28515625" style="124" customWidth="1"/>
    <col min="8707" max="8707" width="3.5703125" style="124" customWidth="1"/>
    <col min="8708" max="8708" width="5.140625" style="124" customWidth="1"/>
    <col min="8709" max="8709" width="5.7109375" style="124" customWidth="1"/>
    <col min="8710" max="8710" width="6.140625" style="124" bestFit="1" customWidth="1"/>
    <col min="8711" max="8711" width="6.7109375" style="124" customWidth="1"/>
    <col min="8712" max="8712" width="5.7109375" style="124" bestFit="1" customWidth="1"/>
    <col min="8713" max="8713" width="3.140625" style="124" bestFit="1" customWidth="1"/>
    <col min="8714" max="8714" width="4.140625" style="124" bestFit="1" customWidth="1"/>
    <col min="8715" max="8715" width="6.28515625" style="124" customWidth="1"/>
    <col min="8716" max="8717" width="6.140625" style="124" bestFit="1" customWidth="1"/>
    <col min="8718" max="8718" width="4.5703125" style="124" customWidth="1"/>
    <col min="8719" max="8719" width="5.5703125" style="124" bestFit="1" customWidth="1"/>
    <col min="8720" max="8720" width="4.85546875" style="124" customWidth="1"/>
    <col min="8721" max="8721" width="5.5703125" style="124" customWidth="1"/>
    <col min="8722" max="8722" width="5.85546875" style="124" customWidth="1"/>
    <col min="8723" max="8723" width="5.5703125" style="124" customWidth="1"/>
    <col min="8724" max="8724" width="3.42578125" style="124" customWidth="1"/>
    <col min="8725" max="8725" width="3.28515625" style="124" customWidth="1"/>
    <col min="8726" max="8726" width="4.28515625" style="124" bestFit="1" customWidth="1"/>
    <col min="8727" max="8727" width="5.28515625" style="124" bestFit="1" customWidth="1"/>
    <col min="8728" max="8728" width="6.140625" style="124" bestFit="1" customWidth="1"/>
    <col min="8729" max="8729" width="5.140625" style="124" bestFit="1" customWidth="1"/>
    <col min="8730" max="8730" width="7.5703125" style="124" customWidth="1"/>
    <col min="8731" max="8731" width="6.28515625" style="124" customWidth="1"/>
    <col min="8732" max="8734" width="5.42578125" style="124" customWidth="1"/>
    <col min="8735" max="8735" width="6.140625" style="124" customWidth="1"/>
    <col min="8736" max="8736" width="6.7109375" style="124" customWidth="1"/>
    <col min="8737" max="8737" width="8.7109375" style="124" customWidth="1"/>
    <col min="8738" max="8738" width="9" style="124" customWidth="1"/>
    <col min="8739" max="8948" width="11.42578125" style="124"/>
    <col min="8949" max="8949" width="0" style="124" hidden="1" customWidth="1"/>
    <col min="8950" max="8950" width="0.28515625" style="124" customWidth="1"/>
    <col min="8951" max="8951" width="3.7109375" style="124" customWidth="1"/>
    <col min="8952" max="8952" width="8.140625" style="124" customWidth="1"/>
    <col min="8953" max="8953" width="10.140625" style="124" customWidth="1"/>
    <col min="8954" max="8954" width="20" style="124" customWidth="1"/>
    <col min="8955" max="8955" width="8.140625" style="124" customWidth="1"/>
    <col min="8956" max="8956" width="8.42578125" style="124" customWidth="1"/>
    <col min="8957" max="8957" width="12.28515625" style="124" customWidth="1"/>
    <col min="8958" max="8958" width="6.7109375" style="124" customWidth="1"/>
    <col min="8959" max="8959" width="6.28515625" style="124" customWidth="1"/>
    <col min="8960" max="8960" width="8.42578125" style="124" customWidth="1"/>
    <col min="8961" max="8961" width="7.140625" style="124" customWidth="1"/>
    <col min="8962" max="8962" width="3.28515625" style="124" customWidth="1"/>
    <col min="8963" max="8963" width="3.5703125" style="124" customWidth="1"/>
    <col min="8964" max="8964" width="5.140625" style="124" customWidth="1"/>
    <col min="8965" max="8965" width="5.7109375" style="124" customWidth="1"/>
    <col min="8966" max="8966" width="6.140625" style="124" bestFit="1" customWidth="1"/>
    <col min="8967" max="8967" width="6.7109375" style="124" customWidth="1"/>
    <col min="8968" max="8968" width="5.7109375" style="124" bestFit="1" customWidth="1"/>
    <col min="8969" max="8969" width="3.140625" style="124" bestFit="1" customWidth="1"/>
    <col min="8970" max="8970" width="4.140625" style="124" bestFit="1" customWidth="1"/>
    <col min="8971" max="8971" width="6.28515625" style="124" customWidth="1"/>
    <col min="8972" max="8973" width="6.140625" style="124" bestFit="1" customWidth="1"/>
    <col min="8974" max="8974" width="4.5703125" style="124" customWidth="1"/>
    <col min="8975" max="8975" width="5.5703125" style="124" bestFit="1" customWidth="1"/>
    <col min="8976" max="8976" width="4.85546875" style="124" customWidth="1"/>
    <col min="8977" max="8977" width="5.5703125" style="124" customWidth="1"/>
    <col min="8978" max="8978" width="5.85546875" style="124" customWidth="1"/>
    <col min="8979" max="8979" width="5.5703125" style="124" customWidth="1"/>
    <col min="8980" max="8980" width="3.42578125" style="124" customWidth="1"/>
    <col min="8981" max="8981" width="3.28515625" style="124" customWidth="1"/>
    <col min="8982" max="8982" width="4.28515625" style="124" bestFit="1" customWidth="1"/>
    <col min="8983" max="8983" width="5.28515625" style="124" bestFit="1" customWidth="1"/>
    <col min="8984" max="8984" width="6.140625" style="124" bestFit="1" customWidth="1"/>
    <col min="8985" max="8985" width="5.140625" style="124" bestFit="1" customWidth="1"/>
    <col min="8986" max="8986" width="7.5703125" style="124" customWidth="1"/>
    <col min="8987" max="8987" width="6.28515625" style="124" customWidth="1"/>
    <col min="8988" max="8990" width="5.42578125" style="124" customWidth="1"/>
    <col min="8991" max="8991" width="6.140625" style="124" customWidth="1"/>
    <col min="8992" max="8992" width="6.7109375" style="124" customWidth="1"/>
    <col min="8993" max="8993" width="8.7109375" style="124" customWidth="1"/>
    <col min="8994" max="8994" width="9" style="124" customWidth="1"/>
    <col min="8995" max="9204" width="11.42578125" style="124"/>
    <col min="9205" max="9205" width="0" style="124" hidden="1" customWidth="1"/>
    <col min="9206" max="9206" width="0.28515625" style="124" customWidth="1"/>
    <col min="9207" max="9207" width="3.7109375" style="124" customWidth="1"/>
    <col min="9208" max="9208" width="8.140625" style="124" customWidth="1"/>
    <col min="9209" max="9209" width="10.140625" style="124" customWidth="1"/>
    <col min="9210" max="9210" width="20" style="124" customWidth="1"/>
    <col min="9211" max="9211" width="8.140625" style="124" customWidth="1"/>
    <col min="9212" max="9212" width="8.42578125" style="124" customWidth="1"/>
    <col min="9213" max="9213" width="12.28515625" style="124" customWidth="1"/>
    <col min="9214" max="9214" width="6.7109375" style="124" customWidth="1"/>
    <col min="9215" max="9215" width="6.28515625" style="124" customWidth="1"/>
    <col min="9216" max="9216" width="8.42578125" style="124" customWidth="1"/>
    <col min="9217" max="9217" width="7.140625" style="124" customWidth="1"/>
    <col min="9218" max="9218" width="3.28515625" style="124" customWidth="1"/>
    <col min="9219" max="9219" width="3.5703125" style="124" customWidth="1"/>
    <col min="9220" max="9220" width="5.140625" style="124" customWidth="1"/>
    <col min="9221" max="9221" width="5.7109375" style="124" customWidth="1"/>
    <col min="9222" max="9222" width="6.140625" style="124" bestFit="1" customWidth="1"/>
    <col min="9223" max="9223" width="6.7109375" style="124" customWidth="1"/>
    <col min="9224" max="9224" width="5.7109375" style="124" bestFit="1" customWidth="1"/>
    <col min="9225" max="9225" width="3.140625" style="124" bestFit="1" customWidth="1"/>
    <col min="9226" max="9226" width="4.140625" style="124" bestFit="1" customWidth="1"/>
    <col min="9227" max="9227" width="6.28515625" style="124" customWidth="1"/>
    <col min="9228" max="9229" width="6.140625" style="124" bestFit="1" customWidth="1"/>
    <col min="9230" max="9230" width="4.5703125" style="124" customWidth="1"/>
    <col min="9231" max="9231" width="5.5703125" style="124" bestFit="1" customWidth="1"/>
    <col min="9232" max="9232" width="4.85546875" style="124" customWidth="1"/>
    <col min="9233" max="9233" width="5.5703125" style="124" customWidth="1"/>
    <col min="9234" max="9234" width="5.85546875" style="124" customWidth="1"/>
    <col min="9235" max="9235" width="5.5703125" style="124" customWidth="1"/>
    <col min="9236" max="9236" width="3.42578125" style="124" customWidth="1"/>
    <col min="9237" max="9237" width="3.28515625" style="124" customWidth="1"/>
    <col min="9238" max="9238" width="4.28515625" style="124" bestFit="1" customWidth="1"/>
    <col min="9239" max="9239" width="5.28515625" style="124" bestFit="1" customWidth="1"/>
    <col min="9240" max="9240" width="6.140625" style="124" bestFit="1" customWidth="1"/>
    <col min="9241" max="9241" width="5.140625" style="124" bestFit="1" customWidth="1"/>
    <col min="9242" max="9242" width="7.5703125" style="124" customWidth="1"/>
    <col min="9243" max="9243" width="6.28515625" style="124" customWidth="1"/>
    <col min="9244" max="9246" width="5.42578125" style="124" customWidth="1"/>
    <col min="9247" max="9247" width="6.140625" style="124" customWidth="1"/>
    <col min="9248" max="9248" width="6.7109375" style="124" customWidth="1"/>
    <col min="9249" max="9249" width="8.7109375" style="124" customWidth="1"/>
    <col min="9250" max="9250" width="9" style="124" customWidth="1"/>
    <col min="9251" max="9460" width="11.42578125" style="124"/>
    <col min="9461" max="9461" width="0" style="124" hidden="1" customWidth="1"/>
    <col min="9462" max="9462" width="0.28515625" style="124" customWidth="1"/>
    <col min="9463" max="9463" width="3.7109375" style="124" customWidth="1"/>
    <col min="9464" max="9464" width="8.140625" style="124" customWidth="1"/>
    <col min="9465" max="9465" width="10.140625" style="124" customWidth="1"/>
    <col min="9466" max="9466" width="20" style="124" customWidth="1"/>
    <col min="9467" max="9467" width="8.140625" style="124" customWidth="1"/>
    <col min="9468" max="9468" width="8.42578125" style="124" customWidth="1"/>
    <col min="9469" max="9469" width="12.28515625" style="124" customWidth="1"/>
    <col min="9470" max="9470" width="6.7109375" style="124" customWidth="1"/>
    <col min="9471" max="9471" width="6.28515625" style="124" customWidth="1"/>
    <col min="9472" max="9472" width="8.42578125" style="124" customWidth="1"/>
    <col min="9473" max="9473" width="7.140625" style="124" customWidth="1"/>
    <col min="9474" max="9474" width="3.28515625" style="124" customWidth="1"/>
    <col min="9475" max="9475" width="3.5703125" style="124" customWidth="1"/>
    <col min="9476" max="9476" width="5.140625" style="124" customWidth="1"/>
    <col min="9477" max="9477" width="5.7109375" style="124" customWidth="1"/>
    <col min="9478" max="9478" width="6.140625" style="124" bestFit="1" customWidth="1"/>
    <col min="9479" max="9479" width="6.7109375" style="124" customWidth="1"/>
    <col min="9480" max="9480" width="5.7109375" style="124" bestFit="1" customWidth="1"/>
    <col min="9481" max="9481" width="3.140625" style="124" bestFit="1" customWidth="1"/>
    <col min="9482" max="9482" width="4.140625" style="124" bestFit="1" customWidth="1"/>
    <col min="9483" max="9483" width="6.28515625" style="124" customWidth="1"/>
    <col min="9484" max="9485" width="6.140625" style="124" bestFit="1" customWidth="1"/>
    <col min="9486" max="9486" width="4.5703125" style="124" customWidth="1"/>
    <col min="9487" max="9487" width="5.5703125" style="124" bestFit="1" customWidth="1"/>
    <col min="9488" max="9488" width="4.85546875" style="124" customWidth="1"/>
    <col min="9489" max="9489" width="5.5703125" style="124" customWidth="1"/>
    <col min="9490" max="9490" width="5.85546875" style="124" customWidth="1"/>
    <col min="9491" max="9491" width="5.5703125" style="124" customWidth="1"/>
    <col min="9492" max="9492" width="3.42578125" style="124" customWidth="1"/>
    <col min="9493" max="9493" width="3.28515625" style="124" customWidth="1"/>
    <col min="9494" max="9494" width="4.28515625" style="124" bestFit="1" customWidth="1"/>
    <col min="9495" max="9495" width="5.28515625" style="124" bestFit="1" customWidth="1"/>
    <col min="9496" max="9496" width="6.140625" style="124" bestFit="1" customWidth="1"/>
    <col min="9497" max="9497" width="5.140625" style="124" bestFit="1" customWidth="1"/>
    <col min="9498" max="9498" width="7.5703125" style="124" customWidth="1"/>
    <col min="9499" max="9499" width="6.28515625" style="124" customWidth="1"/>
    <col min="9500" max="9502" width="5.42578125" style="124" customWidth="1"/>
    <col min="9503" max="9503" width="6.140625" style="124" customWidth="1"/>
    <col min="9504" max="9504" width="6.7109375" style="124" customWidth="1"/>
    <col min="9505" max="9505" width="8.7109375" style="124" customWidth="1"/>
    <col min="9506" max="9506" width="9" style="124" customWidth="1"/>
    <col min="9507" max="9716" width="11.42578125" style="124"/>
    <col min="9717" max="9717" width="0" style="124" hidden="1" customWidth="1"/>
    <col min="9718" max="9718" width="0.28515625" style="124" customWidth="1"/>
    <col min="9719" max="9719" width="3.7109375" style="124" customWidth="1"/>
    <col min="9720" max="9720" width="8.140625" style="124" customWidth="1"/>
    <col min="9721" max="9721" width="10.140625" style="124" customWidth="1"/>
    <col min="9722" max="9722" width="20" style="124" customWidth="1"/>
    <col min="9723" max="9723" width="8.140625" style="124" customWidth="1"/>
    <col min="9724" max="9724" width="8.42578125" style="124" customWidth="1"/>
    <col min="9725" max="9725" width="12.28515625" style="124" customWidth="1"/>
    <col min="9726" max="9726" width="6.7109375" style="124" customWidth="1"/>
    <col min="9727" max="9727" width="6.28515625" style="124" customWidth="1"/>
    <col min="9728" max="9728" width="8.42578125" style="124" customWidth="1"/>
    <col min="9729" max="9729" width="7.140625" style="124" customWidth="1"/>
    <col min="9730" max="9730" width="3.28515625" style="124" customWidth="1"/>
    <col min="9731" max="9731" width="3.5703125" style="124" customWidth="1"/>
    <col min="9732" max="9732" width="5.140625" style="124" customWidth="1"/>
    <col min="9733" max="9733" width="5.7109375" style="124" customWidth="1"/>
    <col min="9734" max="9734" width="6.140625" style="124" bestFit="1" customWidth="1"/>
    <col min="9735" max="9735" width="6.7109375" style="124" customWidth="1"/>
    <col min="9736" max="9736" width="5.7109375" style="124" bestFit="1" customWidth="1"/>
    <col min="9737" max="9737" width="3.140625" style="124" bestFit="1" customWidth="1"/>
    <col min="9738" max="9738" width="4.140625" style="124" bestFit="1" customWidth="1"/>
    <col min="9739" max="9739" width="6.28515625" style="124" customWidth="1"/>
    <col min="9740" max="9741" width="6.140625" style="124" bestFit="1" customWidth="1"/>
    <col min="9742" max="9742" width="4.5703125" style="124" customWidth="1"/>
    <col min="9743" max="9743" width="5.5703125" style="124" bestFit="1" customWidth="1"/>
    <col min="9744" max="9744" width="4.85546875" style="124" customWidth="1"/>
    <col min="9745" max="9745" width="5.5703125" style="124" customWidth="1"/>
    <col min="9746" max="9746" width="5.85546875" style="124" customWidth="1"/>
    <col min="9747" max="9747" width="5.5703125" style="124" customWidth="1"/>
    <col min="9748" max="9748" width="3.42578125" style="124" customWidth="1"/>
    <col min="9749" max="9749" width="3.28515625" style="124" customWidth="1"/>
    <col min="9750" max="9750" width="4.28515625" style="124" bestFit="1" customWidth="1"/>
    <col min="9751" max="9751" width="5.28515625" style="124" bestFit="1" customWidth="1"/>
    <col min="9752" max="9752" width="6.140625" style="124" bestFit="1" customWidth="1"/>
    <col min="9753" max="9753" width="5.140625" style="124" bestFit="1" customWidth="1"/>
    <col min="9754" max="9754" width="7.5703125" style="124" customWidth="1"/>
    <col min="9755" max="9755" width="6.28515625" style="124" customWidth="1"/>
    <col min="9756" max="9758" width="5.42578125" style="124" customWidth="1"/>
    <col min="9759" max="9759" width="6.140625" style="124" customWidth="1"/>
    <col min="9760" max="9760" width="6.7109375" style="124" customWidth="1"/>
    <col min="9761" max="9761" width="8.7109375" style="124" customWidth="1"/>
    <col min="9762" max="9762" width="9" style="124" customWidth="1"/>
    <col min="9763" max="9972" width="11.42578125" style="124"/>
    <col min="9973" max="9973" width="0" style="124" hidden="1" customWidth="1"/>
    <col min="9974" max="9974" width="0.28515625" style="124" customWidth="1"/>
    <col min="9975" max="9975" width="3.7109375" style="124" customWidth="1"/>
    <col min="9976" max="9976" width="8.140625" style="124" customWidth="1"/>
    <col min="9977" max="9977" width="10.140625" style="124" customWidth="1"/>
    <col min="9978" max="9978" width="20" style="124" customWidth="1"/>
    <col min="9979" max="9979" width="8.140625" style="124" customWidth="1"/>
    <col min="9980" max="9980" width="8.42578125" style="124" customWidth="1"/>
    <col min="9981" max="9981" width="12.28515625" style="124" customWidth="1"/>
    <col min="9982" max="9982" width="6.7109375" style="124" customWidth="1"/>
    <col min="9983" max="9983" width="6.28515625" style="124" customWidth="1"/>
    <col min="9984" max="9984" width="8.42578125" style="124" customWidth="1"/>
    <col min="9985" max="9985" width="7.140625" style="124" customWidth="1"/>
    <col min="9986" max="9986" width="3.28515625" style="124" customWidth="1"/>
    <col min="9987" max="9987" width="3.5703125" style="124" customWidth="1"/>
    <col min="9988" max="9988" width="5.140625" style="124" customWidth="1"/>
    <col min="9989" max="9989" width="5.7109375" style="124" customWidth="1"/>
    <col min="9990" max="9990" width="6.140625" style="124" bestFit="1" customWidth="1"/>
    <col min="9991" max="9991" width="6.7109375" style="124" customWidth="1"/>
    <col min="9992" max="9992" width="5.7109375" style="124" bestFit="1" customWidth="1"/>
    <col min="9993" max="9993" width="3.140625" style="124" bestFit="1" customWidth="1"/>
    <col min="9994" max="9994" width="4.140625" style="124" bestFit="1" customWidth="1"/>
    <col min="9995" max="9995" width="6.28515625" style="124" customWidth="1"/>
    <col min="9996" max="9997" width="6.140625" style="124" bestFit="1" customWidth="1"/>
    <col min="9998" max="9998" width="4.5703125" style="124" customWidth="1"/>
    <col min="9999" max="9999" width="5.5703125" style="124" bestFit="1" customWidth="1"/>
    <col min="10000" max="10000" width="4.85546875" style="124" customWidth="1"/>
    <col min="10001" max="10001" width="5.5703125" style="124" customWidth="1"/>
    <col min="10002" max="10002" width="5.85546875" style="124" customWidth="1"/>
    <col min="10003" max="10003" width="5.5703125" style="124" customWidth="1"/>
    <col min="10004" max="10004" width="3.42578125" style="124" customWidth="1"/>
    <col min="10005" max="10005" width="3.28515625" style="124" customWidth="1"/>
    <col min="10006" max="10006" width="4.28515625" style="124" bestFit="1" customWidth="1"/>
    <col min="10007" max="10007" width="5.28515625" style="124" bestFit="1" customWidth="1"/>
    <col min="10008" max="10008" width="6.140625" style="124" bestFit="1" customWidth="1"/>
    <col min="10009" max="10009" width="5.140625" style="124" bestFit="1" customWidth="1"/>
    <col min="10010" max="10010" width="7.5703125" style="124" customWidth="1"/>
    <col min="10011" max="10011" width="6.28515625" style="124" customWidth="1"/>
    <col min="10012" max="10014" width="5.42578125" style="124" customWidth="1"/>
    <col min="10015" max="10015" width="6.140625" style="124" customWidth="1"/>
    <col min="10016" max="10016" width="6.7109375" style="124" customWidth="1"/>
    <col min="10017" max="10017" width="8.7109375" style="124" customWidth="1"/>
    <col min="10018" max="10018" width="9" style="124" customWidth="1"/>
    <col min="10019" max="10228" width="11.42578125" style="124"/>
    <col min="10229" max="10229" width="0" style="124" hidden="1" customWidth="1"/>
    <col min="10230" max="10230" width="0.28515625" style="124" customWidth="1"/>
    <col min="10231" max="10231" width="3.7109375" style="124" customWidth="1"/>
    <col min="10232" max="10232" width="8.140625" style="124" customWidth="1"/>
    <col min="10233" max="10233" width="10.140625" style="124" customWidth="1"/>
    <col min="10234" max="10234" width="20" style="124" customWidth="1"/>
    <col min="10235" max="10235" width="8.140625" style="124" customWidth="1"/>
    <col min="10236" max="10236" width="8.42578125" style="124" customWidth="1"/>
    <col min="10237" max="10237" width="12.28515625" style="124" customWidth="1"/>
    <col min="10238" max="10238" width="6.7109375" style="124" customWidth="1"/>
    <col min="10239" max="10239" width="6.28515625" style="124" customWidth="1"/>
    <col min="10240" max="10240" width="8.42578125" style="124" customWidth="1"/>
    <col min="10241" max="10241" width="7.140625" style="124" customWidth="1"/>
    <col min="10242" max="10242" width="3.28515625" style="124" customWidth="1"/>
    <col min="10243" max="10243" width="3.5703125" style="124" customWidth="1"/>
    <col min="10244" max="10244" width="5.140625" style="124" customWidth="1"/>
    <col min="10245" max="10245" width="5.7109375" style="124" customWidth="1"/>
    <col min="10246" max="10246" width="6.140625" style="124" bestFit="1" customWidth="1"/>
    <col min="10247" max="10247" width="6.7109375" style="124" customWidth="1"/>
    <col min="10248" max="10248" width="5.7109375" style="124" bestFit="1" customWidth="1"/>
    <col min="10249" max="10249" width="3.140625" style="124" bestFit="1" customWidth="1"/>
    <col min="10250" max="10250" width="4.140625" style="124" bestFit="1" customWidth="1"/>
    <col min="10251" max="10251" width="6.28515625" style="124" customWidth="1"/>
    <col min="10252" max="10253" width="6.140625" style="124" bestFit="1" customWidth="1"/>
    <col min="10254" max="10254" width="4.5703125" style="124" customWidth="1"/>
    <col min="10255" max="10255" width="5.5703125" style="124" bestFit="1" customWidth="1"/>
    <col min="10256" max="10256" width="4.85546875" style="124" customWidth="1"/>
    <col min="10257" max="10257" width="5.5703125" style="124" customWidth="1"/>
    <col min="10258" max="10258" width="5.85546875" style="124" customWidth="1"/>
    <col min="10259" max="10259" width="5.5703125" style="124" customWidth="1"/>
    <col min="10260" max="10260" width="3.42578125" style="124" customWidth="1"/>
    <col min="10261" max="10261" width="3.28515625" style="124" customWidth="1"/>
    <col min="10262" max="10262" width="4.28515625" style="124" bestFit="1" customWidth="1"/>
    <col min="10263" max="10263" width="5.28515625" style="124" bestFit="1" customWidth="1"/>
    <col min="10264" max="10264" width="6.140625" style="124" bestFit="1" customWidth="1"/>
    <col min="10265" max="10265" width="5.140625" style="124" bestFit="1" customWidth="1"/>
    <col min="10266" max="10266" width="7.5703125" style="124" customWidth="1"/>
    <col min="10267" max="10267" width="6.28515625" style="124" customWidth="1"/>
    <col min="10268" max="10270" width="5.42578125" style="124" customWidth="1"/>
    <col min="10271" max="10271" width="6.140625" style="124" customWidth="1"/>
    <col min="10272" max="10272" width="6.7109375" style="124" customWidth="1"/>
    <col min="10273" max="10273" width="8.7109375" style="124" customWidth="1"/>
    <col min="10274" max="10274" width="9" style="124" customWidth="1"/>
    <col min="10275" max="10484" width="11.42578125" style="124"/>
    <col min="10485" max="10485" width="0" style="124" hidden="1" customWidth="1"/>
    <col min="10486" max="10486" width="0.28515625" style="124" customWidth="1"/>
    <col min="10487" max="10487" width="3.7109375" style="124" customWidth="1"/>
    <col min="10488" max="10488" width="8.140625" style="124" customWidth="1"/>
    <col min="10489" max="10489" width="10.140625" style="124" customWidth="1"/>
    <col min="10490" max="10490" width="20" style="124" customWidth="1"/>
    <col min="10491" max="10491" width="8.140625" style="124" customWidth="1"/>
    <col min="10492" max="10492" width="8.42578125" style="124" customWidth="1"/>
    <col min="10493" max="10493" width="12.28515625" style="124" customWidth="1"/>
    <col min="10494" max="10494" width="6.7109375" style="124" customWidth="1"/>
    <col min="10495" max="10495" width="6.28515625" style="124" customWidth="1"/>
    <col min="10496" max="10496" width="8.42578125" style="124" customWidth="1"/>
    <col min="10497" max="10497" width="7.140625" style="124" customWidth="1"/>
    <col min="10498" max="10498" width="3.28515625" style="124" customWidth="1"/>
    <col min="10499" max="10499" width="3.5703125" style="124" customWidth="1"/>
    <col min="10500" max="10500" width="5.140625" style="124" customWidth="1"/>
    <col min="10501" max="10501" width="5.7109375" style="124" customWidth="1"/>
    <col min="10502" max="10502" width="6.140625" style="124" bestFit="1" customWidth="1"/>
    <col min="10503" max="10503" width="6.7109375" style="124" customWidth="1"/>
    <col min="10504" max="10504" width="5.7109375" style="124" bestFit="1" customWidth="1"/>
    <col min="10505" max="10505" width="3.140625" style="124" bestFit="1" customWidth="1"/>
    <col min="10506" max="10506" width="4.140625" style="124" bestFit="1" customWidth="1"/>
    <col min="10507" max="10507" width="6.28515625" style="124" customWidth="1"/>
    <col min="10508" max="10509" width="6.140625" style="124" bestFit="1" customWidth="1"/>
    <col min="10510" max="10510" width="4.5703125" style="124" customWidth="1"/>
    <col min="10511" max="10511" width="5.5703125" style="124" bestFit="1" customWidth="1"/>
    <col min="10512" max="10512" width="4.85546875" style="124" customWidth="1"/>
    <col min="10513" max="10513" width="5.5703125" style="124" customWidth="1"/>
    <col min="10514" max="10514" width="5.85546875" style="124" customWidth="1"/>
    <col min="10515" max="10515" width="5.5703125" style="124" customWidth="1"/>
    <col min="10516" max="10516" width="3.42578125" style="124" customWidth="1"/>
    <col min="10517" max="10517" width="3.28515625" style="124" customWidth="1"/>
    <col min="10518" max="10518" width="4.28515625" style="124" bestFit="1" customWidth="1"/>
    <col min="10519" max="10519" width="5.28515625" style="124" bestFit="1" customWidth="1"/>
    <col min="10520" max="10520" width="6.140625" style="124" bestFit="1" customWidth="1"/>
    <col min="10521" max="10521" width="5.140625" style="124" bestFit="1" customWidth="1"/>
    <col min="10522" max="10522" width="7.5703125" style="124" customWidth="1"/>
    <col min="10523" max="10523" width="6.28515625" style="124" customWidth="1"/>
    <col min="10524" max="10526" width="5.42578125" style="124" customWidth="1"/>
    <col min="10527" max="10527" width="6.140625" style="124" customWidth="1"/>
    <col min="10528" max="10528" width="6.7109375" style="124" customWidth="1"/>
    <col min="10529" max="10529" width="8.7109375" style="124" customWidth="1"/>
    <col min="10530" max="10530" width="9" style="124" customWidth="1"/>
    <col min="10531" max="10740" width="11.42578125" style="124"/>
    <col min="10741" max="10741" width="0" style="124" hidden="1" customWidth="1"/>
    <col min="10742" max="10742" width="0.28515625" style="124" customWidth="1"/>
    <col min="10743" max="10743" width="3.7109375" style="124" customWidth="1"/>
    <col min="10744" max="10744" width="8.140625" style="124" customWidth="1"/>
    <col min="10745" max="10745" width="10.140625" style="124" customWidth="1"/>
    <col min="10746" max="10746" width="20" style="124" customWidth="1"/>
    <col min="10747" max="10747" width="8.140625" style="124" customWidth="1"/>
    <col min="10748" max="10748" width="8.42578125" style="124" customWidth="1"/>
    <col min="10749" max="10749" width="12.28515625" style="124" customWidth="1"/>
    <col min="10750" max="10750" width="6.7109375" style="124" customWidth="1"/>
    <col min="10751" max="10751" width="6.28515625" style="124" customWidth="1"/>
    <col min="10752" max="10752" width="8.42578125" style="124" customWidth="1"/>
    <col min="10753" max="10753" width="7.140625" style="124" customWidth="1"/>
    <col min="10754" max="10754" width="3.28515625" style="124" customWidth="1"/>
    <col min="10755" max="10755" width="3.5703125" style="124" customWidth="1"/>
    <col min="10756" max="10756" width="5.140625" style="124" customWidth="1"/>
    <col min="10757" max="10757" width="5.7109375" style="124" customWidth="1"/>
    <col min="10758" max="10758" width="6.140625" style="124" bestFit="1" customWidth="1"/>
    <col min="10759" max="10759" width="6.7109375" style="124" customWidth="1"/>
    <col min="10760" max="10760" width="5.7109375" style="124" bestFit="1" customWidth="1"/>
    <col min="10761" max="10761" width="3.140625" style="124" bestFit="1" customWidth="1"/>
    <col min="10762" max="10762" width="4.140625" style="124" bestFit="1" customWidth="1"/>
    <col min="10763" max="10763" width="6.28515625" style="124" customWidth="1"/>
    <col min="10764" max="10765" width="6.140625" style="124" bestFit="1" customWidth="1"/>
    <col min="10766" max="10766" width="4.5703125" style="124" customWidth="1"/>
    <col min="10767" max="10767" width="5.5703125" style="124" bestFit="1" customWidth="1"/>
    <col min="10768" max="10768" width="4.85546875" style="124" customWidth="1"/>
    <col min="10769" max="10769" width="5.5703125" style="124" customWidth="1"/>
    <col min="10770" max="10770" width="5.85546875" style="124" customWidth="1"/>
    <col min="10771" max="10771" width="5.5703125" style="124" customWidth="1"/>
    <col min="10772" max="10772" width="3.42578125" style="124" customWidth="1"/>
    <col min="10773" max="10773" width="3.28515625" style="124" customWidth="1"/>
    <col min="10774" max="10774" width="4.28515625" style="124" bestFit="1" customWidth="1"/>
    <col min="10775" max="10775" width="5.28515625" style="124" bestFit="1" customWidth="1"/>
    <col min="10776" max="10776" width="6.140625" style="124" bestFit="1" customWidth="1"/>
    <col min="10777" max="10777" width="5.140625" style="124" bestFit="1" customWidth="1"/>
    <col min="10778" max="10778" width="7.5703125" style="124" customWidth="1"/>
    <col min="10779" max="10779" width="6.28515625" style="124" customWidth="1"/>
    <col min="10780" max="10782" width="5.42578125" style="124" customWidth="1"/>
    <col min="10783" max="10783" width="6.140625" style="124" customWidth="1"/>
    <col min="10784" max="10784" width="6.7109375" style="124" customWidth="1"/>
    <col min="10785" max="10785" width="8.7109375" style="124" customWidth="1"/>
    <col min="10786" max="10786" width="9" style="124" customWidth="1"/>
    <col min="10787" max="10996" width="11.42578125" style="124"/>
    <col min="10997" max="10997" width="0" style="124" hidden="1" customWidth="1"/>
    <col min="10998" max="10998" width="0.28515625" style="124" customWidth="1"/>
    <col min="10999" max="10999" width="3.7109375" style="124" customWidth="1"/>
    <col min="11000" max="11000" width="8.140625" style="124" customWidth="1"/>
    <col min="11001" max="11001" width="10.140625" style="124" customWidth="1"/>
    <col min="11002" max="11002" width="20" style="124" customWidth="1"/>
    <col min="11003" max="11003" width="8.140625" style="124" customWidth="1"/>
    <col min="11004" max="11004" width="8.42578125" style="124" customWidth="1"/>
    <col min="11005" max="11005" width="12.28515625" style="124" customWidth="1"/>
    <col min="11006" max="11006" width="6.7109375" style="124" customWidth="1"/>
    <col min="11007" max="11007" width="6.28515625" style="124" customWidth="1"/>
    <col min="11008" max="11008" width="8.42578125" style="124" customWidth="1"/>
    <col min="11009" max="11009" width="7.140625" style="124" customWidth="1"/>
    <col min="11010" max="11010" width="3.28515625" style="124" customWidth="1"/>
    <col min="11011" max="11011" width="3.5703125" style="124" customWidth="1"/>
    <col min="11012" max="11012" width="5.140625" style="124" customWidth="1"/>
    <col min="11013" max="11013" width="5.7109375" style="124" customWidth="1"/>
    <col min="11014" max="11014" width="6.140625" style="124" bestFit="1" customWidth="1"/>
    <col min="11015" max="11015" width="6.7109375" style="124" customWidth="1"/>
    <col min="11016" max="11016" width="5.7109375" style="124" bestFit="1" customWidth="1"/>
    <col min="11017" max="11017" width="3.140625" style="124" bestFit="1" customWidth="1"/>
    <col min="11018" max="11018" width="4.140625" style="124" bestFit="1" customWidth="1"/>
    <col min="11019" max="11019" width="6.28515625" style="124" customWidth="1"/>
    <col min="11020" max="11021" width="6.140625" style="124" bestFit="1" customWidth="1"/>
    <col min="11022" max="11022" width="4.5703125" style="124" customWidth="1"/>
    <col min="11023" max="11023" width="5.5703125" style="124" bestFit="1" customWidth="1"/>
    <col min="11024" max="11024" width="4.85546875" style="124" customWidth="1"/>
    <col min="11025" max="11025" width="5.5703125" style="124" customWidth="1"/>
    <col min="11026" max="11026" width="5.85546875" style="124" customWidth="1"/>
    <col min="11027" max="11027" width="5.5703125" style="124" customWidth="1"/>
    <col min="11028" max="11028" width="3.42578125" style="124" customWidth="1"/>
    <col min="11029" max="11029" width="3.28515625" style="124" customWidth="1"/>
    <col min="11030" max="11030" width="4.28515625" style="124" bestFit="1" customWidth="1"/>
    <col min="11031" max="11031" width="5.28515625" style="124" bestFit="1" customWidth="1"/>
    <col min="11032" max="11032" width="6.140625" style="124" bestFit="1" customWidth="1"/>
    <col min="11033" max="11033" width="5.140625" style="124" bestFit="1" customWidth="1"/>
    <col min="11034" max="11034" width="7.5703125" style="124" customWidth="1"/>
    <col min="11035" max="11035" width="6.28515625" style="124" customWidth="1"/>
    <col min="11036" max="11038" width="5.42578125" style="124" customWidth="1"/>
    <col min="11039" max="11039" width="6.140625" style="124" customWidth="1"/>
    <col min="11040" max="11040" width="6.7109375" style="124" customWidth="1"/>
    <col min="11041" max="11041" width="8.7109375" style="124" customWidth="1"/>
    <col min="11042" max="11042" width="9" style="124" customWidth="1"/>
    <col min="11043" max="11252" width="11.42578125" style="124"/>
    <col min="11253" max="11253" width="0" style="124" hidden="1" customWidth="1"/>
    <col min="11254" max="11254" width="0.28515625" style="124" customWidth="1"/>
    <col min="11255" max="11255" width="3.7109375" style="124" customWidth="1"/>
    <col min="11256" max="11256" width="8.140625" style="124" customWidth="1"/>
    <col min="11257" max="11257" width="10.140625" style="124" customWidth="1"/>
    <col min="11258" max="11258" width="20" style="124" customWidth="1"/>
    <col min="11259" max="11259" width="8.140625" style="124" customWidth="1"/>
    <col min="11260" max="11260" width="8.42578125" style="124" customWidth="1"/>
    <col min="11261" max="11261" width="12.28515625" style="124" customWidth="1"/>
    <col min="11262" max="11262" width="6.7109375" style="124" customWidth="1"/>
    <col min="11263" max="11263" width="6.28515625" style="124" customWidth="1"/>
    <col min="11264" max="11264" width="8.42578125" style="124" customWidth="1"/>
    <col min="11265" max="11265" width="7.140625" style="124" customWidth="1"/>
    <col min="11266" max="11266" width="3.28515625" style="124" customWidth="1"/>
    <col min="11267" max="11267" width="3.5703125" style="124" customWidth="1"/>
    <col min="11268" max="11268" width="5.140625" style="124" customWidth="1"/>
    <col min="11269" max="11269" width="5.7109375" style="124" customWidth="1"/>
    <col min="11270" max="11270" width="6.140625" style="124" bestFit="1" customWidth="1"/>
    <col min="11271" max="11271" width="6.7109375" style="124" customWidth="1"/>
    <col min="11272" max="11272" width="5.7109375" style="124" bestFit="1" customWidth="1"/>
    <col min="11273" max="11273" width="3.140625" style="124" bestFit="1" customWidth="1"/>
    <col min="11274" max="11274" width="4.140625" style="124" bestFit="1" customWidth="1"/>
    <col min="11275" max="11275" width="6.28515625" style="124" customWidth="1"/>
    <col min="11276" max="11277" width="6.140625" style="124" bestFit="1" customWidth="1"/>
    <col min="11278" max="11278" width="4.5703125" style="124" customWidth="1"/>
    <col min="11279" max="11279" width="5.5703125" style="124" bestFit="1" customWidth="1"/>
    <col min="11280" max="11280" width="4.85546875" style="124" customWidth="1"/>
    <col min="11281" max="11281" width="5.5703125" style="124" customWidth="1"/>
    <col min="11282" max="11282" width="5.85546875" style="124" customWidth="1"/>
    <col min="11283" max="11283" width="5.5703125" style="124" customWidth="1"/>
    <col min="11284" max="11284" width="3.42578125" style="124" customWidth="1"/>
    <col min="11285" max="11285" width="3.28515625" style="124" customWidth="1"/>
    <col min="11286" max="11286" width="4.28515625" style="124" bestFit="1" customWidth="1"/>
    <col min="11287" max="11287" width="5.28515625" style="124" bestFit="1" customWidth="1"/>
    <col min="11288" max="11288" width="6.140625" style="124" bestFit="1" customWidth="1"/>
    <col min="11289" max="11289" width="5.140625" style="124" bestFit="1" customWidth="1"/>
    <col min="11290" max="11290" width="7.5703125" style="124" customWidth="1"/>
    <col min="11291" max="11291" width="6.28515625" style="124" customWidth="1"/>
    <col min="11292" max="11294" width="5.42578125" style="124" customWidth="1"/>
    <col min="11295" max="11295" width="6.140625" style="124" customWidth="1"/>
    <col min="11296" max="11296" width="6.7109375" style="124" customWidth="1"/>
    <col min="11297" max="11297" width="8.7109375" style="124" customWidth="1"/>
    <col min="11298" max="11298" width="9" style="124" customWidth="1"/>
    <col min="11299" max="11508" width="11.42578125" style="124"/>
    <col min="11509" max="11509" width="0" style="124" hidden="1" customWidth="1"/>
    <col min="11510" max="11510" width="0.28515625" style="124" customWidth="1"/>
    <col min="11511" max="11511" width="3.7109375" style="124" customWidth="1"/>
    <col min="11512" max="11512" width="8.140625" style="124" customWidth="1"/>
    <col min="11513" max="11513" width="10.140625" style="124" customWidth="1"/>
    <col min="11514" max="11514" width="20" style="124" customWidth="1"/>
    <col min="11515" max="11515" width="8.140625" style="124" customWidth="1"/>
    <col min="11516" max="11516" width="8.42578125" style="124" customWidth="1"/>
    <col min="11517" max="11517" width="12.28515625" style="124" customWidth="1"/>
    <col min="11518" max="11518" width="6.7109375" style="124" customWidth="1"/>
    <col min="11519" max="11519" width="6.28515625" style="124" customWidth="1"/>
    <col min="11520" max="11520" width="8.42578125" style="124" customWidth="1"/>
    <col min="11521" max="11521" width="7.140625" style="124" customWidth="1"/>
    <col min="11522" max="11522" width="3.28515625" style="124" customWidth="1"/>
    <col min="11523" max="11523" width="3.5703125" style="124" customWidth="1"/>
    <col min="11524" max="11524" width="5.140625" style="124" customWidth="1"/>
    <col min="11525" max="11525" width="5.7109375" style="124" customWidth="1"/>
    <col min="11526" max="11526" width="6.140625" style="124" bestFit="1" customWidth="1"/>
    <col min="11527" max="11527" width="6.7109375" style="124" customWidth="1"/>
    <col min="11528" max="11528" width="5.7109375" style="124" bestFit="1" customWidth="1"/>
    <col min="11529" max="11529" width="3.140625" style="124" bestFit="1" customWidth="1"/>
    <col min="11530" max="11530" width="4.140625" style="124" bestFit="1" customWidth="1"/>
    <col min="11531" max="11531" width="6.28515625" style="124" customWidth="1"/>
    <col min="11532" max="11533" width="6.140625" style="124" bestFit="1" customWidth="1"/>
    <col min="11534" max="11534" width="4.5703125" style="124" customWidth="1"/>
    <col min="11535" max="11535" width="5.5703125" style="124" bestFit="1" customWidth="1"/>
    <col min="11536" max="11536" width="4.85546875" style="124" customWidth="1"/>
    <col min="11537" max="11537" width="5.5703125" style="124" customWidth="1"/>
    <col min="11538" max="11538" width="5.85546875" style="124" customWidth="1"/>
    <col min="11539" max="11539" width="5.5703125" style="124" customWidth="1"/>
    <col min="11540" max="11540" width="3.42578125" style="124" customWidth="1"/>
    <col min="11541" max="11541" width="3.28515625" style="124" customWidth="1"/>
    <col min="11542" max="11542" width="4.28515625" style="124" bestFit="1" customWidth="1"/>
    <col min="11543" max="11543" width="5.28515625" style="124" bestFit="1" customWidth="1"/>
    <col min="11544" max="11544" width="6.140625" style="124" bestFit="1" customWidth="1"/>
    <col min="11545" max="11545" width="5.140625" style="124" bestFit="1" customWidth="1"/>
    <col min="11546" max="11546" width="7.5703125" style="124" customWidth="1"/>
    <col min="11547" max="11547" width="6.28515625" style="124" customWidth="1"/>
    <col min="11548" max="11550" width="5.42578125" style="124" customWidth="1"/>
    <col min="11551" max="11551" width="6.140625" style="124" customWidth="1"/>
    <col min="11552" max="11552" width="6.7109375" style="124" customWidth="1"/>
    <col min="11553" max="11553" width="8.7109375" style="124" customWidth="1"/>
    <col min="11554" max="11554" width="9" style="124" customWidth="1"/>
    <col min="11555" max="11764" width="11.42578125" style="124"/>
    <col min="11765" max="11765" width="0" style="124" hidden="1" customWidth="1"/>
    <col min="11766" max="11766" width="0.28515625" style="124" customWidth="1"/>
    <col min="11767" max="11767" width="3.7109375" style="124" customWidth="1"/>
    <col min="11768" max="11768" width="8.140625" style="124" customWidth="1"/>
    <col min="11769" max="11769" width="10.140625" style="124" customWidth="1"/>
    <col min="11770" max="11770" width="20" style="124" customWidth="1"/>
    <col min="11771" max="11771" width="8.140625" style="124" customWidth="1"/>
    <col min="11772" max="11772" width="8.42578125" style="124" customWidth="1"/>
    <col min="11773" max="11773" width="12.28515625" style="124" customWidth="1"/>
    <col min="11774" max="11774" width="6.7109375" style="124" customWidth="1"/>
    <col min="11775" max="11775" width="6.28515625" style="124" customWidth="1"/>
    <col min="11776" max="11776" width="8.42578125" style="124" customWidth="1"/>
    <col min="11777" max="11777" width="7.140625" style="124" customWidth="1"/>
    <col min="11778" max="11778" width="3.28515625" style="124" customWidth="1"/>
    <col min="11779" max="11779" width="3.5703125" style="124" customWidth="1"/>
    <col min="11780" max="11780" width="5.140625" style="124" customWidth="1"/>
    <col min="11781" max="11781" width="5.7109375" style="124" customWidth="1"/>
    <col min="11782" max="11782" width="6.140625" style="124" bestFit="1" customWidth="1"/>
    <col min="11783" max="11783" width="6.7109375" style="124" customWidth="1"/>
    <col min="11784" max="11784" width="5.7109375" style="124" bestFit="1" customWidth="1"/>
    <col min="11785" max="11785" width="3.140625" style="124" bestFit="1" customWidth="1"/>
    <col min="11786" max="11786" width="4.140625" style="124" bestFit="1" customWidth="1"/>
    <col min="11787" max="11787" width="6.28515625" style="124" customWidth="1"/>
    <col min="11788" max="11789" width="6.140625" style="124" bestFit="1" customWidth="1"/>
    <col min="11790" max="11790" width="4.5703125" style="124" customWidth="1"/>
    <col min="11791" max="11791" width="5.5703125" style="124" bestFit="1" customWidth="1"/>
    <col min="11792" max="11792" width="4.85546875" style="124" customWidth="1"/>
    <col min="11793" max="11793" width="5.5703125" style="124" customWidth="1"/>
    <col min="11794" max="11794" width="5.85546875" style="124" customWidth="1"/>
    <col min="11795" max="11795" width="5.5703125" style="124" customWidth="1"/>
    <col min="11796" max="11796" width="3.42578125" style="124" customWidth="1"/>
    <col min="11797" max="11797" width="3.28515625" style="124" customWidth="1"/>
    <col min="11798" max="11798" width="4.28515625" style="124" bestFit="1" customWidth="1"/>
    <col min="11799" max="11799" width="5.28515625" style="124" bestFit="1" customWidth="1"/>
    <col min="11800" max="11800" width="6.140625" style="124" bestFit="1" customWidth="1"/>
    <col min="11801" max="11801" width="5.140625" style="124" bestFit="1" customWidth="1"/>
    <col min="11802" max="11802" width="7.5703125" style="124" customWidth="1"/>
    <col min="11803" max="11803" width="6.28515625" style="124" customWidth="1"/>
    <col min="11804" max="11806" width="5.42578125" style="124" customWidth="1"/>
    <col min="11807" max="11807" width="6.140625" style="124" customWidth="1"/>
    <col min="11808" max="11808" width="6.7109375" style="124" customWidth="1"/>
    <col min="11809" max="11809" width="8.7109375" style="124" customWidth="1"/>
    <col min="11810" max="11810" width="9" style="124" customWidth="1"/>
    <col min="11811" max="12020" width="11.42578125" style="124"/>
    <col min="12021" max="12021" width="0" style="124" hidden="1" customWidth="1"/>
    <col min="12022" max="12022" width="0.28515625" style="124" customWidth="1"/>
    <col min="12023" max="12023" width="3.7109375" style="124" customWidth="1"/>
    <col min="12024" max="12024" width="8.140625" style="124" customWidth="1"/>
    <col min="12025" max="12025" width="10.140625" style="124" customWidth="1"/>
    <col min="12026" max="12026" width="20" style="124" customWidth="1"/>
    <col min="12027" max="12027" width="8.140625" style="124" customWidth="1"/>
    <col min="12028" max="12028" width="8.42578125" style="124" customWidth="1"/>
    <col min="12029" max="12029" width="12.28515625" style="124" customWidth="1"/>
    <col min="12030" max="12030" width="6.7109375" style="124" customWidth="1"/>
    <col min="12031" max="12031" width="6.28515625" style="124" customWidth="1"/>
    <col min="12032" max="12032" width="8.42578125" style="124" customWidth="1"/>
    <col min="12033" max="12033" width="7.140625" style="124" customWidth="1"/>
    <col min="12034" max="12034" width="3.28515625" style="124" customWidth="1"/>
    <col min="12035" max="12035" width="3.5703125" style="124" customWidth="1"/>
    <col min="12036" max="12036" width="5.140625" style="124" customWidth="1"/>
    <col min="12037" max="12037" width="5.7109375" style="124" customWidth="1"/>
    <col min="12038" max="12038" width="6.140625" style="124" bestFit="1" customWidth="1"/>
    <col min="12039" max="12039" width="6.7109375" style="124" customWidth="1"/>
    <col min="12040" max="12040" width="5.7109375" style="124" bestFit="1" customWidth="1"/>
    <col min="12041" max="12041" width="3.140625" style="124" bestFit="1" customWidth="1"/>
    <col min="12042" max="12042" width="4.140625" style="124" bestFit="1" customWidth="1"/>
    <col min="12043" max="12043" width="6.28515625" style="124" customWidth="1"/>
    <col min="12044" max="12045" width="6.140625" style="124" bestFit="1" customWidth="1"/>
    <col min="12046" max="12046" width="4.5703125" style="124" customWidth="1"/>
    <col min="12047" max="12047" width="5.5703125" style="124" bestFit="1" customWidth="1"/>
    <col min="12048" max="12048" width="4.85546875" style="124" customWidth="1"/>
    <col min="12049" max="12049" width="5.5703125" style="124" customWidth="1"/>
    <col min="12050" max="12050" width="5.85546875" style="124" customWidth="1"/>
    <col min="12051" max="12051" width="5.5703125" style="124" customWidth="1"/>
    <col min="12052" max="12052" width="3.42578125" style="124" customWidth="1"/>
    <col min="12053" max="12053" width="3.28515625" style="124" customWidth="1"/>
    <col min="12054" max="12054" width="4.28515625" style="124" bestFit="1" customWidth="1"/>
    <col min="12055" max="12055" width="5.28515625" style="124" bestFit="1" customWidth="1"/>
    <col min="12056" max="12056" width="6.140625" style="124" bestFit="1" customWidth="1"/>
    <col min="12057" max="12057" width="5.140625" style="124" bestFit="1" customWidth="1"/>
    <col min="12058" max="12058" width="7.5703125" style="124" customWidth="1"/>
    <col min="12059" max="12059" width="6.28515625" style="124" customWidth="1"/>
    <col min="12060" max="12062" width="5.42578125" style="124" customWidth="1"/>
    <col min="12063" max="12063" width="6.140625" style="124" customWidth="1"/>
    <col min="12064" max="12064" width="6.7109375" style="124" customWidth="1"/>
    <col min="12065" max="12065" width="8.7109375" style="124" customWidth="1"/>
    <col min="12066" max="12066" width="9" style="124" customWidth="1"/>
    <col min="12067" max="12276" width="11.42578125" style="124"/>
    <col min="12277" max="12277" width="0" style="124" hidden="1" customWidth="1"/>
    <col min="12278" max="12278" width="0.28515625" style="124" customWidth="1"/>
    <col min="12279" max="12279" width="3.7109375" style="124" customWidth="1"/>
    <col min="12280" max="12280" width="8.140625" style="124" customWidth="1"/>
    <col min="12281" max="12281" width="10.140625" style="124" customWidth="1"/>
    <col min="12282" max="12282" width="20" style="124" customWidth="1"/>
    <col min="12283" max="12283" width="8.140625" style="124" customWidth="1"/>
    <col min="12284" max="12284" width="8.42578125" style="124" customWidth="1"/>
    <col min="12285" max="12285" width="12.28515625" style="124" customWidth="1"/>
    <col min="12286" max="12286" width="6.7109375" style="124" customWidth="1"/>
    <col min="12287" max="12287" width="6.28515625" style="124" customWidth="1"/>
    <col min="12288" max="12288" width="8.42578125" style="124" customWidth="1"/>
    <col min="12289" max="12289" width="7.140625" style="124" customWidth="1"/>
    <col min="12290" max="12290" width="3.28515625" style="124" customWidth="1"/>
    <col min="12291" max="12291" width="3.5703125" style="124" customWidth="1"/>
    <col min="12292" max="12292" width="5.140625" style="124" customWidth="1"/>
    <col min="12293" max="12293" width="5.7109375" style="124" customWidth="1"/>
    <col min="12294" max="12294" width="6.140625" style="124" bestFit="1" customWidth="1"/>
    <col min="12295" max="12295" width="6.7109375" style="124" customWidth="1"/>
    <col min="12296" max="12296" width="5.7109375" style="124" bestFit="1" customWidth="1"/>
    <col min="12297" max="12297" width="3.140625" style="124" bestFit="1" customWidth="1"/>
    <col min="12298" max="12298" width="4.140625" style="124" bestFit="1" customWidth="1"/>
    <col min="12299" max="12299" width="6.28515625" style="124" customWidth="1"/>
    <col min="12300" max="12301" width="6.140625" style="124" bestFit="1" customWidth="1"/>
    <col min="12302" max="12302" width="4.5703125" style="124" customWidth="1"/>
    <col min="12303" max="12303" width="5.5703125" style="124" bestFit="1" customWidth="1"/>
    <col min="12304" max="12304" width="4.85546875" style="124" customWidth="1"/>
    <col min="12305" max="12305" width="5.5703125" style="124" customWidth="1"/>
    <col min="12306" max="12306" width="5.85546875" style="124" customWidth="1"/>
    <col min="12307" max="12307" width="5.5703125" style="124" customWidth="1"/>
    <col min="12308" max="12308" width="3.42578125" style="124" customWidth="1"/>
    <col min="12309" max="12309" width="3.28515625" style="124" customWidth="1"/>
    <col min="12310" max="12310" width="4.28515625" style="124" bestFit="1" customWidth="1"/>
    <col min="12311" max="12311" width="5.28515625" style="124" bestFit="1" customWidth="1"/>
    <col min="12312" max="12312" width="6.140625" style="124" bestFit="1" customWidth="1"/>
    <col min="12313" max="12313" width="5.140625" style="124" bestFit="1" customWidth="1"/>
    <col min="12314" max="12314" width="7.5703125" style="124" customWidth="1"/>
    <col min="12315" max="12315" width="6.28515625" style="124" customWidth="1"/>
    <col min="12316" max="12318" width="5.42578125" style="124" customWidth="1"/>
    <col min="12319" max="12319" width="6.140625" style="124" customWidth="1"/>
    <col min="12320" max="12320" width="6.7109375" style="124" customWidth="1"/>
    <col min="12321" max="12321" width="8.7109375" style="124" customWidth="1"/>
    <col min="12322" max="12322" width="9" style="124" customWidth="1"/>
    <col min="12323" max="12532" width="11.42578125" style="124"/>
    <col min="12533" max="12533" width="0" style="124" hidden="1" customWidth="1"/>
    <col min="12534" max="12534" width="0.28515625" style="124" customWidth="1"/>
    <col min="12535" max="12535" width="3.7109375" style="124" customWidth="1"/>
    <col min="12536" max="12536" width="8.140625" style="124" customWidth="1"/>
    <col min="12537" max="12537" width="10.140625" style="124" customWidth="1"/>
    <col min="12538" max="12538" width="20" style="124" customWidth="1"/>
    <col min="12539" max="12539" width="8.140625" style="124" customWidth="1"/>
    <col min="12540" max="12540" width="8.42578125" style="124" customWidth="1"/>
    <col min="12541" max="12541" width="12.28515625" style="124" customWidth="1"/>
    <col min="12542" max="12542" width="6.7109375" style="124" customWidth="1"/>
    <col min="12543" max="12543" width="6.28515625" style="124" customWidth="1"/>
    <col min="12544" max="12544" width="8.42578125" style="124" customWidth="1"/>
    <col min="12545" max="12545" width="7.140625" style="124" customWidth="1"/>
    <col min="12546" max="12546" width="3.28515625" style="124" customWidth="1"/>
    <col min="12547" max="12547" width="3.5703125" style="124" customWidth="1"/>
    <col min="12548" max="12548" width="5.140625" style="124" customWidth="1"/>
    <col min="12549" max="12549" width="5.7109375" style="124" customWidth="1"/>
    <col min="12550" max="12550" width="6.140625" style="124" bestFit="1" customWidth="1"/>
    <col min="12551" max="12551" width="6.7109375" style="124" customWidth="1"/>
    <col min="12552" max="12552" width="5.7109375" style="124" bestFit="1" customWidth="1"/>
    <col min="12553" max="12553" width="3.140625" style="124" bestFit="1" customWidth="1"/>
    <col min="12554" max="12554" width="4.140625" style="124" bestFit="1" customWidth="1"/>
    <col min="12555" max="12555" width="6.28515625" style="124" customWidth="1"/>
    <col min="12556" max="12557" width="6.140625" style="124" bestFit="1" customWidth="1"/>
    <col min="12558" max="12558" width="4.5703125" style="124" customWidth="1"/>
    <col min="12559" max="12559" width="5.5703125" style="124" bestFit="1" customWidth="1"/>
    <col min="12560" max="12560" width="4.85546875" style="124" customWidth="1"/>
    <col min="12561" max="12561" width="5.5703125" style="124" customWidth="1"/>
    <col min="12562" max="12562" width="5.85546875" style="124" customWidth="1"/>
    <col min="12563" max="12563" width="5.5703125" style="124" customWidth="1"/>
    <col min="12564" max="12564" width="3.42578125" style="124" customWidth="1"/>
    <col min="12565" max="12565" width="3.28515625" style="124" customWidth="1"/>
    <col min="12566" max="12566" width="4.28515625" style="124" bestFit="1" customWidth="1"/>
    <col min="12567" max="12567" width="5.28515625" style="124" bestFit="1" customWidth="1"/>
    <col min="12568" max="12568" width="6.140625" style="124" bestFit="1" customWidth="1"/>
    <col min="12569" max="12569" width="5.140625" style="124" bestFit="1" customWidth="1"/>
    <col min="12570" max="12570" width="7.5703125" style="124" customWidth="1"/>
    <col min="12571" max="12571" width="6.28515625" style="124" customWidth="1"/>
    <col min="12572" max="12574" width="5.42578125" style="124" customWidth="1"/>
    <col min="12575" max="12575" width="6.140625" style="124" customWidth="1"/>
    <col min="12576" max="12576" width="6.7109375" style="124" customWidth="1"/>
    <col min="12577" max="12577" width="8.7109375" style="124" customWidth="1"/>
    <col min="12578" max="12578" width="9" style="124" customWidth="1"/>
    <col min="12579" max="12788" width="11.42578125" style="124"/>
    <col min="12789" max="12789" width="0" style="124" hidden="1" customWidth="1"/>
    <col min="12790" max="12790" width="0.28515625" style="124" customWidth="1"/>
    <col min="12791" max="12791" width="3.7109375" style="124" customWidth="1"/>
    <col min="12792" max="12792" width="8.140625" style="124" customWidth="1"/>
    <col min="12793" max="12793" width="10.140625" style="124" customWidth="1"/>
    <col min="12794" max="12794" width="20" style="124" customWidth="1"/>
    <col min="12795" max="12795" width="8.140625" style="124" customWidth="1"/>
    <col min="12796" max="12796" width="8.42578125" style="124" customWidth="1"/>
    <col min="12797" max="12797" width="12.28515625" style="124" customWidth="1"/>
    <col min="12798" max="12798" width="6.7109375" style="124" customWidth="1"/>
    <col min="12799" max="12799" width="6.28515625" style="124" customWidth="1"/>
    <col min="12800" max="12800" width="8.42578125" style="124" customWidth="1"/>
    <col min="12801" max="12801" width="7.140625" style="124" customWidth="1"/>
    <col min="12802" max="12802" width="3.28515625" style="124" customWidth="1"/>
    <col min="12803" max="12803" width="3.5703125" style="124" customWidth="1"/>
    <col min="12804" max="12804" width="5.140625" style="124" customWidth="1"/>
    <col min="12805" max="12805" width="5.7109375" style="124" customWidth="1"/>
    <col min="12806" max="12806" width="6.140625" style="124" bestFit="1" customWidth="1"/>
    <col min="12807" max="12807" width="6.7109375" style="124" customWidth="1"/>
    <col min="12808" max="12808" width="5.7109375" style="124" bestFit="1" customWidth="1"/>
    <col min="12809" max="12809" width="3.140625" style="124" bestFit="1" customWidth="1"/>
    <col min="12810" max="12810" width="4.140625" style="124" bestFit="1" customWidth="1"/>
    <col min="12811" max="12811" width="6.28515625" style="124" customWidth="1"/>
    <col min="12812" max="12813" width="6.140625" style="124" bestFit="1" customWidth="1"/>
    <col min="12814" max="12814" width="4.5703125" style="124" customWidth="1"/>
    <col min="12815" max="12815" width="5.5703125" style="124" bestFit="1" customWidth="1"/>
    <col min="12816" max="12816" width="4.85546875" style="124" customWidth="1"/>
    <col min="12817" max="12817" width="5.5703125" style="124" customWidth="1"/>
    <col min="12818" max="12818" width="5.85546875" style="124" customWidth="1"/>
    <col min="12819" max="12819" width="5.5703125" style="124" customWidth="1"/>
    <col min="12820" max="12820" width="3.42578125" style="124" customWidth="1"/>
    <col min="12821" max="12821" width="3.28515625" style="124" customWidth="1"/>
    <col min="12822" max="12822" width="4.28515625" style="124" bestFit="1" customWidth="1"/>
    <col min="12823" max="12823" width="5.28515625" style="124" bestFit="1" customWidth="1"/>
    <col min="12824" max="12824" width="6.140625" style="124" bestFit="1" customWidth="1"/>
    <col min="12825" max="12825" width="5.140625" style="124" bestFit="1" customWidth="1"/>
    <col min="12826" max="12826" width="7.5703125" style="124" customWidth="1"/>
    <col min="12827" max="12827" width="6.28515625" style="124" customWidth="1"/>
    <col min="12828" max="12830" width="5.42578125" style="124" customWidth="1"/>
    <col min="12831" max="12831" width="6.140625" style="124" customWidth="1"/>
    <col min="12832" max="12832" width="6.7109375" style="124" customWidth="1"/>
    <col min="12833" max="12833" width="8.7109375" style="124" customWidth="1"/>
    <col min="12834" max="12834" width="9" style="124" customWidth="1"/>
    <col min="12835" max="13044" width="11.42578125" style="124"/>
    <col min="13045" max="13045" width="0" style="124" hidden="1" customWidth="1"/>
    <col min="13046" max="13046" width="0.28515625" style="124" customWidth="1"/>
    <col min="13047" max="13047" width="3.7109375" style="124" customWidth="1"/>
    <col min="13048" max="13048" width="8.140625" style="124" customWidth="1"/>
    <col min="13049" max="13049" width="10.140625" style="124" customWidth="1"/>
    <col min="13050" max="13050" width="20" style="124" customWidth="1"/>
    <col min="13051" max="13051" width="8.140625" style="124" customWidth="1"/>
    <col min="13052" max="13052" width="8.42578125" style="124" customWidth="1"/>
    <col min="13053" max="13053" width="12.28515625" style="124" customWidth="1"/>
    <col min="13054" max="13054" width="6.7109375" style="124" customWidth="1"/>
    <col min="13055" max="13055" width="6.28515625" style="124" customWidth="1"/>
    <col min="13056" max="13056" width="8.42578125" style="124" customWidth="1"/>
    <col min="13057" max="13057" width="7.140625" style="124" customWidth="1"/>
    <col min="13058" max="13058" width="3.28515625" style="124" customWidth="1"/>
    <col min="13059" max="13059" width="3.5703125" style="124" customWidth="1"/>
    <col min="13060" max="13060" width="5.140625" style="124" customWidth="1"/>
    <col min="13061" max="13061" width="5.7109375" style="124" customWidth="1"/>
    <col min="13062" max="13062" width="6.140625" style="124" bestFit="1" customWidth="1"/>
    <col min="13063" max="13063" width="6.7109375" style="124" customWidth="1"/>
    <col min="13064" max="13064" width="5.7109375" style="124" bestFit="1" customWidth="1"/>
    <col min="13065" max="13065" width="3.140625" style="124" bestFit="1" customWidth="1"/>
    <col min="13066" max="13066" width="4.140625" style="124" bestFit="1" customWidth="1"/>
    <col min="13067" max="13067" width="6.28515625" style="124" customWidth="1"/>
    <col min="13068" max="13069" width="6.140625" style="124" bestFit="1" customWidth="1"/>
    <col min="13070" max="13070" width="4.5703125" style="124" customWidth="1"/>
    <col min="13071" max="13071" width="5.5703125" style="124" bestFit="1" customWidth="1"/>
    <col min="13072" max="13072" width="4.85546875" style="124" customWidth="1"/>
    <col min="13073" max="13073" width="5.5703125" style="124" customWidth="1"/>
    <col min="13074" max="13074" width="5.85546875" style="124" customWidth="1"/>
    <col min="13075" max="13075" width="5.5703125" style="124" customWidth="1"/>
    <col min="13076" max="13076" width="3.42578125" style="124" customWidth="1"/>
    <col min="13077" max="13077" width="3.28515625" style="124" customWidth="1"/>
    <col min="13078" max="13078" width="4.28515625" style="124" bestFit="1" customWidth="1"/>
    <col min="13079" max="13079" width="5.28515625" style="124" bestFit="1" customWidth="1"/>
    <col min="13080" max="13080" width="6.140625" style="124" bestFit="1" customWidth="1"/>
    <col min="13081" max="13081" width="5.140625" style="124" bestFit="1" customWidth="1"/>
    <col min="13082" max="13082" width="7.5703125" style="124" customWidth="1"/>
    <col min="13083" max="13083" width="6.28515625" style="124" customWidth="1"/>
    <col min="13084" max="13086" width="5.42578125" style="124" customWidth="1"/>
    <col min="13087" max="13087" width="6.140625" style="124" customWidth="1"/>
    <col min="13088" max="13088" width="6.7109375" style="124" customWidth="1"/>
    <col min="13089" max="13089" width="8.7109375" style="124" customWidth="1"/>
    <col min="13090" max="13090" width="9" style="124" customWidth="1"/>
    <col min="13091" max="13300" width="11.42578125" style="124"/>
    <col min="13301" max="13301" width="0" style="124" hidden="1" customWidth="1"/>
    <col min="13302" max="13302" width="0.28515625" style="124" customWidth="1"/>
    <col min="13303" max="13303" width="3.7109375" style="124" customWidth="1"/>
    <col min="13304" max="13304" width="8.140625" style="124" customWidth="1"/>
    <col min="13305" max="13305" width="10.140625" style="124" customWidth="1"/>
    <col min="13306" max="13306" width="20" style="124" customWidth="1"/>
    <col min="13307" max="13307" width="8.140625" style="124" customWidth="1"/>
    <col min="13308" max="13308" width="8.42578125" style="124" customWidth="1"/>
    <col min="13309" max="13309" width="12.28515625" style="124" customWidth="1"/>
    <col min="13310" max="13310" width="6.7109375" style="124" customWidth="1"/>
    <col min="13311" max="13311" width="6.28515625" style="124" customWidth="1"/>
    <col min="13312" max="13312" width="8.42578125" style="124" customWidth="1"/>
    <col min="13313" max="13313" width="7.140625" style="124" customWidth="1"/>
    <col min="13314" max="13314" width="3.28515625" style="124" customWidth="1"/>
    <col min="13315" max="13315" width="3.5703125" style="124" customWidth="1"/>
    <col min="13316" max="13316" width="5.140625" style="124" customWidth="1"/>
    <col min="13317" max="13317" width="5.7109375" style="124" customWidth="1"/>
    <col min="13318" max="13318" width="6.140625" style="124" bestFit="1" customWidth="1"/>
    <col min="13319" max="13319" width="6.7109375" style="124" customWidth="1"/>
    <col min="13320" max="13320" width="5.7109375" style="124" bestFit="1" customWidth="1"/>
    <col min="13321" max="13321" width="3.140625" style="124" bestFit="1" customWidth="1"/>
    <col min="13322" max="13322" width="4.140625" style="124" bestFit="1" customWidth="1"/>
    <col min="13323" max="13323" width="6.28515625" style="124" customWidth="1"/>
    <col min="13324" max="13325" width="6.140625" style="124" bestFit="1" customWidth="1"/>
    <col min="13326" max="13326" width="4.5703125" style="124" customWidth="1"/>
    <col min="13327" max="13327" width="5.5703125" style="124" bestFit="1" customWidth="1"/>
    <col min="13328" max="13328" width="4.85546875" style="124" customWidth="1"/>
    <col min="13329" max="13329" width="5.5703125" style="124" customWidth="1"/>
    <col min="13330" max="13330" width="5.85546875" style="124" customWidth="1"/>
    <col min="13331" max="13331" width="5.5703125" style="124" customWidth="1"/>
    <col min="13332" max="13332" width="3.42578125" style="124" customWidth="1"/>
    <col min="13333" max="13333" width="3.28515625" style="124" customWidth="1"/>
    <col min="13334" max="13334" width="4.28515625" style="124" bestFit="1" customWidth="1"/>
    <col min="13335" max="13335" width="5.28515625" style="124" bestFit="1" customWidth="1"/>
    <col min="13336" max="13336" width="6.140625" style="124" bestFit="1" customWidth="1"/>
    <col min="13337" max="13337" width="5.140625" style="124" bestFit="1" customWidth="1"/>
    <col min="13338" max="13338" width="7.5703125" style="124" customWidth="1"/>
    <col min="13339" max="13339" width="6.28515625" style="124" customWidth="1"/>
    <col min="13340" max="13342" width="5.42578125" style="124" customWidth="1"/>
    <col min="13343" max="13343" width="6.140625" style="124" customWidth="1"/>
    <col min="13344" max="13344" width="6.7109375" style="124" customWidth="1"/>
    <col min="13345" max="13345" width="8.7109375" style="124" customWidth="1"/>
    <col min="13346" max="13346" width="9" style="124" customWidth="1"/>
    <col min="13347" max="13556" width="11.42578125" style="124"/>
    <col min="13557" max="13557" width="0" style="124" hidden="1" customWidth="1"/>
    <col min="13558" max="13558" width="0.28515625" style="124" customWidth="1"/>
    <col min="13559" max="13559" width="3.7109375" style="124" customWidth="1"/>
    <col min="13560" max="13560" width="8.140625" style="124" customWidth="1"/>
    <col min="13561" max="13561" width="10.140625" style="124" customWidth="1"/>
    <col min="13562" max="13562" width="20" style="124" customWidth="1"/>
    <col min="13563" max="13563" width="8.140625" style="124" customWidth="1"/>
    <col min="13564" max="13564" width="8.42578125" style="124" customWidth="1"/>
    <col min="13565" max="13565" width="12.28515625" style="124" customWidth="1"/>
    <col min="13566" max="13566" width="6.7109375" style="124" customWidth="1"/>
    <col min="13567" max="13567" width="6.28515625" style="124" customWidth="1"/>
    <col min="13568" max="13568" width="8.42578125" style="124" customWidth="1"/>
    <col min="13569" max="13569" width="7.140625" style="124" customWidth="1"/>
    <col min="13570" max="13570" width="3.28515625" style="124" customWidth="1"/>
    <col min="13571" max="13571" width="3.5703125" style="124" customWidth="1"/>
    <col min="13572" max="13572" width="5.140625" style="124" customWidth="1"/>
    <col min="13573" max="13573" width="5.7109375" style="124" customWidth="1"/>
    <col min="13574" max="13574" width="6.140625" style="124" bestFit="1" customWidth="1"/>
    <col min="13575" max="13575" width="6.7109375" style="124" customWidth="1"/>
    <col min="13576" max="13576" width="5.7109375" style="124" bestFit="1" customWidth="1"/>
    <col min="13577" max="13577" width="3.140625" style="124" bestFit="1" customWidth="1"/>
    <col min="13578" max="13578" width="4.140625" style="124" bestFit="1" customWidth="1"/>
    <col min="13579" max="13579" width="6.28515625" style="124" customWidth="1"/>
    <col min="13580" max="13581" width="6.140625" style="124" bestFit="1" customWidth="1"/>
    <col min="13582" max="13582" width="4.5703125" style="124" customWidth="1"/>
    <col min="13583" max="13583" width="5.5703125" style="124" bestFit="1" customWidth="1"/>
    <col min="13584" max="13584" width="4.85546875" style="124" customWidth="1"/>
    <col min="13585" max="13585" width="5.5703125" style="124" customWidth="1"/>
    <col min="13586" max="13586" width="5.85546875" style="124" customWidth="1"/>
    <col min="13587" max="13587" width="5.5703125" style="124" customWidth="1"/>
    <col min="13588" max="13588" width="3.42578125" style="124" customWidth="1"/>
    <col min="13589" max="13589" width="3.28515625" style="124" customWidth="1"/>
    <col min="13590" max="13590" width="4.28515625" style="124" bestFit="1" customWidth="1"/>
    <col min="13591" max="13591" width="5.28515625" style="124" bestFit="1" customWidth="1"/>
    <col min="13592" max="13592" width="6.140625" style="124" bestFit="1" customWidth="1"/>
    <col min="13593" max="13593" width="5.140625" style="124" bestFit="1" customWidth="1"/>
    <col min="13594" max="13594" width="7.5703125" style="124" customWidth="1"/>
    <col min="13595" max="13595" width="6.28515625" style="124" customWidth="1"/>
    <col min="13596" max="13598" width="5.42578125" style="124" customWidth="1"/>
    <col min="13599" max="13599" width="6.140625" style="124" customWidth="1"/>
    <col min="13600" max="13600" width="6.7109375" style="124" customWidth="1"/>
    <col min="13601" max="13601" width="8.7109375" style="124" customWidth="1"/>
    <col min="13602" max="13602" width="9" style="124" customWidth="1"/>
    <col min="13603" max="13812" width="11.42578125" style="124"/>
    <col min="13813" max="13813" width="0" style="124" hidden="1" customWidth="1"/>
    <col min="13814" max="13814" width="0.28515625" style="124" customWidth="1"/>
    <col min="13815" max="13815" width="3.7109375" style="124" customWidth="1"/>
    <col min="13816" max="13816" width="8.140625" style="124" customWidth="1"/>
    <col min="13817" max="13817" width="10.140625" style="124" customWidth="1"/>
    <col min="13818" max="13818" width="20" style="124" customWidth="1"/>
    <col min="13819" max="13819" width="8.140625" style="124" customWidth="1"/>
    <col min="13820" max="13820" width="8.42578125" style="124" customWidth="1"/>
    <col min="13821" max="13821" width="12.28515625" style="124" customWidth="1"/>
    <col min="13822" max="13822" width="6.7109375" style="124" customWidth="1"/>
    <col min="13823" max="13823" width="6.28515625" style="124" customWidth="1"/>
    <col min="13824" max="13824" width="8.42578125" style="124" customWidth="1"/>
    <col min="13825" max="13825" width="7.140625" style="124" customWidth="1"/>
    <col min="13826" max="13826" width="3.28515625" style="124" customWidth="1"/>
    <col min="13827" max="13827" width="3.5703125" style="124" customWidth="1"/>
    <col min="13828" max="13828" width="5.140625" style="124" customWidth="1"/>
    <col min="13829" max="13829" width="5.7109375" style="124" customWidth="1"/>
    <col min="13830" max="13830" width="6.140625" style="124" bestFit="1" customWidth="1"/>
    <col min="13831" max="13831" width="6.7109375" style="124" customWidth="1"/>
    <col min="13832" max="13832" width="5.7109375" style="124" bestFit="1" customWidth="1"/>
    <col min="13833" max="13833" width="3.140625" style="124" bestFit="1" customWidth="1"/>
    <col min="13834" max="13834" width="4.140625" style="124" bestFit="1" customWidth="1"/>
    <col min="13835" max="13835" width="6.28515625" style="124" customWidth="1"/>
    <col min="13836" max="13837" width="6.140625" style="124" bestFit="1" customWidth="1"/>
    <col min="13838" max="13838" width="4.5703125" style="124" customWidth="1"/>
    <col min="13839" max="13839" width="5.5703125" style="124" bestFit="1" customWidth="1"/>
    <col min="13840" max="13840" width="4.85546875" style="124" customWidth="1"/>
    <col min="13841" max="13841" width="5.5703125" style="124" customWidth="1"/>
    <col min="13842" max="13842" width="5.85546875" style="124" customWidth="1"/>
    <col min="13843" max="13843" width="5.5703125" style="124" customWidth="1"/>
    <col min="13844" max="13844" width="3.42578125" style="124" customWidth="1"/>
    <col min="13845" max="13845" width="3.28515625" style="124" customWidth="1"/>
    <col min="13846" max="13846" width="4.28515625" style="124" bestFit="1" customWidth="1"/>
    <col min="13847" max="13847" width="5.28515625" style="124" bestFit="1" customWidth="1"/>
    <col min="13848" max="13848" width="6.140625" style="124" bestFit="1" customWidth="1"/>
    <col min="13849" max="13849" width="5.140625" style="124" bestFit="1" customWidth="1"/>
    <col min="13850" max="13850" width="7.5703125" style="124" customWidth="1"/>
    <col min="13851" max="13851" width="6.28515625" style="124" customWidth="1"/>
    <col min="13852" max="13854" width="5.42578125" style="124" customWidth="1"/>
    <col min="13855" max="13855" width="6.140625" style="124" customWidth="1"/>
    <col min="13856" max="13856" width="6.7109375" style="124" customWidth="1"/>
    <col min="13857" max="13857" width="8.7109375" style="124" customWidth="1"/>
    <col min="13858" max="13858" width="9" style="124" customWidth="1"/>
    <col min="13859" max="14068" width="11.42578125" style="124"/>
    <col min="14069" max="14069" width="0" style="124" hidden="1" customWidth="1"/>
    <col min="14070" max="14070" width="0.28515625" style="124" customWidth="1"/>
    <col min="14071" max="14071" width="3.7109375" style="124" customWidth="1"/>
    <col min="14072" max="14072" width="8.140625" style="124" customWidth="1"/>
    <col min="14073" max="14073" width="10.140625" style="124" customWidth="1"/>
    <col min="14074" max="14074" width="20" style="124" customWidth="1"/>
    <col min="14075" max="14075" width="8.140625" style="124" customWidth="1"/>
    <col min="14076" max="14076" width="8.42578125" style="124" customWidth="1"/>
    <col min="14077" max="14077" width="12.28515625" style="124" customWidth="1"/>
    <col min="14078" max="14078" width="6.7109375" style="124" customWidth="1"/>
    <col min="14079" max="14079" width="6.28515625" style="124" customWidth="1"/>
    <col min="14080" max="14080" width="8.42578125" style="124" customWidth="1"/>
    <col min="14081" max="14081" width="7.140625" style="124" customWidth="1"/>
    <col min="14082" max="14082" width="3.28515625" style="124" customWidth="1"/>
    <col min="14083" max="14083" width="3.5703125" style="124" customWidth="1"/>
    <col min="14084" max="14084" width="5.140625" style="124" customWidth="1"/>
    <col min="14085" max="14085" width="5.7109375" style="124" customWidth="1"/>
    <col min="14086" max="14086" width="6.140625" style="124" bestFit="1" customWidth="1"/>
    <col min="14087" max="14087" width="6.7109375" style="124" customWidth="1"/>
    <col min="14088" max="14088" width="5.7109375" style="124" bestFit="1" customWidth="1"/>
    <col min="14089" max="14089" width="3.140625" style="124" bestFit="1" customWidth="1"/>
    <col min="14090" max="14090" width="4.140625" style="124" bestFit="1" customWidth="1"/>
    <col min="14091" max="14091" width="6.28515625" style="124" customWidth="1"/>
    <col min="14092" max="14093" width="6.140625" style="124" bestFit="1" customWidth="1"/>
    <col min="14094" max="14094" width="4.5703125" style="124" customWidth="1"/>
    <col min="14095" max="14095" width="5.5703125" style="124" bestFit="1" customWidth="1"/>
    <col min="14096" max="14096" width="4.85546875" style="124" customWidth="1"/>
    <col min="14097" max="14097" width="5.5703125" style="124" customWidth="1"/>
    <col min="14098" max="14098" width="5.85546875" style="124" customWidth="1"/>
    <col min="14099" max="14099" width="5.5703125" style="124" customWidth="1"/>
    <col min="14100" max="14100" width="3.42578125" style="124" customWidth="1"/>
    <col min="14101" max="14101" width="3.28515625" style="124" customWidth="1"/>
    <col min="14102" max="14102" width="4.28515625" style="124" bestFit="1" customWidth="1"/>
    <col min="14103" max="14103" width="5.28515625" style="124" bestFit="1" customWidth="1"/>
    <col min="14104" max="14104" width="6.140625" style="124" bestFit="1" customWidth="1"/>
    <col min="14105" max="14105" width="5.140625" style="124" bestFit="1" customWidth="1"/>
    <col min="14106" max="14106" width="7.5703125" style="124" customWidth="1"/>
    <col min="14107" max="14107" width="6.28515625" style="124" customWidth="1"/>
    <col min="14108" max="14110" width="5.42578125" style="124" customWidth="1"/>
    <col min="14111" max="14111" width="6.140625" style="124" customWidth="1"/>
    <col min="14112" max="14112" width="6.7109375" style="124" customWidth="1"/>
    <col min="14113" max="14113" width="8.7109375" style="124" customWidth="1"/>
    <col min="14114" max="14114" width="9" style="124" customWidth="1"/>
    <col min="14115" max="14324" width="11.42578125" style="124"/>
    <col min="14325" max="14325" width="0" style="124" hidden="1" customWidth="1"/>
    <col min="14326" max="14326" width="0.28515625" style="124" customWidth="1"/>
    <col min="14327" max="14327" width="3.7109375" style="124" customWidth="1"/>
    <col min="14328" max="14328" width="8.140625" style="124" customWidth="1"/>
    <col min="14329" max="14329" width="10.140625" style="124" customWidth="1"/>
    <col min="14330" max="14330" width="20" style="124" customWidth="1"/>
    <col min="14331" max="14331" width="8.140625" style="124" customWidth="1"/>
    <col min="14332" max="14332" width="8.42578125" style="124" customWidth="1"/>
    <col min="14333" max="14333" width="12.28515625" style="124" customWidth="1"/>
    <col min="14334" max="14334" width="6.7109375" style="124" customWidth="1"/>
    <col min="14335" max="14335" width="6.28515625" style="124" customWidth="1"/>
    <col min="14336" max="14336" width="8.42578125" style="124" customWidth="1"/>
    <col min="14337" max="14337" width="7.140625" style="124" customWidth="1"/>
    <col min="14338" max="14338" width="3.28515625" style="124" customWidth="1"/>
    <col min="14339" max="14339" width="3.5703125" style="124" customWidth="1"/>
    <col min="14340" max="14340" width="5.140625" style="124" customWidth="1"/>
    <col min="14341" max="14341" width="5.7109375" style="124" customWidth="1"/>
    <col min="14342" max="14342" width="6.140625" style="124" bestFit="1" customWidth="1"/>
    <col min="14343" max="14343" width="6.7109375" style="124" customWidth="1"/>
    <col min="14344" max="14344" width="5.7109375" style="124" bestFit="1" customWidth="1"/>
    <col min="14345" max="14345" width="3.140625" style="124" bestFit="1" customWidth="1"/>
    <col min="14346" max="14346" width="4.140625" style="124" bestFit="1" customWidth="1"/>
    <col min="14347" max="14347" width="6.28515625" style="124" customWidth="1"/>
    <col min="14348" max="14349" width="6.140625" style="124" bestFit="1" customWidth="1"/>
    <col min="14350" max="14350" width="4.5703125" style="124" customWidth="1"/>
    <col min="14351" max="14351" width="5.5703125" style="124" bestFit="1" customWidth="1"/>
    <col min="14352" max="14352" width="4.85546875" style="124" customWidth="1"/>
    <col min="14353" max="14353" width="5.5703125" style="124" customWidth="1"/>
    <col min="14354" max="14354" width="5.85546875" style="124" customWidth="1"/>
    <col min="14355" max="14355" width="5.5703125" style="124" customWidth="1"/>
    <col min="14356" max="14356" width="3.42578125" style="124" customWidth="1"/>
    <col min="14357" max="14357" width="3.28515625" style="124" customWidth="1"/>
    <col min="14358" max="14358" width="4.28515625" style="124" bestFit="1" customWidth="1"/>
    <col min="14359" max="14359" width="5.28515625" style="124" bestFit="1" customWidth="1"/>
    <col min="14360" max="14360" width="6.140625" style="124" bestFit="1" customWidth="1"/>
    <col min="14361" max="14361" width="5.140625" style="124" bestFit="1" customWidth="1"/>
    <col min="14362" max="14362" width="7.5703125" style="124" customWidth="1"/>
    <col min="14363" max="14363" width="6.28515625" style="124" customWidth="1"/>
    <col min="14364" max="14366" width="5.42578125" style="124" customWidth="1"/>
    <col min="14367" max="14367" width="6.140625" style="124" customWidth="1"/>
    <col min="14368" max="14368" width="6.7109375" style="124" customWidth="1"/>
    <col min="14369" max="14369" width="8.7109375" style="124" customWidth="1"/>
    <col min="14370" max="14370" width="9" style="124" customWidth="1"/>
    <col min="14371" max="14580" width="11.42578125" style="124"/>
    <col min="14581" max="14581" width="0" style="124" hidden="1" customWidth="1"/>
    <col min="14582" max="14582" width="0.28515625" style="124" customWidth="1"/>
    <col min="14583" max="14583" width="3.7109375" style="124" customWidth="1"/>
    <col min="14584" max="14584" width="8.140625" style="124" customWidth="1"/>
    <col min="14585" max="14585" width="10.140625" style="124" customWidth="1"/>
    <col min="14586" max="14586" width="20" style="124" customWidth="1"/>
    <col min="14587" max="14587" width="8.140625" style="124" customWidth="1"/>
    <col min="14588" max="14588" width="8.42578125" style="124" customWidth="1"/>
    <col min="14589" max="14589" width="12.28515625" style="124" customWidth="1"/>
    <col min="14590" max="14590" width="6.7109375" style="124" customWidth="1"/>
    <col min="14591" max="14591" width="6.28515625" style="124" customWidth="1"/>
    <col min="14592" max="14592" width="8.42578125" style="124" customWidth="1"/>
    <col min="14593" max="14593" width="7.140625" style="124" customWidth="1"/>
    <col min="14594" max="14594" width="3.28515625" style="124" customWidth="1"/>
    <col min="14595" max="14595" width="3.5703125" style="124" customWidth="1"/>
    <col min="14596" max="14596" width="5.140625" style="124" customWidth="1"/>
    <col min="14597" max="14597" width="5.7109375" style="124" customWidth="1"/>
    <col min="14598" max="14598" width="6.140625" style="124" bestFit="1" customWidth="1"/>
    <col min="14599" max="14599" width="6.7109375" style="124" customWidth="1"/>
    <col min="14600" max="14600" width="5.7109375" style="124" bestFit="1" customWidth="1"/>
    <col min="14601" max="14601" width="3.140625" style="124" bestFit="1" customWidth="1"/>
    <col min="14602" max="14602" width="4.140625" style="124" bestFit="1" customWidth="1"/>
    <col min="14603" max="14603" width="6.28515625" style="124" customWidth="1"/>
    <col min="14604" max="14605" width="6.140625" style="124" bestFit="1" customWidth="1"/>
    <col min="14606" max="14606" width="4.5703125" style="124" customWidth="1"/>
    <col min="14607" max="14607" width="5.5703125" style="124" bestFit="1" customWidth="1"/>
    <col min="14608" max="14608" width="4.85546875" style="124" customWidth="1"/>
    <col min="14609" max="14609" width="5.5703125" style="124" customWidth="1"/>
    <col min="14610" max="14610" width="5.85546875" style="124" customWidth="1"/>
    <col min="14611" max="14611" width="5.5703125" style="124" customWidth="1"/>
    <col min="14612" max="14612" width="3.42578125" style="124" customWidth="1"/>
    <col min="14613" max="14613" width="3.28515625" style="124" customWidth="1"/>
    <col min="14614" max="14614" width="4.28515625" style="124" bestFit="1" customWidth="1"/>
    <col min="14615" max="14615" width="5.28515625" style="124" bestFit="1" customWidth="1"/>
    <col min="14616" max="14616" width="6.140625" style="124" bestFit="1" customWidth="1"/>
    <col min="14617" max="14617" width="5.140625" style="124" bestFit="1" customWidth="1"/>
    <col min="14618" max="14618" width="7.5703125" style="124" customWidth="1"/>
    <col min="14619" max="14619" width="6.28515625" style="124" customWidth="1"/>
    <col min="14620" max="14622" width="5.42578125" style="124" customWidth="1"/>
    <col min="14623" max="14623" width="6.140625" style="124" customWidth="1"/>
    <col min="14624" max="14624" width="6.7109375" style="124" customWidth="1"/>
    <col min="14625" max="14625" width="8.7109375" style="124" customWidth="1"/>
    <col min="14626" max="14626" width="9" style="124" customWidth="1"/>
    <col min="14627" max="14836" width="11.42578125" style="124"/>
    <col min="14837" max="14837" width="0" style="124" hidden="1" customWidth="1"/>
    <col min="14838" max="14838" width="0.28515625" style="124" customWidth="1"/>
    <col min="14839" max="14839" width="3.7109375" style="124" customWidth="1"/>
    <col min="14840" max="14840" width="8.140625" style="124" customWidth="1"/>
    <col min="14841" max="14841" width="10.140625" style="124" customWidth="1"/>
    <col min="14842" max="14842" width="20" style="124" customWidth="1"/>
    <col min="14843" max="14843" width="8.140625" style="124" customWidth="1"/>
    <col min="14844" max="14844" width="8.42578125" style="124" customWidth="1"/>
    <col min="14845" max="14845" width="12.28515625" style="124" customWidth="1"/>
    <col min="14846" max="14846" width="6.7109375" style="124" customWidth="1"/>
    <col min="14847" max="14847" width="6.28515625" style="124" customWidth="1"/>
    <col min="14848" max="14848" width="8.42578125" style="124" customWidth="1"/>
    <col min="14849" max="14849" width="7.140625" style="124" customWidth="1"/>
    <col min="14850" max="14850" width="3.28515625" style="124" customWidth="1"/>
    <col min="14851" max="14851" width="3.5703125" style="124" customWidth="1"/>
    <col min="14852" max="14852" width="5.140625" style="124" customWidth="1"/>
    <col min="14853" max="14853" width="5.7109375" style="124" customWidth="1"/>
    <col min="14854" max="14854" width="6.140625" style="124" bestFit="1" customWidth="1"/>
    <col min="14855" max="14855" width="6.7109375" style="124" customWidth="1"/>
    <col min="14856" max="14856" width="5.7109375" style="124" bestFit="1" customWidth="1"/>
    <col min="14857" max="14857" width="3.140625" style="124" bestFit="1" customWidth="1"/>
    <col min="14858" max="14858" width="4.140625" style="124" bestFit="1" customWidth="1"/>
    <col min="14859" max="14859" width="6.28515625" style="124" customWidth="1"/>
    <col min="14860" max="14861" width="6.140625" style="124" bestFit="1" customWidth="1"/>
    <col min="14862" max="14862" width="4.5703125" style="124" customWidth="1"/>
    <col min="14863" max="14863" width="5.5703125" style="124" bestFit="1" customWidth="1"/>
    <col min="14864" max="14864" width="4.85546875" style="124" customWidth="1"/>
    <col min="14865" max="14865" width="5.5703125" style="124" customWidth="1"/>
    <col min="14866" max="14866" width="5.85546875" style="124" customWidth="1"/>
    <col min="14867" max="14867" width="5.5703125" style="124" customWidth="1"/>
    <col min="14868" max="14868" width="3.42578125" style="124" customWidth="1"/>
    <col min="14869" max="14869" width="3.28515625" style="124" customWidth="1"/>
    <col min="14870" max="14870" width="4.28515625" style="124" bestFit="1" customWidth="1"/>
    <col min="14871" max="14871" width="5.28515625" style="124" bestFit="1" customWidth="1"/>
    <col min="14872" max="14872" width="6.140625" style="124" bestFit="1" customWidth="1"/>
    <col min="14873" max="14873" width="5.140625" style="124" bestFit="1" customWidth="1"/>
    <col min="14874" max="14874" width="7.5703125" style="124" customWidth="1"/>
    <col min="14875" max="14875" width="6.28515625" style="124" customWidth="1"/>
    <col min="14876" max="14878" width="5.42578125" style="124" customWidth="1"/>
    <col min="14879" max="14879" width="6.140625" style="124" customWidth="1"/>
    <col min="14880" max="14880" width="6.7109375" style="124" customWidth="1"/>
    <col min="14881" max="14881" width="8.7109375" style="124" customWidth="1"/>
    <col min="14882" max="14882" width="9" style="124" customWidth="1"/>
    <col min="14883" max="15092" width="11.42578125" style="124"/>
    <col min="15093" max="15093" width="0" style="124" hidden="1" customWidth="1"/>
    <col min="15094" max="15094" width="0.28515625" style="124" customWidth="1"/>
    <col min="15095" max="15095" width="3.7109375" style="124" customWidth="1"/>
    <col min="15096" max="15096" width="8.140625" style="124" customWidth="1"/>
    <col min="15097" max="15097" width="10.140625" style="124" customWidth="1"/>
    <col min="15098" max="15098" width="20" style="124" customWidth="1"/>
    <col min="15099" max="15099" width="8.140625" style="124" customWidth="1"/>
    <col min="15100" max="15100" width="8.42578125" style="124" customWidth="1"/>
    <col min="15101" max="15101" width="12.28515625" style="124" customWidth="1"/>
    <col min="15102" max="15102" width="6.7109375" style="124" customWidth="1"/>
    <col min="15103" max="15103" width="6.28515625" style="124" customWidth="1"/>
    <col min="15104" max="15104" width="8.42578125" style="124" customWidth="1"/>
    <col min="15105" max="15105" width="7.140625" style="124" customWidth="1"/>
    <col min="15106" max="15106" width="3.28515625" style="124" customWidth="1"/>
    <col min="15107" max="15107" width="3.5703125" style="124" customWidth="1"/>
    <col min="15108" max="15108" width="5.140625" style="124" customWidth="1"/>
    <col min="15109" max="15109" width="5.7109375" style="124" customWidth="1"/>
    <col min="15110" max="15110" width="6.140625" style="124" bestFit="1" customWidth="1"/>
    <col min="15111" max="15111" width="6.7109375" style="124" customWidth="1"/>
    <col min="15112" max="15112" width="5.7109375" style="124" bestFit="1" customWidth="1"/>
    <col min="15113" max="15113" width="3.140625" style="124" bestFit="1" customWidth="1"/>
    <col min="15114" max="15114" width="4.140625" style="124" bestFit="1" customWidth="1"/>
    <col min="15115" max="15115" width="6.28515625" style="124" customWidth="1"/>
    <col min="15116" max="15117" width="6.140625" style="124" bestFit="1" customWidth="1"/>
    <col min="15118" max="15118" width="4.5703125" style="124" customWidth="1"/>
    <col min="15119" max="15119" width="5.5703125" style="124" bestFit="1" customWidth="1"/>
    <col min="15120" max="15120" width="4.85546875" style="124" customWidth="1"/>
    <col min="15121" max="15121" width="5.5703125" style="124" customWidth="1"/>
    <col min="15122" max="15122" width="5.85546875" style="124" customWidth="1"/>
    <col min="15123" max="15123" width="5.5703125" style="124" customWidth="1"/>
    <col min="15124" max="15124" width="3.42578125" style="124" customWidth="1"/>
    <col min="15125" max="15125" width="3.28515625" style="124" customWidth="1"/>
    <col min="15126" max="15126" width="4.28515625" style="124" bestFit="1" customWidth="1"/>
    <col min="15127" max="15127" width="5.28515625" style="124" bestFit="1" customWidth="1"/>
    <col min="15128" max="15128" width="6.140625" style="124" bestFit="1" customWidth="1"/>
    <col min="15129" max="15129" width="5.140625" style="124" bestFit="1" customWidth="1"/>
    <col min="15130" max="15130" width="7.5703125" style="124" customWidth="1"/>
    <col min="15131" max="15131" width="6.28515625" style="124" customWidth="1"/>
    <col min="15132" max="15134" width="5.42578125" style="124" customWidth="1"/>
    <col min="15135" max="15135" width="6.140625" style="124" customWidth="1"/>
    <col min="15136" max="15136" width="6.7109375" style="124" customWidth="1"/>
    <col min="15137" max="15137" width="8.7109375" style="124" customWidth="1"/>
    <col min="15138" max="15138" width="9" style="124" customWidth="1"/>
    <col min="15139" max="15348" width="11.42578125" style="124"/>
    <col min="15349" max="15349" width="0" style="124" hidden="1" customWidth="1"/>
    <col min="15350" max="15350" width="0.28515625" style="124" customWidth="1"/>
    <col min="15351" max="15351" width="3.7109375" style="124" customWidth="1"/>
    <col min="15352" max="15352" width="8.140625" style="124" customWidth="1"/>
    <col min="15353" max="15353" width="10.140625" style="124" customWidth="1"/>
    <col min="15354" max="15354" width="20" style="124" customWidth="1"/>
    <col min="15355" max="15355" width="8.140625" style="124" customWidth="1"/>
    <col min="15356" max="15356" width="8.42578125" style="124" customWidth="1"/>
    <col min="15357" max="15357" width="12.28515625" style="124" customWidth="1"/>
    <col min="15358" max="15358" width="6.7109375" style="124" customWidth="1"/>
    <col min="15359" max="15359" width="6.28515625" style="124" customWidth="1"/>
    <col min="15360" max="15360" width="8.42578125" style="124" customWidth="1"/>
    <col min="15361" max="15361" width="7.140625" style="124" customWidth="1"/>
    <col min="15362" max="15362" width="3.28515625" style="124" customWidth="1"/>
    <col min="15363" max="15363" width="3.5703125" style="124" customWidth="1"/>
    <col min="15364" max="15364" width="5.140625" style="124" customWidth="1"/>
    <col min="15365" max="15365" width="5.7109375" style="124" customWidth="1"/>
    <col min="15366" max="15366" width="6.140625" style="124" bestFit="1" customWidth="1"/>
    <col min="15367" max="15367" width="6.7109375" style="124" customWidth="1"/>
    <col min="15368" max="15368" width="5.7109375" style="124" bestFit="1" customWidth="1"/>
    <col min="15369" max="15369" width="3.140625" style="124" bestFit="1" customWidth="1"/>
    <col min="15370" max="15370" width="4.140625" style="124" bestFit="1" customWidth="1"/>
    <col min="15371" max="15371" width="6.28515625" style="124" customWidth="1"/>
    <col min="15372" max="15373" width="6.140625" style="124" bestFit="1" customWidth="1"/>
    <col min="15374" max="15374" width="4.5703125" style="124" customWidth="1"/>
    <col min="15375" max="15375" width="5.5703125" style="124" bestFit="1" customWidth="1"/>
    <col min="15376" max="15376" width="4.85546875" style="124" customWidth="1"/>
    <col min="15377" max="15377" width="5.5703125" style="124" customWidth="1"/>
    <col min="15378" max="15378" width="5.85546875" style="124" customWidth="1"/>
    <col min="15379" max="15379" width="5.5703125" style="124" customWidth="1"/>
    <col min="15380" max="15380" width="3.42578125" style="124" customWidth="1"/>
    <col min="15381" max="15381" width="3.28515625" style="124" customWidth="1"/>
    <col min="15382" max="15382" width="4.28515625" style="124" bestFit="1" customWidth="1"/>
    <col min="15383" max="15383" width="5.28515625" style="124" bestFit="1" customWidth="1"/>
    <col min="15384" max="15384" width="6.140625" style="124" bestFit="1" customWidth="1"/>
    <col min="15385" max="15385" width="5.140625" style="124" bestFit="1" customWidth="1"/>
    <col min="15386" max="15386" width="7.5703125" style="124" customWidth="1"/>
    <col min="15387" max="15387" width="6.28515625" style="124" customWidth="1"/>
    <col min="15388" max="15390" width="5.42578125" style="124" customWidth="1"/>
    <col min="15391" max="15391" width="6.140625" style="124" customWidth="1"/>
    <col min="15392" max="15392" width="6.7109375" style="124" customWidth="1"/>
    <col min="15393" max="15393" width="8.7109375" style="124" customWidth="1"/>
    <col min="15394" max="15394" width="9" style="124" customWidth="1"/>
    <col min="15395" max="15604" width="11.42578125" style="124"/>
    <col min="15605" max="15605" width="0" style="124" hidden="1" customWidth="1"/>
    <col min="15606" max="15606" width="0.28515625" style="124" customWidth="1"/>
    <col min="15607" max="15607" width="3.7109375" style="124" customWidth="1"/>
    <col min="15608" max="15608" width="8.140625" style="124" customWidth="1"/>
    <col min="15609" max="15609" width="10.140625" style="124" customWidth="1"/>
    <col min="15610" max="15610" width="20" style="124" customWidth="1"/>
    <col min="15611" max="15611" width="8.140625" style="124" customWidth="1"/>
    <col min="15612" max="15612" width="8.42578125" style="124" customWidth="1"/>
    <col min="15613" max="15613" width="12.28515625" style="124" customWidth="1"/>
    <col min="15614" max="15614" width="6.7109375" style="124" customWidth="1"/>
    <col min="15615" max="15615" width="6.28515625" style="124" customWidth="1"/>
    <col min="15616" max="15616" width="8.42578125" style="124" customWidth="1"/>
    <col min="15617" max="15617" width="7.140625" style="124" customWidth="1"/>
    <col min="15618" max="15618" width="3.28515625" style="124" customWidth="1"/>
    <col min="15619" max="15619" width="3.5703125" style="124" customWidth="1"/>
    <col min="15620" max="15620" width="5.140625" style="124" customWidth="1"/>
    <col min="15621" max="15621" width="5.7109375" style="124" customWidth="1"/>
    <col min="15622" max="15622" width="6.140625" style="124" bestFit="1" customWidth="1"/>
    <col min="15623" max="15623" width="6.7109375" style="124" customWidth="1"/>
    <col min="15624" max="15624" width="5.7109375" style="124" bestFit="1" customWidth="1"/>
    <col min="15625" max="15625" width="3.140625" style="124" bestFit="1" customWidth="1"/>
    <col min="15626" max="15626" width="4.140625" style="124" bestFit="1" customWidth="1"/>
    <col min="15627" max="15627" width="6.28515625" style="124" customWidth="1"/>
    <col min="15628" max="15629" width="6.140625" style="124" bestFit="1" customWidth="1"/>
    <col min="15630" max="15630" width="4.5703125" style="124" customWidth="1"/>
    <col min="15631" max="15631" width="5.5703125" style="124" bestFit="1" customWidth="1"/>
    <col min="15632" max="15632" width="4.85546875" style="124" customWidth="1"/>
    <col min="15633" max="15633" width="5.5703125" style="124" customWidth="1"/>
    <col min="15634" max="15634" width="5.85546875" style="124" customWidth="1"/>
    <col min="15635" max="15635" width="5.5703125" style="124" customWidth="1"/>
    <col min="15636" max="15636" width="3.42578125" style="124" customWidth="1"/>
    <col min="15637" max="15637" width="3.28515625" style="124" customWidth="1"/>
    <col min="15638" max="15638" width="4.28515625" style="124" bestFit="1" customWidth="1"/>
    <col min="15639" max="15639" width="5.28515625" style="124" bestFit="1" customWidth="1"/>
    <col min="15640" max="15640" width="6.140625" style="124" bestFit="1" customWidth="1"/>
    <col min="15641" max="15641" width="5.140625" style="124" bestFit="1" customWidth="1"/>
    <col min="15642" max="15642" width="7.5703125" style="124" customWidth="1"/>
    <col min="15643" max="15643" width="6.28515625" style="124" customWidth="1"/>
    <col min="15644" max="15646" width="5.42578125" style="124" customWidth="1"/>
    <col min="15647" max="15647" width="6.140625" style="124" customWidth="1"/>
    <col min="15648" max="15648" width="6.7109375" style="124" customWidth="1"/>
    <col min="15649" max="15649" width="8.7109375" style="124" customWidth="1"/>
    <col min="15650" max="15650" width="9" style="124" customWidth="1"/>
    <col min="15651" max="15860" width="11.42578125" style="124"/>
    <col min="15861" max="15861" width="0" style="124" hidden="1" customWidth="1"/>
    <col min="15862" max="15862" width="0.28515625" style="124" customWidth="1"/>
    <col min="15863" max="15863" width="3.7109375" style="124" customWidth="1"/>
    <col min="15864" max="15864" width="8.140625" style="124" customWidth="1"/>
    <col min="15865" max="15865" width="10.140625" style="124" customWidth="1"/>
    <col min="15866" max="15866" width="20" style="124" customWidth="1"/>
    <col min="15867" max="15867" width="8.140625" style="124" customWidth="1"/>
    <col min="15868" max="15868" width="8.42578125" style="124" customWidth="1"/>
    <col min="15869" max="15869" width="12.28515625" style="124" customWidth="1"/>
    <col min="15870" max="15870" width="6.7109375" style="124" customWidth="1"/>
    <col min="15871" max="15871" width="6.28515625" style="124" customWidth="1"/>
    <col min="15872" max="15872" width="8.42578125" style="124" customWidth="1"/>
    <col min="15873" max="15873" width="7.140625" style="124" customWidth="1"/>
    <col min="15874" max="15874" width="3.28515625" style="124" customWidth="1"/>
    <col min="15875" max="15875" width="3.5703125" style="124" customWidth="1"/>
    <col min="15876" max="15876" width="5.140625" style="124" customWidth="1"/>
    <col min="15877" max="15877" width="5.7109375" style="124" customWidth="1"/>
    <col min="15878" max="15878" width="6.140625" style="124" bestFit="1" customWidth="1"/>
    <col min="15879" max="15879" width="6.7109375" style="124" customWidth="1"/>
    <col min="15880" max="15880" width="5.7109375" style="124" bestFit="1" customWidth="1"/>
    <col min="15881" max="15881" width="3.140625" style="124" bestFit="1" customWidth="1"/>
    <col min="15882" max="15882" width="4.140625" style="124" bestFit="1" customWidth="1"/>
    <col min="15883" max="15883" width="6.28515625" style="124" customWidth="1"/>
    <col min="15884" max="15885" width="6.140625" style="124" bestFit="1" customWidth="1"/>
    <col min="15886" max="15886" width="4.5703125" style="124" customWidth="1"/>
    <col min="15887" max="15887" width="5.5703125" style="124" bestFit="1" customWidth="1"/>
    <col min="15888" max="15888" width="4.85546875" style="124" customWidth="1"/>
    <col min="15889" max="15889" width="5.5703125" style="124" customWidth="1"/>
    <col min="15890" max="15890" width="5.85546875" style="124" customWidth="1"/>
    <col min="15891" max="15891" width="5.5703125" style="124" customWidth="1"/>
    <col min="15892" max="15892" width="3.42578125" style="124" customWidth="1"/>
    <col min="15893" max="15893" width="3.28515625" style="124" customWidth="1"/>
    <col min="15894" max="15894" width="4.28515625" style="124" bestFit="1" customWidth="1"/>
    <col min="15895" max="15895" width="5.28515625" style="124" bestFit="1" customWidth="1"/>
    <col min="15896" max="15896" width="6.140625" style="124" bestFit="1" customWidth="1"/>
    <col min="15897" max="15897" width="5.140625" style="124" bestFit="1" customWidth="1"/>
    <col min="15898" max="15898" width="7.5703125" style="124" customWidth="1"/>
    <col min="15899" max="15899" width="6.28515625" style="124" customWidth="1"/>
    <col min="15900" max="15902" width="5.42578125" style="124" customWidth="1"/>
    <col min="15903" max="15903" width="6.140625" style="124" customWidth="1"/>
    <col min="15904" max="15904" width="6.7109375" style="124" customWidth="1"/>
    <col min="15905" max="15905" width="8.7109375" style="124" customWidth="1"/>
    <col min="15906" max="15906" width="9" style="124" customWidth="1"/>
    <col min="15907" max="16116" width="11.42578125" style="124"/>
    <col min="16117" max="16117" width="0" style="124" hidden="1" customWidth="1"/>
    <col min="16118" max="16118" width="0.28515625" style="124" customWidth="1"/>
    <col min="16119" max="16119" width="3.7109375" style="124" customWidth="1"/>
    <col min="16120" max="16120" width="8.140625" style="124" customWidth="1"/>
    <col min="16121" max="16121" width="10.140625" style="124" customWidth="1"/>
    <col min="16122" max="16122" width="20" style="124" customWidth="1"/>
    <col min="16123" max="16123" width="8.140625" style="124" customWidth="1"/>
    <col min="16124" max="16124" width="8.42578125" style="124" customWidth="1"/>
    <col min="16125" max="16125" width="12.28515625" style="124" customWidth="1"/>
    <col min="16126" max="16126" width="6.7109375" style="124" customWidth="1"/>
    <col min="16127" max="16127" width="6.28515625" style="124" customWidth="1"/>
    <col min="16128" max="16128" width="8.42578125" style="124" customWidth="1"/>
    <col min="16129" max="16129" width="7.140625" style="124" customWidth="1"/>
    <col min="16130" max="16130" width="3.28515625" style="124" customWidth="1"/>
    <col min="16131" max="16131" width="3.5703125" style="124" customWidth="1"/>
    <col min="16132" max="16132" width="5.140625" style="124" customWidth="1"/>
    <col min="16133" max="16133" width="5.7109375" style="124" customWidth="1"/>
    <col min="16134" max="16134" width="6.140625" style="124" bestFit="1" customWidth="1"/>
    <col min="16135" max="16135" width="6.7109375" style="124" customWidth="1"/>
    <col min="16136" max="16136" width="5.7109375" style="124" bestFit="1" customWidth="1"/>
    <col min="16137" max="16137" width="3.140625" style="124" bestFit="1" customWidth="1"/>
    <col min="16138" max="16138" width="4.140625" style="124" bestFit="1" customWidth="1"/>
    <col min="16139" max="16139" width="6.28515625" style="124" customWidth="1"/>
    <col min="16140" max="16141" width="6.140625" style="124" bestFit="1" customWidth="1"/>
    <col min="16142" max="16142" width="4.5703125" style="124" customWidth="1"/>
    <col min="16143" max="16143" width="5.5703125" style="124" bestFit="1" customWidth="1"/>
    <col min="16144" max="16144" width="4.85546875" style="124" customWidth="1"/>
    <col min="16145" max="16145" width="5.5703125" style="124" customWidth="1"/>
    <col min="16146" max="16146" width="5.85546875" style="124" customWidth="1"/>
    <col min="16147" max="16147" width="5.5703125" style="124" customWidth="1"/>
    <col min="16148" max="16148" width="3.42578125" style="124" customWidth="1"/>
    <col min="16149" max="16149" width="3.28515625" style="124" customWidth="1"/>
    <col min="16150" max="16150" width="4.28515625" style="124" bestFit="1" customWidth="1"/>
    <col min="16151" max="16151" width="5.28515625" style="124" bestFit="1" customWidth="1"/>
    <col min="16152" max="16152" width="6.140625" style="124" bestFit="1" customWidth="1"/>
    <col min="16153" max="16153" width="5.140625" style="124" bestFit="1" customWidth="1"/>
    <col min="16154" max="16154" width="7.5703125" style="124" customWidth="1"/>
    <col min="16155" max="16155" width="6.28515625" style="124" customWidth="1"/>
    <col min="16156" max="16158" width="5.42578125" style="124" customWidth="1"/>
    <col min="16159" max="16159" width="6.140625" style="124" customWidth="1"/>
    <col min="16160" max="16160" width="6.7109375" style="124" customWidth="1"/>
    <col min="16161" max="16161" width="8.7109375" style="124" customWidth="1"/>
    <col min="16162" max="16162" width="9" style="124" customWidth="1"/>
    <col min="16163" max="16384" width="11.42578125" style="124"/>
  </cols>
  <sheetData>
    <row r="1" spans="1:62">
      <c r="A1" s="995" t="s">
        <v>0</v>
      </c>
      <c r="B1" s="995"/>
      <c r="C1" s="995"/>
      <c r="D1" s="995"/>
      <c r="E1" s="995"/>
      <c r="F1" s="995"/>
      <c r="G1" s="995"/>
      <c r="H1" s="995"/>
      <c r="I1" s="995"/>
      <c r="J1" s="995"/>
      <c r="K1" s="995"/>
      <c r="L1" s="995"/>
      <c r="M1" s="995"/>
      <c r="N1" s="995"/>
      <c r="O1" s="995"/>
      <c r="P1" s="995"/>
      <c r="Q1" s="995"/>
      <c r="R1" s="995"/>
      <c r="S1" s="995"/>
      <c r="T1" s="995"/>
      <c r="U1" s="995"/>
      <c r="V1" s="995"/>
      <c r="W1" s="995"/>
      <c r="X1" s="995"/>
      <c r="Y1" s="995"/>
      <c r="Z1" s="995"/>
      <c r="AA1" s="995"/>
      <c r="AB1" s="995"/>
      <c r="AC1" s="995"/>
      <c r="AD1" s="995"/>
      <c r="AE1" s="995"/>
      <c r="AF1" s="995"/>
      <c r="AG1" s="995"/>
      <c r="AH1" s="995"/>
      <c r="AI1" s="995"/>
      <c r="AJ1" s="995"/>
      <c r="AK1" s="995"/>
      <c r="AL1" s="995"/>
      <c r="AM1" s="995"/>
      <c r="AN1" s="995"/>
      <c r="AO1" s="995"/>
      <c r="AP1" s="995"/>
      <c r="AQ1" s="995"/>
      <c r="AR1" s="995"/>
    </row>
    <row r="2" spans="1:62">
      <c r="A2" s="995" t="s">
        <v>1</v>
      </c>
      <c r="B2" s="995"/>
      <c r="C2" s="995"/>
      <c r="D2" s="995"/>
      <c r="E2" s="995"/>
      <c r="F2" s="995"/>
      <c r="G2" s="995"/>
      <c r="H2" s="995"/>
      <c r="I2" s="995"/>
      <c r="J2" s="995"/>
      <c r="K2" s="995"/>
      <c r="L2" s="995"/>
      <c r="M2" s="995"/>
      <c r="N2" s="995"/>
      <c r="O2" s="995"/>
      <c r="P2" s="995"/>
      <c r="Q2" s="995"/>
      <c r="R2" s="995"/>
      <c r="S2" s="995"/>
      <c r="T2" s="995"/>
      <c r="U2" s="995"/>
      <c r="V2" s="995"/>
      <c r="W2" s="995"/>
      <c r="X2" s="995"/>
      <c r="Y2" s="995"/>
      <c r="Z2" s="995"/>
      <c r="AA2" s="995"/>
      <c r="AB2" s="995"/>
      <c r="AC2" s="995"/>
      <c r="AD2" s="995"/>
      <c r="AE2" s="995"/>
      <c r="AF2" s="995"/>
      <c r="AG2" s="995"/>
      <c r="AH2" s="995"/>
      <c r="AI2" s="995"/>
      <c r="AJ2" s="995"/>
      <c r="AK2" s="995"/>
      <c r="AL2" s="995"/>
      <c r="AM2" s="995"/>
      <c r="AN2" s="995"/>
      <c r="AO2" s="995"/>
      <c r="AP2" s="995"/>
      <c r="AQ2" s="995"/>
      <c r="AR2" s="995"/>
    </row>
    <row r="3" spans="1:62" ht="14.25" customHeight="1">
      <c r="B3" s="723"/>
      <c r="C3" s="723"/>
      <c r="D3" s="723" t="s">
        <v>915</v>
      </c>
      <c r="E3" s="238"/>
      <c r="F3" s="238"/>
      <c r="H3" s="239"/>
      <c r="I3" s="239"/>
      <c r="J3" s="239"/>
      <c r="K3" s="724"/>
      <c r="L3" s="724"/>
      <c r="M3" s="724"/>
      <c r="N3" s="724"/>
      <c r="O3" s="725"/>
      <c r="P3" s="725"/>
      <c r="Q3" s="725"/>
      <c r="R3" s="724"/>
      <c r="S3" s="724"/>
      <c r="T3" s="724"/>
      <c r="U3" s="239"/>
      <c r="V3" s="239"/>
      <c r="W3" s="239"/>
      <c r="X3" s="239"/>
      <c r="Y3" s="239"/>
      <c r="Z3" s="239"/>
      <c r="AA3" s="239"/>
      <c r="AB3" s="239"/>
      <c r="AC3" s="239"/>
      <c r="AD3" s="724"/>
      <c r="AE3" s="724"/>
      <c r="AF3" s="724"/>
      <c r="AG3" s="239"/>
      <c r="AH3" s="239"/>
      <c r="AI3" s="239"/>
      <c r="AJ3" s="239"/>
      <c r="AK3" s="239"/>
      <c r="AL3" s="239"/>
      <c r="AM3" s="239"/>
      <c r="AN3" s="239"/>
      <c r="AO3" s="239"/>
      <c r="AP3" s="239"/>
      <c r="AQ3" s="239"/>
      <c r="AR3" s="239"/>
    </row>
    <row r="4" spans="1:62" ht="14.25" customHeight="1">
      <c r="B4" s="723"/>
      <c r="C4" s="723"/>
      <c r="D4" s="723" t="s">
        <v>916</v>
      </c>
      <c r="E4" s="238"/>
      <c r="F4" s="238"/>
      <c r="H4" s="239"/>
      <c r="I4" s="239"/>
      <c r="J4" s="239"/>
      <c r="K4" s="724"/>
      <c r="L4" s="724"/>
      <c r="M4" s="724"/>
      <c r="N4" s="724"/>
      <c r="O4" s="725"/>
      <c r="P4" s="725"/>
      <c r="Q4" s="725"/>
      <c r="R4" s="724"/>
      <c r="S4" s="724"/>
      <c r="T4" s="724"/>
      <c r="U4" s="239"/>
      <c r="V4" s="239"/>
      <c r="W4" s="239"/>
      <c r="X4" s="239"/>
      <c r="Y4" s="239"/>
      <c r="Z4" s="239"/>
      <c r="AA4" s="239"/>
      <c r="AB4" s="239"/>
      <c r="AC4" s="239"/>
      <c r="AD4" s="724"/>
      <c r="AE4" s="724"/>
      <c r="AF4" s="724"/>
      <c r="AG4" s="239"/>
      <c r="AH4" s="239"/>
      <c r="AI4" s="239"/>
      <c r="AJ4" s="239"/>
      <c r="AK4" s="239"/>
      <c r="AL4" s="239"/>
      <c r="AM4" s="239"/>
      <c r="AN4" s="239"/>
      <c r="AO4" s="239"/>
      <c r="AP4" s="239"/>
      <c r="AQ4" s="239"/>
      <c r="AR4" s="239"/>
    </row>
    <row r="5" spans="1:62" ht="14.25" customHeight="1">
      <c r="B5" s="726"/>
      <c r="C5" s="726"/>
      <c r="D5" s="726" t="s">
        <v>917</v>
      </c>
      <c r="E5" s="238"/>
      <c r="F5" s="238"/>
      <c r="H5" s="239"/>
      <c r="I5" s="239"/>
      <c r="J5" s="207"/>
      <c r="K5" s="698"/>
      <c r="L5" s="698"/>
      <c r="M5" s="698"/>
      <c r="N5" s="698"/>
      <c r="O5" s="240"/>
      <c r="P5" s="240"/>
      <c r="Q5" s="240"/>
      <c r="R5" s="698"/>
      <c r="S5" s="698"/>
      <c r="T5" s="698"/>
      <c r="U5" s="241"/>
      <c r="V5" s="241"/>
      <c r="W5" s="241"/>
      <c r="X5" s="241"/>
      <c r="Y5" s="241"/>
      <c r="Z5" s="241"/>
      <c r="AA5" s="241"/>
      <c r="AB5" s="241"/>
      <c r="AC5" s="241"/>
      <c r="AD5" s="698"/>
      <c r="AE5" s="698"/>
      <c r="AF5" s="698"/>
      <c r="AG5" s="241"/>
      <c r="AH5" s="241"/>
      <c r="AI5" s="241"/>
      <c r="AJ5" s="241"/>
      <c r="AK5" s="241"/>
      <c r="AL5" s="241"/>
      <c r="AM5" s="241"/>
      <c r="AN5" s="241"/>
      <c r="AO5" s="241"/>
      <c r="AP5" s="241"/>
      <c r="AQ5" s="241"/>
      <c r="AR5" s="241"/>
      <c r="AS5" s="242"/>
      <c r="AT5" s="242"/>
      <c r="AU5" s="242"/>
      <c r="AV5" s="242"/>
      <c r="AW5" s="242"/>
      <c r="AX5" s="242"/>
      <c r="AY5" s="242"/>
      <c r="AZ5" s="242"/>
      <c r="BA5" s="242"/>
      <c r="BB5" s="242"/>
      <c r="BC5" s="242"/>
      <c r="BD5" s="242"/>
      <c r="BE5" s="242"/>
      <c r="BF5" s="242"/>
      <c r="BG5" s="242"/>
      <c r="BH5" s="242"/>
      <c r="BI5" s="242"/>
      <c r="BJ5" s="242"/>
    </row>
    <row r="6" spans="1:62" s="243" customFormat="1" ht="15.75" customHeight="1">
      <c r="A6" s="872" t="s">
        <v>5</v>
      </c>
      <c r="B6" s="872"/>
      <c r="C6" s="872"/>
      <c r="D6" s="873" t="s">
        <v>6</v>
      </c>
      <c r="E6" s="874" t="s">
        <v>7</v>
      </c>
      <c r="F6" s="872" t="s">
        <v>8</v>
      </c>
      <c r="G6" s="872" t="s">
        <v>9</v>
      </c>
      <c r="H6" s="872" t="s">
        <v>10</v>
      </c>
      <c r="I6" s="872" t="s">
        <v>11</v>
      </c>
      <c r="J6" s="872" t="s">
        <v>12</v>
      </c>
      <c r="K6" s="872" t="s">
        <v>13</v>
      </c>
      <c r="L6" s="876" t="s">
        <v>14</v>
      </c>
      <c r="M6" s="877"/>
      <c r="N6" s="877"/>
      <c r="O6" s="877"/>
      <c r="P6" s="877"/>
      <c r="Q6" s="877"/>
      <c r="R6" s="877"/>
      <c r="S6" s="877"/>
      <c r="T6" s="877"/>
      <c r="U6" s="877"/>
      <c r="V6" s="877"/>
      <c r="W6" s="877"/>
      <c r="X6" s="877"/>
      <c r="Y6" s="877"/>
      <c r="Z6" s="877"/>
      <c r="AA6" s="877"/>
      <c r="AB6" s="877"/>
      <c r="AC6" s="877"/>
      <c r="AD6" s="877"/>
      <c r="AE6" s="877"/>
      <c r="AF6" s="877"/>
      <c r="AG6" s="877"/>
      <c r="AH6" s="877"/>
      <c r="AI6" s="877"/>
      <c r="AJ6" s="878"/>
      <c r="AK6" s="872" t="s">
        <v>15</v>
      </c>
      <c r="AL6" s="872"/>
      <c r="AM6" s="872"/>
      <c r="AN6" s="872"/>
      <c r="AO6" s="872"/>
      <c r="AP6" s="872" t="s">
        <v>16</v>
      </c>
      <c r="AQ6" s="872" t="s">
        <v>17</v>
      </c>
      <c r="AR6" s="872" t="s">
        <v>18</v>
      </c>
    </row>
    <row r="7" spans="1:62" s="243" customFormat="1">
      <c r="A7" s="872" t="s">
        <v>20</v>
      </c>
      <c r="B7" s="872" t="s">
        <v>21</v>
      </c>
      <c r="C7" s="872" t="s">
        <v>22</v>
      </c>
      <c r="D7" s="873"/>
      <c r="E7" s="874"/>
      <c r="F7" s="872"/>
      <c r="G7" s="872"/>
      <c r="H7" s="872"/>
      <c r="I7" s="872"/>
      <c r="J7" s="872"/>
      <c r="K7" s="872"/>
      <c r="L7" s="875" t="s">
        <v>23</v>
      </c>
      <c r="M7" s="875"/>
      <c r="N7" s="875"/>
      <c r="O7" s="875"/>
      <c r="P7" s="875"/>
      <c r="Q7" s="875"/>
      <c r="R7" s="875" t="s">
        <v>24</v>
      </c>
      <c r="S7" s="875"/>
      <c r="T7" s="875"/>
      <c r="U7" s="875"/>
      <c r="V7" s="875"/>
      <c r="W7" s="875"/>
      <c r="X7" s="875" t="s">
        <v>25</v>
      </c>
      <c r="Y7" s="875"/>
      <c r="Z7" s="875"/>
      <c r="AA7" s="875"/>
      <c r="AB7" s="875"/>
      <c r="AC7" s="875"/>
      <c r="AD7" s="875" t="s">
        <v>26</v>
      </c>
      <c r="AE7" s="875"/>
      <c r="AF7" s="875"/>
      <c r="AG7" s="875"/>
      <c r="AH7" s="875"/>
      <c r="AI7" s="875"/>
      <c r="AJ7" s="874" t="s">
        <v>162</v>
      </c>
      <c r="AK7" s="872" t="s">
        <v>28</v>
      </c>
      <c r="AL7" s="872" t="s">
        <v>29</v>
      </c>
      <c r="AM7" s="872" t="s">
        <v>30</v>
      </c>
      <c r="AN7" s="872" t="s">
        <v>31</v>
      </c>
      <c r="AO7" s="872" t="s">
        <v>32</v>
      </c>
      <c r="AP7" s="872"/>
      <c r="AQ7" s="872"/>
      <c r="AR7" s="872"/>
    </row>
    <row r="8" spans="1:62" s="243" customFormat="1">
      <c r="A8" s="872"/>
      <c r="B8" s="872"/>
      <c r="C8" s="872"/>
      <c r="D8" s="873"/>
      <c r="E8" s="874"/>
      <c r="F8" s="872"/>
      <c r="G8" s="872"/>
      <c r="H8" s="872"/>
      <c r="I8" s="872"/>
      <c r="J8" s="872"/>
      <c r="K8" s="872"/>
      <c r="L8" s="875" t="s">
        <v>33</v>
      </c>
      <c r="M8" s="875"/>
      <c r="N8" s="875"/>
      <c r="O8" s="875" t="s">
        <v>34</v>
      </c>
      <c r="P8" s="875"/>
      <c r="Q8" s="875"/>
      <c r="R8" s="875" t="s">
        <v>33</v>
      </c>
      <c r="S8" s="875"/>
      <c r="T8" s="875"/>
      <c r="U8" s="875" t="s">
        <v>34</v>
      </c>
      <c r="V8" s="875"/>
      <c r="W8" s="875"/>
      <c r="X8" s="875" t="s">
        <v>33</v>
      </c>
      <c r="Y8" s="875"/>
      <c r="Z8" s="875"/>
      <c r="AA8" s="875" t="s">
        <v>34</v>
      </c>
      <c r="AB8" s="875"/>
      <c r="AC8" s="875"/>
      <c r="AD8" s="875" t="s">
        <v>33</v>
      </c>
      <c r="AE8" s="875"/>
      <c r="AF8" s="875"/>
      <c r="AG8" s="875" t="s">
        <v>34</v>
      </c>
      <c r="AH8" s="875"/>
      <c r="AI8" s="875"/>
      <c r="AJ8" s="874"/>
      <c r="AK8" s="872"/>
      <c r="AL8" s="872"/>
      <c r="AM8" s="872"/>
      <c r="AN8" s="872"/>
      <c r="AO8" s="872"/>
      <c r="AP8" s="872"/>
      <c r="AQ8" s="872"/>
      <c r="AR8" s="872"/>
    </row>
    <row r="9" spans="1:62" s="243" customFormat="1">
      <c r="A9" s="872"/>
      <c r="B9" s="872"/>
      <c r="C9" s="872"/>
      <c r="D9" s="873"/>
      <c r="E9" s="874"/>
      <c r="F9" s="872"/>
      <c r="G9" s="872"/>
      <c r="H9" s="872"/>
      <c r="I9" s="872"/>
      <c r="J9" s="872"/>
      <c r="K9" s="872"/>
      <c r="L9" s="244" t="s">
        <v>35</v>
      </c>
      <c r="M9" s="244" t="s">
        <v>36</v>
      </c>
      <c r="N9" s="244" t="s">
        <v>37</v>
      </c>
      <c r="O9" s="244" t="s">
        <v>35</v>
      </c>
      <c r="P9" s="244" t="s">
        <v>36</v>
      </c>
      <c r="Q9" s="244" t="s">
        <v>37</v>
      </c>
      <c r="R9" s="244" t="s">
        <v>38</v>
      </c>
      <c r="S9" s="244" t="s">
        <v>37</v>
      </c>
      <c r="T9" s="244" t="s">
        <v>39</v>
      </c>
      <c r="U9" s="244" t="s">
        <v>38</v>
      </c>
      <c r="V9" s="244" t="s">
        <v>37</v>
      </c>
      <c r="W9" s="244" t="s">
        <v>39</v>
      </c>
      <c r="X9" s="244" t="s">
        <v>39</v>
      </c>
      <c r="Y9" s="244" t="s">
        <v>38</v>
      </c>
      <c r="Z9" s="244" t="s">
        <v>40</v>
      </c>
      <c r="AA9" s="244" t="s">
        <v>39</v>
      </c>
      <c r="AB9" s="244" t="s">
        <v>38</v>
      </c>
      <c r="AC9" s="244" t="s">
        <v>40</v>
      </c>
      <c r="AD9" s="244" t="s">
        <v>41</v>
      </c>
      <c r="AE9" s="244" t="s">
        <v>42</v>
      </c>
      <c r="AF9" s="244" t="s">
        <v>43</v>
      </c>
      <c r="AG9" s="244" t="s">
        <v>41</v>
      </c>
      <c r="AH9" s="244" t="s">
        <v>42</v>
      </c>
      <c r="AI9" s="244" t="s">
        <v>43</v>
      </c>
      <c r="AJ9" s="874"/>
      <c r="AK9" s="872"/>
      <c r="AL9" s="872"/>
      <c r="AM9" s="872"/>
      <c r="AN9" s="872"/>
      <c r="AO9" s="872"/>
      <c r="AP9" s="872"/>
      <c r="AQ9" s="872"/>
      <c r="AR9" s="872"/>
    </row>
    <row r="10" spans="1:62" ht="47.25">
      <c r="A10" s="152" t="s">
        <v>44</v>
      </c>
      <c r="B10" s="152" t="s">
        <v>45</v>
      </c>
      <c r="C10" s="152" t="s">
        <v>918</v>
      </c>
      <c r="D10" s="245" t="s">
        <v>919</v>
      </c>
      <c r="E10" s="246"/>
      <c r="F10" s="130"/>
      <c r="G10" s="245"/>
      <c r="H10" s="245"/>
      <c r="I10" s="134">
        <f t="shared" ref="I10:J10" si="0">SUM(I11:I18)</f>
        <v>4.1097749152797727</v>
      </c>
      <c r="J10" s="134">
        <f t="shared" si="0"/>
        <v>22</v>
      </c>
      <c r="K10" s="134">
        <f>SUM(K11:K18)</f>
        <v>100</v>
      </c>
      <c r="L10" s="135"/>
      <c r="M10" s="135"/>
      <c r="N10" s="135"/>
      <c r="O10" s="135">
        <f>SUM(O11:O18)</f>
        <v>92880</v>
      </c>
      <c r="P10" s="135">
        <f>SUM(P11:P18)</f>
        <v>19300</v>
      </c>
      <c r="Q10" s="135">
        <f>SUM(Q11:Q18)</f>
        <v>18770</v>
      </c>
      <c r="R10" s="135"/>
      <c r="S10" s="135"/>
      <c r="T10" s="135"/>
      <c r="U10" s="135">
        <f>SUM(U11:U18)</f>
        <v>82300</v>
      </c>
      <c r="V10" s="135">
        <f>SUM(V11:V18)</f>
        <v>23300</v>
      </c>
      <c r="W10" s="135">
        <f>SUM(W11:W18)</f>
        <v>23280</v>
      </c>
      <c r="X10" s="135"/>
      <c r="Y10" s="135"/>
      <c r="Z10" s="135"/>
      <c r="AA10" s="135">
        <f>SUM(AA11:AA18)</f>
        <v>87940</v>
      </c>
      <c r="AB10" s="135">
        <f>SUM(AB11:AB18)</f>
        <v>186409</v>
      </c>
      <c r="AC10" s="135">
        <f>SUM(AC11:AC18)</f>
        <v>87939</v>
      </c>
      <c r="AD10" s="135"/>
      <c r="AE10" s="135"/>
      <c r="AF10" s="135"/>
      <c r="AG10" s="135">
        <f t="shared" ref="AG10:AL10" si="1">SUM(AG11:AG18)</f>
        <v>27939</v>
      </c>
      <c r="AH10" s="135">
        <f t="shared" si="1"/>
        <v>30939</v>
      </c>
      <c r="AI10" s="135">
        <f t="shared" si="1"/>
        <v>171409.99</v>
      </c>
      <c r="AJ10" s="135">
        <f t="shared" si="1"/>
        <v>852405.99</v>
      </c>
      <c r="AK10" s="135">
        <f t="shared" si="1"/>
        <v>800000</v>
      </c>
      <c r="AL10" s="135">
        <f t="shared" si="1"/>
        <v>52405.99</v>
      </c>
      <c r="AM10" s="135"/>
      <c r="AN10" s="135"/>
      <c r="AO10" s="135"/>
      <c r="AP10" s="245"/>
      <c r="AQ10" s="245"/>
      <c r="AR10" s="245"/>
    </row>
    <row r="11" spans="1:62" ht="141.75">
      <c r="A11" s="935" t="s">
        <v>44</v>
      </c>
      <c r="B11" s="935" t="s">
        <v>45</v>
      </c>
      <c r="C11" s="935" t="s">
        <v>920</v>
      </c>
      <c r="D11" s="937" t="s">
        <v>921</v>
      </c>
      <c r="E11" s="136">
        <f t="shared" ref="E11:E22" si="2">L11+M11+N11+R11+S11+T11+X11+Y11+Z11+AD11+AE11+AF11</f>
        <v>5</v>
      </c>
      <c r="F11" s="247" t="s">
        <v>1061</v>
      </c>
      <c r="G11" s="703" t="s">
        <v>922</v>
      </c>
      <c r="H11" s="248" t="s">
        <v>923</v>
      </c>
      <c r="I11" s="249">
        <f t="shared" ref="I11:I18" si="3">AJ11/AJ$58*100</f>
        <v>1.8590284798838341</v>
      </c>
      <c r="J11" s="949">
        <v>22</v>
      </c>
      <c r="K11" s="250">
        <v>30</v>
      </c>
      <c r="L11" s="251">
        <v>1</v>
      </c>
      <c r="M11" s="251"/>
      <c r="N11" s="251"/>
      <c r="O11" s="252">
        <f>13580+60000</f>
        <v>73580</v>
      </c>
      <c r="P11" s="252"/>
      <c r="Q11" s="252"/>
      <c r="R11" s="251">
        <v>1</v>
      </c>
      <c r="S11" s="251"/>
      <c r="T11" s="251"/>
      <c r="U11" s="251">
        <f>45000+7000</f>
        <v>52000</v>
      </c>
      <c r="V11" s="251"/>
      <c r="W11" s="251"/>
      <c r="X11" s="251">
        <v>1</v>
      </c>
      <c r="Y11" s="251"/>
      <c r="Z11" s="251">
        <v>1</v>
      </c>
      <c r="AA11" s="251">
        <f>10000+45000</f>
        <v>55000</v>
      </c>
      <c r="AB11" s="251"/>
      <c r="AC11" s="251">
        <f>15000+45000</f>
        <v>60000</v>
      </c>
      <c r="AD11" s="251"/>
      <c r="AE11" s="251"/>
      <c r="AF11" s="251">
        <v>1</v>
      </c>
      <c r="AG11" s="251"/>
      <c r="AH11" s="251"/>
      <c r="AI11" s="251">
        <f>10000+135000</f>
        <v>145000</v>
      </c>
      <c r="AJ11" s="253">
        <f t="shared" ref="AJ11:AJ18" si="4">+(O11+P11+Q11)+(U11+V11+W11)+(AA11+AB11+AC11)+(AG11+AH11+AI11)</f>
        <v>385580</v>
      </c>
      <c r="AK11" s="254">
        <f>AJ11</f>
        <v>385580</v>
      </c>
      <c r="AL11" s="23"/>
      <c r="AM11" s="23"/>
      <c r="AN11" s="23"/>
      <c r="AO11" s="23"/>
      <c r="AP11" s="944" t="s">
        <v>924</v>
      </c>
      <c r="AQ11" s="967" t="s">
        <v>925</v>
      </c>
      <c r="AR11" s="255" t="s">
        <v>926</v>
      </c>
    </row>
    <row r="12" spans="1:62" ht="47.25">
      <c r="A12" s="936"/>
      <c r="B12" s="936"/>
      <c r="C12" s="936"/>
      <c r="D12" s="947"/>
      <c r="E12" s="136">
        <f t="shared" si="2"/>
        <v>2</v>
      </c>
      <c r="F12" s="247" t="s">
        <v>171</v>
      </c>
      <c r="G12" s="220" t="s">
        <v>927</v>
      </c>
      <c r="H12" s="256" t="s">
        <v>171</v>
      </c>
      <c r="I12" s="249">
        <f t="shared" si="3"/>
        <v>4.8213820215878264E-2</v>
      </c>
      <c r="J12" s="950"/>
      <c r="K12" s="250">
        <v>10</v>
      </c>
      <c r="L12" s="251"/>
      <c r="M12" s="251"/>
      <c r="N12" s="251"/>
      <c r="O12" s="251"/>
      <c r="P12" s="251"/>
      <c r="Q12" s="251"/>
      <c r="R12" s="251">
        <v>1</v>
      </c>
      <c r="S12" s="251"/>
      <c r="T12" s="251"/>
      <c r="U12" s="251">
        <v>5000</v>
      </c>
      <c r="V12" s="251"/>
      <c r="W12" s="251"/>
      <c r="X12" s="251">
        <v>1</v>
      </c>
      <c r="Y12" s="251"/>
      <c r="Z12" s="251"/>
      <c r="AA12" s="251">
        <v>5000</v>
      </c>
      <c r="AB12" s="251"/>
      <c r="AC12" s="251"/>
      <c r="AD12" s="251"/>
      <c r="AE12" s="251"/>
      <c r="AF12" s="251"/>
      <c r="AG12" s="251"/>
      <c r="AH12" s="251"/>
      <c r="AI12" s="251"/>
      <c r="AJ12" s="253">
        <f t="shared" si="4"/>
        <v>10000</v>
      </c>
      <c r="AK12" s="254">
        <f t="shared" ref="AK12:AK36" si="5">AJ12</f>
        <v>10000</v>
      </c>
      <c r="AL12" s="23"/>
      <c r="AM12" s="23"/>
      <c r="AN12" s="23"/>
      <c r="AO12" s="23"/>
      <c r="AP12" s="945"/>
      <c r="AQ12" s="968"/>
      <c r="AR12" s="189" t="s">
        <v>928</v>
      </c>
    </row>
    <row r="13" spans="1:62" ht="94.5">
      <c r="A13" s="936"/>
      <c r="B13" s="936"/>
      <c r="C13" s="936"/>
      <c r="D13" s="947"/>
      <c r="E13" s="136">
        <f t="shared" si="2"/>
        <v>1500</v>
      </c>
      <c r="F13" s="247" t="s">
        <v>929</v>
      </c>
      <c r="G13" s="220" t="s">
        <v>930</v>
      </c>
      <c r="H13" s="256" t="s">
        <v>923</v>
      </c>
      <c r="I13" s="249">
        <f t="shared" si="3"/>
        <v>0.11571316851810784</v>
      </c>
      <c r="J13" s="950"/>
      <c r="K13" s="250">
        <v>10</v>
      </c>
      <c r="L13" s="251">
        <v>125</v>
      </c>
      <c r="M13" s="251">
        <v>125</v>
      </c>
      <c r="N13" s="251">
        <v>125</v>
      </c>
      <c r="O13" s="251">
        <v>2000</v>
      </c>
      <c r="P13" s="251">
        <v>2000</v>
      </c>
      <c r="Q13" s="251">
        <v>2000</v>
      </c>
      <c r="R13" s="251">
        <v>125</v>
      </c>
      <c r="S13" s="251">
        <v>125</v>
      </c>
      <c r="T13" s="251">
        <v>125</v>
      </c>
      <c r="U13" s="251">
        <v>2000</v>
      </c>
      <c r="V13" s="251">
        <v>2000</v>
      </c>
      <c r="W13" s="251">
        <v>2000</v>
      </c>
      <c r="X13" s="251">
        <v>125</v>
      </c>
      <c r="Y13" s="251">
        <v>125</v>
      </c>
      <c r="Z13" s="251">
        <v>125</v>
      </c>
      <c r="AA13" s="251">
        <v>2000</v>
      </c>
      <c r="AB13" s="251">
        <v>2000</v>
      </c>
      <c r="AC13" s="251">
        <v>2000</v>
      </c>
      <c r="AD13" s="251">
        <v>125</v>
      </c>
      <c r="AE13" s="251">
        <v>125</v>
      </c>
      <c r="AF13" s="251">
        <v>125</v>
      </c>
      <c r="AG13" s="251">
        <v>2000</v>
      </c>
      <c r="AH13" s="251">
        <v>2000</v>
      </c>
      <c r="AI13" s="251">
        <v>2000</v>
      </c>
      <c r="AJ13" s="253">
        <f t="shared" si="4"/>
        <v>24000</v>
      </c>
      <c r="AK13" s="254">
        <f t="shared" si="5"/>
        <v>24000</v>
      </c>
      <c r="AL13" s="23"/>
      <c r="AM13" s="23"/>
      <c r="AN13" s="23"/>
      <c r="AO13" s="23"/>
      <c r="AP13" s="945"/>
      <c r="AQ13" s="968"/>
      <c r="AR13" s="189" t="s">
        <v>931</v>
      </c>
    </row>
    <row r="14" spans="1:62" ht="47.25">
      <c r="A14" s="936"/>
      <c r="B14" s="936"/>
      <c r="C14" s="936"/>
      <c r="D14" s="947"/>
      <c r="E14" s="136">
        <f t="shared" si="2"/>
        <v>357</v>
      </c>
      <c r="F14" s="247" t="s">
        <v>168</v>
      </c>
      <c r="G14" s="257" t="s">
        <v>932</v>
      </c>
      <c r="H14" s="248" t="s">
        <v>923</v>
      </c>
      <c r="I14" s="249">
        <f t="shared" si="3"/>
        <v>1.0000510589177469</v>
      </c>
      <c r="J14" s="950"/>
      <c r="K14" s="250">
        <v>10</v>
      </c>
      <c r="L14" s="251">
        <f>20+10</f>
        <v>30</v>
      </c>
      <c r="M14" s="251">
        <f>20+10</f>
        <v>30</v>
      </c>
      <c r="N14" s="251">
        <v>30</v>
      </c>
      <c r="O14" s="251">
        <f>800+1800+11000+960+1040+200+400+1100</f>
        <v>17300</v>
      </c>
      <c r="P14" s="251">
        <f>800+1800+11000+960+1040+200+400+1100</f>
        <v>17300</v>
      </c>
      <c r="Q14" s="251">
        <f>800+1800+11000+430+1040+200+400+1100</f>
        <v>16770</v>
      </c>
      <c r="R14" s="251">
        <f>20+9</f>
        <v>29</v>
      </c>
      <c r="S14" s="251">
        <f>20+11</f>
        <v>31</v>
      </c>
      <c r="T14" s="251">
        <f>20+10</f>
        <v>30</v>
      </c>
      <c r="U14" s="251">
        <v>17300</v>
      </c>
      <c r="V14" s="251">
        <v>21300</v>
      </c>
      <c r="W14" s="251">
        <v>17280</v>
      </c>
      <c r="X14" s="251">
        <f>20+10</f>
        <v>30</v>
      </c>
      <c r="Y14" s="251">
        <f>20+8</f>
        <v>28</v>
      </c>
      <c r="Z14" s="251">
        <f>20+10</f>
        <v>30</v>
      </c>
      <c r="AA14" s="251">
        <v>17205</v>
      </c>
      <c r="AB14" s="251">
        <v>16675</v>
      </c>
      <c r="AC14" s="251">
        <v>17205</v>
      </c>
      <c r="AD14" s="251">
        <v>30</v>
      </c>
      <c r="AE14" s="251">
        <v>30</v>
      </c>
      <c r="AF14" s="251">
        <v>29</v>
      </c>
      <c r="AG14" s="251">
        <v>17205</v>
      </c>
      <c r="AH14" s="251">
        <v>16205</v>
      </c>
      <c r="AI14" s="251">
        <v>15675</v>
      </c>
      <c r="AJ14" s="253">
        <f t="shared" si="4"/>
        <v>207420</v>
      </c>
      <c r="AK14" s="254">
        <f t="shared" si="5"/>
        <v>207420</v>
      </c>
      <c r="AL14" s="23"/>
      <c r="AM14" s="23"/>
      <c r="AN14" s="23"/>
      <c r="AO14" s="23"/>
      <c r="AP14" s="945"/>
      <c r="AQ14" s="968"/>
      <c r="AR14" s="189" t="s">
        <v>933</v>
      </c>
    </row>
    <row r="15" spans="1:62" ht="63">
      <c r="A15" s="936"/>
      <c r="B15" s="936"/>
      <c r="C15" s="936"/>
      <c r="D15" s="947"/>
      <c r="E15" s="136">
        <f t="shared" si="2"/>
        <v>1</v>
      </c>
      <c r="F15" s="247" t="s">
        <v>934</v>
      </c>
      <c r="G15" s="220" t="s">
        <v>935</v>
      </c>
      <c r="H15" s="248" t="s">
        <v>923</v>
      </c>
      <c r="I15" s="249">
        <f t="shared" si="3"/>
        <v>2.892829212952696E-2</v>
      </c>
      <c r="J15" s="950"/>
      <c r="K15" s="250"/>
      <c r="L15" s="251"/>
      <c r="M15" s="251"/>
      <c r="N15" s="251"/>
      <c r="O15" s="251"/>
      <c r="P15" s="251"/>
      <c r="Q15" s="251"/>
      <c r="R15" s="251">
        <v>1</v>
      </c>
      <c r="S15" s="251"/>
      <c r="T15" s="251"/>
      <c r="U15" s="251">
        <v>6000</v>
      </c>
      <c r="V15" s="251"/>
      <c r="W15" s="251"/>
      <c r="X15" s="251"/>
      <c r="Y15" s="251"/>
      <c r="Z15" s="251"/>
      <c r="AA15" s="251"/>
      <c r="AB15" s="251"/>
      <c r="AC15" s="251"/>
      <c r="AD15" s="251"/>
      <c r="AE15" s="251"/>
      <c r="AF15" s="251"/>
      <c r="AG15" s="251"/>
      <c r="AH15" s="251"/>
      <c r="AI15" s="251"/>
      <c r="AJ15" s="253">
        <f t="shared" si="4"/>
        <v>6000</v>
      </c>
      <c r="AK15" s="254">
        <f t="shared" si="5"/>
        <v>6000</v>
      </c>
      <c r="AL15" s="23"/>
      <c r="AM15" s="23"/>
      <c r="AN15" s="23"/>
      <c r="AO15" s="23"/>
      <c r="AP15" s="945"/>
      <c r="AQ15" s="968"/>
      <c r="AR15" s="189" t="s">
        <v>936</v>
      </c>
    </row>
    <row r="16" spans="1:62" ht="63">
      <c r="A16" s="984"/>
      <c r="B16" s="984"/>
      <c r="C16" s="984"/>
      <c r="D16" s="938"/>
      <c r="E16" s="136">
        <f t="shared" si="2"/>
        <v>1</v>
      </c>
      <c r="F16" s="258" t="s">
        <v>937</v>
      </c>
      <c r="G16" s="220" t="s">
        <v>938</v>
      </c>
      <c r="H16" s="256" t="s">
        <v>923</v>
      </c>
      <c r="I16" s="249">
        <f t="shared" si="3"/>
        <v>0.76659974143246434</v>
      </c>
      <c r="J16" s="950"/>
      <c r="K16" s="250">
        <v>25</v>
      </c>
      <c r="L16" s="251"/>
      <c r="M16" s="251"/>
      <c r="N16" s="251"/>
      <c r="O16" s="251"/>
      <c r="P16" s="251"/>
      <c r="Q16" s="251"/>
      <c r="R16" s="251"/>
      <c r="S16" s="251"/>
      <c r="T16" s="251"/>
      <c r="U16" s="251"/>
      <c r="V16" s="251"/>
      <c r="W16" s="251"/>
      <c r="X16" s="251"/>
      <c r="Y16" s="251">
        <v>1</v>
      </c>
      <c r="Z16" s="251"/>
      <c r="AA16" s="251"/>
      <c r="AB16" s="251">
        <f>120000+5000+40000-6000</f>
        <v>159000</v>
      </c>
      <c r="AC16" s="251"/>
      <c r="AD16" s="251"/>
      <c r="AE16" s="251"/>
      <c r="AF16" s="251"/>
      <c r="AG16" s="251"/>
      <c r="AH16" s="251"/>
      <c r="AI16" s="251"/>
      <c r="AJ16" s="253">
        <f t="shared" si="4"/>
        <v>159000</v>
      </c>
      <c r="AK16" s="254">
        <f t="shared" si="5"/>
        <v>159000</v>
      </c>
      <c r="AL16" s="23"/>
      <c r="AM16" s="23"/>
      <c r="AN16" s="23"/>
      <c r="AO16" s="23"/>
      <c r="AP16" s="945"/>
      <c r="AQ16" s="968"/>
      <c r="AR16" s="189" t="s">
        <v>939</v>
      </c>
      <c r="AT16" s="727">
        <v>9280.99</v>
      </c>
    </row>
    <row r="17" spans="1:46" ht="94.5">
      <c r="A17" s="701" t="s">
        <v>44</v>
      </c>
      <c r="B17" s="701" t="s">
        <v>45</v>
      </c>
      <c r="C17" s="701" t="s">
        <v>940</v>
      </c>
      <c r="D17" s="259" t="s">
        <v>941</v>
      </c>
      <c r="E17" s="136">
        <f t="shared" si="2"/>
        <v>2</v>
      </c>
      <c r="F17" s="260" t="s">
        <v>942</v>
      </c>
      <c r="G17" s="231" t="s">
        <v>943</v>
      </c>
      <c r="H17" s="256" t="s">
        <v>923</v>
      </c>
      <c r="I17" s="249">
        <f t="shared" si="3"/>
        <v>3.8571056172702609E-2</v>
      </c>
      <c r="J17" s="950"/>
      <c r="K17" s="250">
        <v>10</v>
      </c>
      <c r="L17" s="251"/>
      <c r="M17" s="251"/>
      <c r="N17" s="251"/>
      <c r="O17" s="251"/>
      <c r="P17" s="251"/>
      <c r="Q17" s="251"/>
      <c r="R17" s="251"/>
      <c r="S17" s="251"/>
      <c r="T17" s="251">
        <v>1</v>
      </c>
      <c r="U17" s="251"/>
      <c r="V17" s="251"/>
      <c r="W17" s="251">
        <v>4000</v>
      </c>
      <c r="X17" s="251"/>
      <c r="Y17" s="251"/>
      <c r="Z17" s="251"/>
      <c r="AA17" s="251"/>
      <c r="AB17" s="251"/>
      <c r="AC17" s="251"/>
      <c r="AD17" s="251"/>
      <c r="AE17" s="251">
        <v>1</v>
      </c>
      <c r="AF17" s="251"/>
      <c r="AG17" s="251"/>
      <c r="AH17" s="251">
        <v>4000</v>
      </c>
      <c r="AI17" s="251"/>
      <c r="AJ17" s="253">
        <f t="shared" si="4"/>
        <v>8000</v>
      </c>
      <c r="AK17" s="254">
        <f t="shared" si="5"/>
        <v>8000</v>
      </c>
      <c r="AL17" s="23"/>
      <c r="AM17" s="23"/>
      <c r="AN17" s="23"/>
      <c r="AO17" s="23"/>
      <c r="AP17" s="945"/>
      <c r="AQ17" s="968"/>
      <c r="AR17" s="189" t="s">
        <v>944</v>
      </c>
      <c r="AT17" s="727">
        <v>9279</v>
      </c>
    </row>
    <row r="18" spans="1:46" ht="63">
      <c r="A18" s="701" t="s">
        <v>44</v>
      </c>
      <c r="B18" s="701" t="s">
        <v>45</v>
      </c>
      <c r="C18" s="701" t="s">
        <v>945</v>
      </c>
      <c r="D18" s="259" t="s">
        <v>946</v>
      </c>
      <c r="E18" s="136">
        <f t="shared" si="2"/>
        <v>6</v>
      </c>
      <c r="F18" s="260" t="s">
        <v>168</v>
      </c>
      <c r="G18" s="231" t="s">
        <v>947</v>
      </c>
      <c r="H18" s="256" t="s">
        <v>923</v>
      </c>
      <c r="I18" s="249">
        <f t="shared" si="3"/>
        <v>0.25266929800951143</v>
      </c>
      <c r="J18" s="951"/>
      <c r="K18" s="250">
        <v>5</v>
      </c>
      <c r="L18" s="251"/>
      <c r="M18" s="251"/>
      <c r="N18" s="251"/>
      <c r="O18" s="251"/>
      <c r="P18" s="251"/>
      <c r="Q18" s="251"/>
      <c r="R18" s="251"/>
      <c r="S18" s="251"/>
      <c r="T18" s="251"/>
      <c r="U18" s="251"/>
      <c r="V18" s="251"/>
      <c r="W18" s="251"/>
      <c r="X18" s="251">
        <v>1</v>
      </c>
      <c r="Y18" s="251">
        <v>1</v>
      </c>
      <c r="Z18" s="251">
        <v>1</v>
      </c>
      <c r="AA18" s="251">
        <v>8735</v>
      </c>
      <c r="AB18" s="251">
        <v>8734</v>
      </c>
      <c r="AC18" s="251">
        <v>8734</v>
      </c>
      <c r="AD18" s="251">
        <v>1</v>
      </c>
      <c r="AE18" s="251">
        <v>1</v>
      </c>
      <c r="AF18" s="251">
        <v>1</v>
      </c>
      <c r="AG18" s="251">
        <v>8734</v>
      </c>
      <c r="AH18" s="251">
        <v>8734</v>
      </c>
      <c r="AI18" s="251">
        <v>8734.99</v>
      </c>
      <c r="AJ18" s="253">
        <f t="shared" si="4"/>
        <v>52405.99</v>
      </c>
      <c r="AK18" s="254"/>
      <c r="AL18" s="23">
        <f>AJ18</f>
        <v>52405.99</v>
      </c>
      <c r="AM18" s="23"/>
      <c r="AN18" s="23"/>
      <c r="AO18" s="23"/>
      <c r="AP18" s="946"/>
      <c r="AQ18" s="969"/>
      <c r="AR18" s="189" t="s">
        <v>948</v>
      </c>
      <c r="AT18" s="727">
        <v>9279</v>
      </c>
    </row>
    <row r="19" spans="1:46" ht="47.25">
      <c r="A19" s="261" t="s">
        <v>44</v>
      </c>
      <c r="B19" s="261" t="s">
        <v>45</v>
      </c>
      <c r="C19" s="261" t="s">
        <v>949</v>
      </c>
      <c r="D19" s="262" t="s">
        <v>950</v>
      </c>
      <c r="E19" s="263"/>
      <c r="F19" s="264"/>
      <c r="G19" s="262"/>
      <c r="H19" s="262"/>
      <c r="I19" s="265">
        <f>I20+I21</f>
        <v>0.4098174718349652</v>
      </c>
      <c r="J19" s="263">
        <f>J20+J21</f>
        <v>5</v>
      </c>
      <c r="K19" s="263">
        <f>K20+K21+K22</f>
        <v>100</v>
      </c>
      <c r="L19" s="266"/>
      <c r="M19" s="266"/>
      <c r="N19" s="266"/>
      <c r="O19" s="266">
        <f>O20+O21+O22</f>
        <v>5000</v>
      </c>
      <c r="P19" s="266">
        <f t="shared" ref="P19:Q19" si="6">P20+P21+P22</f>
        <v>20000</v>
      </c>
      <c r="Q19" s="266">
        <f t="shared" si="6"/>
        <v>5000</v>
      </c>
      <c r="R19" s="266"/>
      <c r="S19" s="266"/>
      <c r="T19" s="266"/>
      <c r="U19" s="266">
        <f>U20+U21+U22</f>
        <v>5000</v>
      </c>
      <c r="V19" s="266">
        <f t="shared" ref="V19:W19" si="7">V20+V21+V22</f>
        <v>20000</v>
      </c>
      <c r="W19" s="266">
        <f t="shared" si="7"/>
        <v>5000</v>
      </c>
      <c r="X19" s="266"/>
      <c r="Y19" s="266"/>
      <c r="Z19" s="266"/>
      <c r="AA19" s="266">
        <f>AA20+AA21+AA22</f>
        <v>5000</v>
      </c>
      <c r="AB19" s="266">
        <f t="shared" ref="AB19:AC19" si="8">AB20+AB21+AB22</f>
        <v>20000</v>
      </c>
      <c r="AC19" s="266">
        <f t="shared" si="8"/>
        <v>5000</v>
      </c>
      <c r="AD19" s="266"/>
      <c r="AE19" s="266"/>
      <c r="AF19" s="266"/>
      <c r="AG19" s="266">
        <f>AG20+AG21+AG22</f>
        <v>5000</v>
      </c>
      <c r="AH19" s="266">
        <f t="shared" ref="AH19" si="9">AH20+AH21+AH22</f>
        <v>15000</v>
      </c>
      <c r="AI19" s="266"/>
      <c r="AJ19" s="266">
        <f>AJ20+AJ21+AJ22</f>
        <v>110000</v>
      </c>
      <c r="AK19" s="266">
        <f t="shared" si="5"/>
        <v>110000</v>
      </c>
      <c r="AL19" s="266"/>
      <c r="AM19" s="266"/>
      <c r="AN19" s="266"/>
      <c r="AO19" s="266"/>
      <c r="AP19" s="262"/>
      <c r="AQ19" s="262"/>
      <c r="AR19" s="262"/>
      <c r="AT19" s="727">
        <v>9279</v>
      </c>
    </row>
    <row r="20" spans="1:46" ht="47.25">
      <c r="A20" s="267" t="s">
        <v>44</v>
      </c>
      <c r="B20" s="701" t="s">
        <v>45</v>
      </c>
      <c r="C20" s="267" t="s">
        <v>951</v>
      </c>
      <c r="D20" s="268" t="s">
        <v>952</v>
      </c>
      <c r="E20" s="136">
        <f t="shared" si="2"/>
        <v>4</v>
      </c>
      <c r="F20" s="267" t="s">
        <v>171</v>
      </c>
      <c r="G20" s="256" t="s">
        <v>953</v>
      </c>
      <c r="H20" s="256" t="s">
        <v>923</v>
      </c>
      <c r="I20" s="249">
        <f>AJ20/AJ$58*100</f>
        <v>0.28928292129526956</v>
      </c>
      <c r="J20" s="989">
        <v>5</v>
      </c>
      <c r="K20" s="269">
        <f>0.6*100</f>
        <v>60</v>
      </c>
      <c r="L20" s="253"/>
      <c r="M20" s="253">
        <v>1</v>
      </c>
      <c r="N20" s="253"/>
      <c r="O20" s="253"/>
      <c r="P20" s="253">
        <v>15000</v>
      </c>
      <c r="Q20" s="253"/>
      <c r="R20" s="253"/>
      <c r="S20" s="253">
        <v>1</v>
      </c>
      <c r="T20" s="253"/>
      <c r="U20" s="253"/>
      <c r="V20" s="253">
        <v>15000</v>
      </c>
      <c r="W20" s="253"/>
      <c r="X20" s="253"/>
      <c r="Y20" s="253">
        <v>1</v>
      </c>
      <c r="Z20" s="253"/>
      <c r="AA20" s="253"/>
      <c r="AB20" s="253">
        <v>15000</v>
      </c>
      <c r="AC20" s="253"/>
      <c r="AD20" s="253"/>
      <c r="AE20" s="253">
        <v>1</v>
      </c>
      <c r="AF20" s="253"/>
      <c r="AG20" s="253"/>
      <c r="AH20" s="253">
        <v>15000</v>
      </c>
      <c r="AI20" s="253"/>
      <c r="AJ20" s="253">
        <f>+(O20+P20+Q20)+(U20+V20+W20)+(AA20+AB20+AC20)+(AG20+AH20+AI20)</f>
        <v>60000</v>
      </c>
      <c r="AK20" s="253">
        <f t="shared" si="5"/>
        <v>60000</v>
      </c>
      <c r="AL20" s="253"/>
      <c r="AM20" s="253"/>
      <c r="AN20" s="253"/>
      <c r="AO20" s="253"/>
      <c r="AP20" s="992" t="s">
        <v>924</v>
      </c>
      <c r="AQ20" s="992" t="s">
        <v>954</v>
      </c>
      <c r="AR20" s="992"/>
      <c r="AT20" s="727">
        <v>9279</v>
      </c>
    </row>
    <row r="21" spans="1:46" ht="31.5" customHeight="1">
      <c r="A21" s="982" t="s">
        <v>44</v>
      </c>
      <c r="B21" s="935" t="s">
        <v>45</v>
      </c>
      <c r="C21" s="982" t="s">
        <v>955</v>
      </c>
      <c r="D21" s="970" t="s">
        <v>956</v>
      </c>
      <c r="E21" s="136">
        <f t="shared" si="2"/>
        <v>50</v>
      </c>
      <c r="F21" s="247" t="s">
        <v>131</v>
      </c>
      <c r="G21" s="987" t="s">
        <v>957</v>
      </c>
      <c r="H21" s="987" t="s">
        <v>923</v>
      </c>
      <c r="I21" s="249">
        <f>AJ21/AJ$58*100</f>
        <v>0.12053455053969565</v>
      </c>
      <c r="J21" s="990"/>
      <c r="K21" s="269">
        <v>20</v>
      </c>
      <c r="L21" s="270">
        <v>5</v>
      </c>
      <c r="M21" s="270">
        <v>5</v>
      </c>
      <c r="N21" s="270">
        <v>5</v>
      </c>
      <c r="O21" s="270">
        <v>2500</v>
      </c>
      <c r="P21" s="270">
        <v>2500</v>
      </c>
      <c r="Q21" s="270">
        <v>2500</v>
      </c>
      <c r="R21" s="270">
        <v>5</v>
      </c>
      <c r="S21" s="270">
        <v>5</v>
      </c>
      <c r="T21" s="270">
        <v>5</v>
      </c>
      <c r="U21" s="270">
        <v>2500</v>
      </c>
      <c r="V21" s="270">
        <v>2500</v>
      </c>
      <c r="W21" s="270">
        <v>2500</v>
      </c>
      <c r="X21" s="270">
        <v>5</v>
      </c>
      <c r="Y21" s="270">
        <v>5</v>
      </c>
      <c r="Z21" s="270">
        <v>5</v>
      </c>
      <c r="AA21" s="270">
        <v>2500</v>
      </c>
      <c r="AB21" s="270">
        <v>2500</v>
      </c>
      <c r="AC21" s="270">
        <v>2500</v>
      </c>
      <c r="AD21" s="270">
        <v>5</v>
      </c>
      <c r="AE21" s="270"/>
      <c r="AF21" s="270"/>
      <c r="AG21" s="270">
        <v>2500</v>
      </c>
      <c r="AH21" s="270"/>
      <c r="AI21" s="270"/>
      <c r="AJ21" s="270">
        <f>+(O21+P21+Q21)+(U21+V21+W21)+(AA21+AB21+AC21)+(AG21+AH21+AI21)</f>
        <v>25000</v>
      </c>
      <c r="AK21" s="270">
        <f t="shared" si="5"/>
        <v>25000</v>
      </c>
      <c r="AL21" s="270"/>
      <c r="AM21" s="270"/>
      <c r="AN21" s="270"/>
      <c r="AO21" s="270"/>
      <c r="AP21" s="993"/>
      <c r="AQ21" s="993"/>
      <c r="AR21" s="994"/>
    </row>
    <row r="22" spans="1:46" ht="49.5" customHeight="1">
      <c r="A22" s="983"/>
      <c r="B22" s="984"/>
      <c r="C22" s="983"/>
      <c r="D22" s="972"/>
      <c r="E22" s="136">
        <f t="shared" si="2"/>
        <v>50</v>
      </c>
      <c r="F22" s="247" t="s">
        <v>134</v>
      </c>
      <c r="G22" s="988"/>
      <c r="H22" s="988"/>
      <c r="I22" s="249">
        <f>AJ22/AJ$58*100</f>
        <v>0.12053455053969565</v>
      </c>
      <c r="J22" s="991"/>
      <c r="K22" s="269">
        <v>20</v>
      </c>
      <c r="L22" s="270">
        <v>5</v>
      </c>
      <c r="M22" s="270">
        <v>5</v>
      </c>
      <c r="N22" s="270">
        <v>5</v>
      </c>
      <c r="O22" s="270">
        <v>2500</v>
      </c>
      <c r="P22" s="270">
        <v>2500</v>
      </c>
      <c r="Q22" s="270">
        <v>2500</v>
      </c>
      <c r="R22" s="270">
        <v>5</v>
      </c>
      <c r="S22" s="270">
        <v>5</v>
      </c>
      <c r="T22" s="270">
        <v>5</v>
      </c>
      <c r="U22" s="270">
        <v>2500</v>
      </c>
      <c r="V22" s="270">
        <v>2500</v>
      </c>
      <c r="W22" s="270">
        <v>2500</v>
      </c>
      <c r="X22" s="270">
        <v>5</v>
      </c>
      <c r="Y22" s="270">
        <v>5</v>
      </c>
      <c r="Z22" s="270">
        <v>5</v>
      </c>
      <c r="AA22" s="270">
        <v>2500</v>
      </c>
      <c r="AB22" s="270">
        <v>2500</v>
      </c>
      <c r="AC22" s="270">
        <v>2500</v>
      </c>
      <c r="AD22" s="270">
        <v>5</v>
      </c>
      <c r="AE22" s="270"/>
      <c r="AF22" s="270"/>
      <c r="AG22" s="270">
        <v>2500</v>
      </c>
      <c r="AH22" s="270"/>
      <c r="AI22" s="270"/>
      <c r="AJ22" s="270">
        <f>+(O22+P22+Q22)+(U22+V22+W22)+(AA22+AB22+AC22)+(AG22+AH22+AI22)</f>
        <v>25000</v>
      </c>
      <c r="AK22" s="270">
        <f t="shared" si="5"/>
        <v>25000</v>
      </c>
      <c r="AL22" s="270"/>
      <c r="AM22" s="270"/>
      <c r="AN22" s="270"/>
      <c r="AO22" s="270"/>
      <c r="AP22" s="994"/>
      <c r="AQ22" s="994"/>
      <c r="AR22" s="699"/>
    </row>
    <row r="23" spans="1:46" ht="47.25">
      <c r="A23" s="261" t="s">
        <v>958</v>
      </c>
      <c r="B23" s="261" t="s">
        <v>45</v>
      </c>
      <c r="C23" s="261" t="s">
        <v>959</v>
      </c>
      <c r="D23" s="262" t="s">
        <v>960</v>
      </c>
      <c r="E23" s="263"/>
      <c r="F23" s="264"/>
      <c r="G23" s="262"/>
      <c r="H23" s="262"/>
      <c r="I23" s="265">
        <f>SUM(I24:I27)</f>
        <v>1.0751681908140851</v>
      </c>
      <c r="J23" s="263">
        <f>SUM(J24:J27)</f>
        <v>8</v>
      </c>
      <c r="K23" s="263">
        <f>SUM(K24:K27)</f>
        <v>100</v>
      </c>
      <c r="L23" s="266"/>
      <c r="M23" s="266"/>
      <c r="N23" s="266"/>
      <c r="O23" s="266">
        <f>O24+O25+O26+O27</f>
        <v>5000</v>
      </c>
      <c r="P23" s="266">
        <f>P24+P25+P26+P27</f>
        <v>17000</v>
      </c>
      <c r="Q23" s="266">
        <f>Q24+Q25+Q26+Q27</f>
        <v>17000</v>
      </c>
      <c r="R23" s="266"/>
      <c r="S23" s="266"/>
      <c r="T23" s="266"/>
      <c r="U23" s="266">
        <f>U24+U25+U26+U27</f>
        <v>20000</v>
      </c>
      <c r="V23" s="266">
        <f>V24+V25+V26+V27</f>
        <v>20000</v>
      </c>
      <c r="W23" s="266">
        <f>W24+W25+W26+W27</f>
        <v>20000</v>
      </c>
      <c r="X23" s="266"/>
      <c r="Y23" s="266"/>
      <c r="Z23" s="266"/>
      <c r="AA23" s="266">
        <f>AA24+AA25+AA26+AA27</f>
        <v>23000</v>
      </c>
      <c r="AB23" s="266">
        <f>AB24+AB25+AB26+AB27</f>
        <v>23000</v>
      </c>
      <c r="AC23" s="266">
        <f>AC24+AC25+AC26+AC27</f>
        <v>23000</v>
      </c>
      <c r="AD23" s="266"/>
      <c r="AE23" s="266"/>
      <c r="AF23" s="266"/>
      <c r="AG23" s="266">
        <f>AG24+AG25+AG26+AG27</f>
        <v>20000</v>
      </c>
      <c r="AH23" s="266">
        <f>AH24+AH25+AH26+AH27</f>
        <v>20000</v>
      </c>
      <c r="AI23" s="266">
        <f>AI24+AI25+AI26+AI27</f>
        <v>15000</v>
      </c>
      <c r="AJ23" s="266">
        <f>AJ24+AJ25+AJ26+AJ27</f>
        <v>223000</v>
      </c>
      <c r="AK23" s="266">
        <f t="shared" si="5"/>
        <v>223000</v>
      </c>
      <c r="AL23" s="266"/>
      <c r="AM23" s="266"/>
      <c r="AN23" s="266"/>
      <c r="AO23" s="266"/>
      <c r="AP23" s="262"/>
      <c r="AQ23" s="262"/>
      <c r="AR23" s="262"/>
    </row>
    <row r="24" spans="1:46" ht="47.25">
      <c r="A24" s="247" t="s">
        <v>44</v>
      </c>
      <c r="B24" s="701" t="s">
        <v>45</v>
      </c>
      <c r="C24" s="247" t="s">
        <v>961</v>
      </c>
      <c r="D24" s="268" t="s">
        <v>962</v>
      </c>
      <c r="E24" s="271">
        <f t="shared" ref="E24:E27" si="10">L24+M24+N24+R24+S24+T24+X24+Y24+Z24+AD24+AE24+AF24</f>
        <v>120</v>
      </c>
      <c r="F24" s="247" t="s">
        <v>963</v>
      </c>
      <c r="G24" s="259" t="s">
        <v>964</v>
      </c>
      <c r="H24" s="259" t="s">
        <v>965</v>
      </c>
      <c r="I24" s="249">
        <f>AJ24/AJ$58*100</f>
        <v>0.28928292129526956</v>
      </c>
      <c r="J24" s="955">
        <v>8</v>
      </c>
      <c r="K24" s="272">
        <f>0.375*100</f>
        <v>37.5</v>
      </c>
      <c r="L24" s="273">
        <v>5</v>
      </c>
      <c r="M24" s="273">
        <v>10</v>
      </c>
      <c r="N24" s="273">
        <v>10</v>
      </c>
      <c r="O24" s="273">
        <v>5000</v>
      </c>
      <c r="P24" s="273">
        <v>5000</v>
      </c>
      <c r="Q24" s="273">
        <v>5000</v>
      </c>
      <c r="R24" s="273">
        <v>10</v>
      </c>
      <c r="S24" s="273">
        <v>15</v>
      </c>
      <c r="T24" s="273">
        <v>10</v>
      </c>
      <c r="U24" s="273">
        <v>5000</v>
      </c>
      <c r="V24" s="273">
        <v>5000</v>
      </c>
      <c r="W24" s="273">
        <v>5000</v>
      </c>
      <c r="X24" s="273">
        <v>10</v>
      </c>
      <c r="Y24" s="273">
        <v>10</v>
      </c>
      <c r="Z24" s="273">
        <v>10</v>
      </c>
      <c r="AA24" s="273">
        <v>5000</v>
      </c>
      <c r="AB24" s="273">
        <v>5000</v>
      </c>
      <c r="AC24" s="273">
        <v>5000</v>
      </c>
      <c r="AD24" s="273">
        <v>10</v>
      </c>
      <c r="AE24" s="273">
        <v>10</v>
      </c>
      <c r="AF24" s="273">
        <v>10</v>
      </c>
      <c r="AG24" s="273">
        <v>5000</v>
      </c>
      <c r="AH24" s="273">
        <v>5000</v>
      </c>
      <c r="AI24" s="273">
        <v>5000</v>
      </c>
      <c r="AJ24" s="23">
        <f>+(O24+P24+Q24)+(U24+V24+W24)+(AA24+AB24+AC24)+(AG24+AH24+AI24)</f>
        <v>60000</v>
      </c>
      <c r="AK24" s="23">
        <f t="shared" si="5"/>
        <v>60000</v>
      </c>
      <c r="AL24" s="23"/>
      <c r="AM24" s="23"/>
      <c r="AN24" s="23"/>
      <c r="AO24" s="253"/>
      <c r="AP24" s="976" t="s">
        <v>924</v>
      </c>
      <c r="AQ24" s="979" t="s">
        <v>954</v>
      </c>
      <c r="AR24" s="979"/>
    </row>
    <row r="25" spans="1:46" ht="110.25">
      <c r="A25" s="267" t="s">
        <v>44</v>
      </c>
      <c r="B25" s="701" t="s">
        <v>45</v>
      </c>
      <c r="C25" s="267" t="s">
        <v>966</v>
      </c>
      <c r="D25" s="268" t="s">
        <v>967</v>
      </c>
      <c r="E25" s="271">
        <f t="shared" si="10"/>
        <v>30</v>
      </c>
      <c r="F25" s="247" t="s">
        <v>968</v>
      </c>
      <c r="G25" s="259" t="s">
        <v>969</v>
      </c>
      <c r="H25" s="259" t="s">
        <v>970</v>
      </c>
      <c r="I25" s="249">
        <f>AJ25/AJ$58*100</f>
        <v>0.14464146064763478</v>
      </c>
      <c r="J25" s="956"/>
      <c r="K25" s="272">
        <f>0.25*100</f>
        <v>25</v>
      </c>
      <c r="L25" s="273"/>
      <c r="M25" s="273">
        <v>2</v>
      </c>
      <c r="N25" s="273">
        <v>2</v>
      </c>
      <c r="O25" s="273"/>
      <c r="P25" s="273">
        <v>2000</v>
      </c>
      <c r="Q25" s="273">
        <v>2000</v>
      </c>
      <c r="R25" s="273">
        <v>2</v>
      </c>
      <c r="S25" s="273">
        <v>2</v>
      </c>
      <c r="T25" s="273">
        <v>2</v>
      </c>
      <c r="U25" s="273">
        <v>2000</v>
      </c>
      <c r="V25" s="273">
        <v>2000</v>
      </c>
      <c r="W25" s="273">
        <v>2000</v>
      </c>
      <c r="X25" s="273">
        <v>5</v>
      </c>
      <c r="Y25" s="273">
        <v>5</v>
      </c>
      <c r="Z25" s="273">
        <v>5</v>
      </c>
      <c r="AA25" s="273">
        <v>5000</v>
      </c>
      <c r="AB25" s="273">
        <v>5000</v>
      </c>
      <c r="AC25" s="273">
        <v>5000</v>
      </c>
      <c r="AD25" s="273">
        <v>2</v>
      </c>
      <c r="AE25" s="273">
        <v>2</v>
      </c>
      <c r="AF25" s="273">
        <v>1</v>
      </c>
      <c r="AG25" s="273">
        <v>2000</v>
      </c>
      <c r="AH25" s="273">
        <v>2000</v>
      </c>
      <c r="AI25" s="273">
        <v>1000</v>
      </c>
      <c r="AJ25" s="23">
        <f>+(O25+P25+Q25)+(U25+V25+W25)+(AA25+AB25+AC25)+(AG25+AH25+AI25)</f>
        <v>30000</v>
      </c>
      <c r="AK25" s="23">
        <f t="shared" si="5"/>
        <v>30000</v>
      </c>
      <c r="AL25" s="23"/>
      <c r="AM25" s="23"/>
      <c r="AN25" s="23"/>
      <c r="AO25" s="253"/>
      <c r="AP25" s="977"/>
      <c r="AQ25" s="980"/>
      <c r="AR25" s="980"/>
    </row>
    <row r="26" spans="1:46" ht="55.5" customHeight="1">
      <c r="A26" s="982" t="s">
        <v>44</v>
      </c>
      <c r="B26" s="935" t="s">
        <v>45</v>
      </c>
      <c r="C26" s="982" t="s">
        <v>971</v>
      </c>
      <c r="D26" s="970" t="s">
        <v>972</v>
      </c>
      <c r="E26" s="271">
        <f t="shared" si="10"/>
        <v>300</v>
      </c>
      <c r="F26" s="247" t="s">
        <v>131</v>
      </c>
      <c r="G26" s="985" t="s">
        <v>973</v>
      </c>
      <c r="H26" s="985" t="s">
        <v>970</v>
      </c>
      <c r="I26" s="249">
        <f>AJ26/AJ$58*100</f>
        <v>0.3760677976838504</v>
      </c>
      <c r="J26" s="956"/>
      <c r="K26" s="272">
        <f>0.25*100</f>
        <v>25</v>
      </c>
      <c r="L26" s="273"/>
      <c r="M26" s="273">
        <v>25</v>
      </c>
      <c r="N26" s="273">
        <v>20</v>
      </c>
      <c r="O26" s="273"/>
      <c r="P26" s="273">
        <v>5000</v>
      </c>
      <c r="Q26" s="273">
        <v>5000</v>
      </c>
      <c r="R26" s="273">
        <v>30</v>
      </c>
      <c r="S26" s="273">
        <v>25</v>
      </c>
      <c r="T26" s="273">
        <v>30</v>
      </c>
      <c r="U26" s="273">
        <v>8000</v>
      </c>
      <c r="V26" s="273">
        <v>8000</v>
      </c>
      <c r="W26" s="273">
        <v>8000</v>
      </c>
      <c r="X26" s="273">
        <v>30</v>
      </c>
      <c r="Y26" s="273">
        <v>30</v>
      </c>
      <c r="Z26" s="273">
        <v>30</v>
      </c>
      <c r="AA26" s="273">
        <v>8000</v>
      </c>
      <c r="AB26" s="273">
        <v>8000</v>
      </c>
      <c r="AC26" s="273">
        <v>8000</v>
      </c>
      <c r="AD26" s="273">
        <v>30</v>
      </c>
      <c r="AE26" s="273">
        <v>25</v>
      </c>
      <c r="AF26" s="273">
        <v>25</v>
      </c>
      <c r="AG26" s="273">
        <v>8000</v>
      </c>
      <c r="AH26" s="273">
        <v>8000</v>
      </c>
      <c r="AI26" s="273">
        <v>4000</v>
      </c>
      <c r="AJ26" s="23">
        <f>+(O26+P26+Q26)+(U26+V26+W26)+(AA26+AB26+AC26)+(AG26+AH26+AI26)</f>
        <v>78000</v>
      </c>
      <c r="AK26" s="253">
        <f t="shared" si="5"/>
        <v>78000</v>
      </c>
      <c r="AL26" s="23"/>
      <c r="AM26" s="23"/>
      <c r="AN26" s="23"/>
      <c r="AO26" s="23"/>
      <c r="AP26" s="977"/>
      <c r="AQ26" s="980"/>
      <c r="AR26" s="980"/>
    </row>
    <row r="27" spans="1:46" ht="55.5" customHeight="1">
      <c r="A27" s="983"/>
      <c r="B27" s="984"/>
      <c r="C27" s="983"/>
      <c r="D27" s="972"/>
      <c r="E27" s="271">
        <f t="shared" si="10"/>
        <v>150</v>
      </c>
      <c r="F27" s="247" t="s">
        <v>134</v>
      </c>
      <c r="G27" s="986"/>
      <c r="H27" s="986"/>
      <c r="I27" s="249">
        <f>AJ27/AJ$58*100</f>
        <v>0.26517601118733042</v>
      </c>
      <c r="J27" s="957"/>
      <c r="K27" s="272">
        <f>0.125*100</f>
        <v>12.5</v>
      </c>
      <c r="L27" s="273"/>
      <c r="M27" s="273">
        <v>15</v>
      </c>
      <c r="N27" s="273">
        <v>15</v>
      </c>
      <c r="O27" s="273"/>
      <c r="P27" s="273">
        <v>5000</v>
      </c>
      <c r="Q27" s="273">
        <v>5000</v>
      </c>
      <c r="R27" s="273">
        <v>15</v>
      </c>
      <c r="S27" s="273">
        <v>15</v>
      </c>
      <c r="T27" s="273">
        <v>15</v>
      </c>
      <c r="U27" s="273">
        <v>5000</v>
      </c>
      <c r="V27" s="273">
        <v>5000</v>
      </c>
      <c r="W27" s="273">
        <v>5000</v>
      </c>
      <c r="X27" s="273">
        <v>15</v>
      </c>
      <c r="Y27" s="273">
        <v>15</v>
      </c>
      <c r="Z27" s="273">
        <v>15</v>
      </c>
      <c r="AA27" s="273">
        <v>5000</v>
      </c>
      <c r="AB27" s="273">
        <v>5000</v>
      </c>
      <c r="AC27" s="273">
        <v>5000</v>
      </c>
      <c r="AD27" s="273">
        <v>10</v>
      </c>
      <c r="AE27" s="273">
        <v>10</v>
      </c>
      <c r="AF27" s="273">
        <v>10</v>
      </c>
      <c r="AG27" s="273">
        <v>5000</v>
      </c>
      <c r="AH27" s="273">
        <v>5000</v>
      </c>
      <c r="AI27" s="273">
        <v>5000</v>
      </c>
      <c r="AJ27" s="23">
        <f>+(O27+P27+Q27)+(U27+V27+W27)+(AA27+AB27+AC27)+(AG27+AH27+AI27)</f>
        <v>55000</v>
      </c>
      <c r="AK27" s="253">
        <f t="shared" si="5"/>
        <v>55000</v>
      </c>
      <c r="AL27" s="23"/>
      <c r="AM27" s="23"/>
      <c r="AN27" s="23"/>
      <c r="AO27" s="23"/>
      <c r="AP27" s="978"/>
      <c r="AQ27" s="981"/>
      <c r="AR27" s="981"/>
    </row>
    <row r="28" spans="1:46" ht="48.75" customHeight="1">
      <c r="A28" s="261" t="s">
        <v>44</v>
      </c>
      <c r="B28" s="261" t="s">
        <v>45</v>
      </c>
      <c r="C28" s="261" t="s">
        <v>974</v>
      </c>
      <c r="D28" s="262" t="s">
        <v>975</v>
      </c>
      <c r="E28" s="263"/>
      <c r="F28" s="264"/>
      <c r="G28" s="262"/>
      <c r="H28" s="262"/>
      <c r="I28" s="265">
        <f>SUM(I29:I34)</f>
        <v>0.1224631033483308</v>
      </c>
      <c r="J28" s="263">
        <f>SUM(J29:J34)</f>
        <v>10</v>
      </c>
      <c r="K28" s="263">
        <f>SUM(K29:K34)</f>
        <v>100</v>
      </c>
      <c r="L28" s="266"/>
      <c r="M28" s="266"/>
      <c r="N28" s="266"/>
      <c r="O28" s="266"/>
      <c r="P28" s="266"/>
      <c r="Q28" s="266">
        <f>Q29+Q30+Q31+Q32+Q36+Q35+Q33+Q34</f>
        <v>1000</v>
      </c>
      <c r="R28" s="266"/>
      <c r="S28" s="266"/>
      <c r="T28" s="266"/>
      <c r="U28" s="266">
        <f>U29+U30+U31+U32+U36+U35+U33+U34</f>
        <v>1000</v>
      </c>
      <c r="V28" s="266"/>
      <c r="W28" s="266">
        <f>W29+W30+W31+W32+W36+W35+W33+W34</f>
        <v>19500</v>
      </c>
      <c r="X28" s="266"/>
      <c r="Y28" s="266"/>
      <c r="Z28" s="266"/>
      <c r="AA28" s="266"/>
      <c r="AB28" s="266"/>
      <c r="AC28" s="266">
        <f>AC29+AC30+AC31+AC32+AC36+AC35+AC33+AC34</f>
        <v>2000</v>
      </c>
      <c r="AD28" s="266"/>
      <c r="AE28" s="266"/>
      <c r="AF28" s="266"/>
      <c r="AG28" s="266">
        <f>AG29+AG30+AG31+AG32+AG36+AG35+AG33+AG34</f>
        <v>1000</v>
      </c>
      <c r="AH28" s="266"/>
      <c r="AI28" s="266">
        <f>AI29+AI30+AI31+AI32+AI36+AI35+AI33+AI34</f>
        <v>8400</v>
      </c>
      <c r="AJ28" s="266">
        <f>AJ29+AJ30+AJ31+AJ32+AJ35+AJ36+AJ33+AJ34</f>
        <v>32900</v>
      </c>
      <c r="AK28" s="266">
        <f>AK29+AK30+AK31+AK32+AK35+AK36+AK33+AK34</f>
        <v>6000</v>
      </c>
      <c r="AL28" s="266"/>
      <c r="AM28" s="266"/>
      <c r="AN28" s="266"/>
      <c r="AO28" s="266">
        <f>SUM(AO29:AO36)</f>
        <v>26900</v>
      </c>
      <c r="AP28" s="274"/>
      <c r="AQ28" s="262"/>
      <c r="AR28" s="262"/>
    </row>
    <row r="29" spans="1:46" ht="60" customHeight="1">
      <c r="A29" s="707" t="s">
        <v>44</v>
      </c>
      <c r="B29" s="707" t="s">
        <v>45</v>
      </c>
      <c r="C29" s="707" t="s">
        <v>976</v>
      </c>
      <c r="D29" s="702" t="s">
        <v>977</v>
      </c>
      <c r="E29" s="136">
        <f t="shared" ref="E29:E36" si="11">L29+M29+N29+R29+S29+T29+X29+Y29+Z29+AD29+AE29+AF29</f>
        <v>1</v>
      </c>
      <c r="F29" s="275" t="s">
        <v>978</v>
      </c>
      <c r="G29" s="268" t="s">
        <v>979</v>
      </c>
      <c r="H29" s="248" t="s">
        <v>923</v>
      </c>
      <c r="I29" s="249">
        <f t="shared" ref="I29:I40" si="12">AJ29/AJ$58*100</f>
        <v>2.410691010793913E-3</v>
      </c>
      <c r="J29" s="964">
        <v>10</v>
      </c>
      <c r="K29" s="271">
        <v>25</v>
      </c>
      <c r="L29" s="270"/>
      <c r="M29" s="270"/>
      <c r="N29" s="270">
        <v>1</v>
      </c>
      <c r="O29" s="270"/>
      <c r="P29" s="270"/>
      <c r="Q29" s="270">
        <v>500</v>
      </c>
      <c r="R29" s="270"/>
      <c r="S29" s="270"/>
      <c r="T29" s="270"/>
      <c r="U29" s="270"/>
      <c r="V29" s="270"/>
      <c r="W29" s="270"/>
      <c r="X29" s="270"/>
      <c r="Y29" s="270"/>
      <c r="Z29" s="270"/>
      <c r="AA29" s="270"/>
      <c r="AB29" s="270"/>
      <c r="AC29" s="270"/>
      <c r="AD29" s="270"/>
      <c r="AE29" s="270"/>
      <c r="AF29" s="270"/>
      <c r="AG29" s="270"/>
      <c r="AH29" s="270"/>
      <c r="AI29" s="270"/>
      <c r="AJ29" s="23">
        <f t="shared" ref="AJ29:AJ36" si="13">+(O29+P29+Q29)+(U29+V29+W29)+(AA29+AB29+AC29)+(AG29+AH29+AI29)</f>
        <v>500</v>
      </c>
      <c r="AK29" s="253"/>
      <c r="AL29" s="270"/>
      <c r="AM29" s="270"/>
      <c r="AN29" s="270"/>
      <c r="AO29" s="270">
        <f t="shared" ref="AO29:AO35" si="14">AJ29</f>
        <v>500</v>
      </c>
      <c r="AP29" s="967" t="s">
        <v>924</v>
      </c>
      <c r="AQ29" s="970" t="s">
        <v>954</v>
      </c>
      <c r="AR29" s="973" t="s">
        <v>980</v>
      </c>
    </row>
    <row r="30" spans="1:46" ht="57" customHeight="1">
      <c r="A30" s="707" t="s">
        <v>44</v>
      </c>
      <c r="B30" s="707" t="s">
        <v>45</v>
      </c>
      <c r="C30" s="247" t="s">
        <v>981</v>
      </c>
      <c r="D30" s="268" t="s">
        <v>982</v>
      </c>
      <c r="E30" s="136">
        <f t="shared" si="11"/>
        <v>16</v>
      </c>
      <c r="F30" s="275" t="s">
        <v>983</v>
      </c>
      <c r="G30" s="268" t="s">
        <v>984</v>
      </c>
      <c r="H30" s="259" t="s">
        <v>923</v>
      </c>
      <c r="I30" s="249">
        <f t="shared" si="12"/>
        <v>1.9285528086351304E-2</v>
      </c>
      <c r="J30" s="965"/>
      <c r="K30" s="271">
        <v>10</v>
      </c>
      <c r="L30" s="270"/>
      <c r="M30" s="270"/>
      <c r="N30" s="270">
        <v>2</v>
      </c>
      <c r="O30" s="270"/>
      <c r="P30" s="270"/>
      <c r="Q30" s="270">
        <v>500</v>
      </c>
      <c r="R30" s="270"/>
      <c r="S30" s="270"/>
      <c r="T30" s="270">
        <v>4</v>
      </c>
      <c r="U30" s="270"/>
      <c r="V30" s="270"/>
      <c r="W30" s="270">
        <v>1000</v>
      </c>
      <c r="X30" s="270"/>
      <c r="Y30" s="270"/>
      <c r="Z30" s="270">
        <v>4</v>
      </c>
      <c r="AA30" s="270"/>
      <c r="AB30" s="270"/>
      <c r="AC30" s="270">
        <v>1000</v>
      </c>
      <c r="AD30" s="270"/>
      <c r="AE30" s="270"/>
      <c r="AF30" s="270">
        <v>6</v>
      </c>
      <c r="AG30" s="270"/>
      <c r="AH30" s="270"/>
      <c r="AI30" s="270">
        <v>1500</v>
      </c>
      <c r="AJ30" s="23">
        <f t="shared" si="13"/>
        <v>4000</v>
      </c>
      <c r="AK30" s="253"/>
      <c r="AL30" s="270"/>
      <c r="AM30" s="270"/>
      <c r="AN30" s="270"/>
      <c r="AO30" s="270">
        <f t="shared" si="14"/>
        <v>4000</v>
      </c>
      <c r="AP30" s="968"/>
      <c r="AQ30" s="971"/>
      <c r="AR30" s="973"/>
    </row>
    <row r="31" spans="1:46" ht="94.5" customHeight="1">
      <c r="A31" s="707" t="s">
        <v>44</v>
      </c>
      <c r="B31" s="707" t="s">
        <v>45</v>
      </c>
      <c r="C31" s="247" t="s">
        <v>985</v>
      </c>
      <c r="D31" s="268" t="s">
        <v>986</v>
      </c>
      <c r="E31" s="136">
        <f>L31+M31+N31+R31+S31+T31+X31+Y31+Z31+AD31+AE31+AF31</f>
        <v>1</v>
      </c>
      <c r="F31" s="247" t="s">
        <v>144</v>
      </c>
      <c r="G31" s="259" t="s">
        <v>987</v>
      </c>
      <c r="H31" s="259" t="s">
        <v>923</v>
      </c>
      <c r="I31" s="276">
        <f t="shared" si="12"/>
        <v>7.2320730323817389E-2</v>
      </c>
      <c r="J31" s="965"/>
      <c r="K31" s="271">
        <v>5</v>
      </c>
      <c r="L31" s="270"/>
      <c r="M31" s="270"/>
      <c r="N31" s="270"/>
      <c r="O31" s="270"/>
      <c r="P31" s="270"/>
      <c r="Q31" s="270"/>
      <c r="R31" s="270"/>
      <c r="S31" s="270"/>
      <c r="T31" s="270">
        <v>1</v>
      </c>
      <c r="U31" s="270"/>
      <c r="V31" s="270"/>
      <c r="W31" s="270">
        <v>15000</v>
      </c>
      <c r="X31" s="270"/>
      <c r="Y31" s="270"/>
      <c r="Z31" s="270"/>
      <c r="AA31" s="270"/>
      <c r="AB31" s="270"/>
      <c r="AC31" s="270"/>
      <c r="AD31" s="270"/>
      <c r="AE31" s="270"/>
      <c r="AF31" s="270"/>
      <c r="AG31" s="270"/>
      <c r="AH31" s="270"/>
      <c r="AI31" s="270"/>
      <c r="AJ31" s="23">
        <f>+(O31+P31+Q31)+(U31+V31+W31)+(AA31+AB31+AC31)+(AG31+AH31+AI31)</f>
        <v>15000</v>
      </c>
      <c r="AK31" s="253"/>
      <c r="AL31" s="270"/>
      <c r="AM31" s="270"/>
      <c r="AN31" s="270"/>
      <c r="AO31" s="270">
        <f>AJ31</f>
        <v>15000</v>
      </c>
      <c r="AP31" s="968"/>
      <c r="AQ31" s="971"/>
      <c r="AR31" s="973"/>
    </row>
    <row r="32" spans="1:46" ht="69" customHeight="1">
      <c r="A32" s="707" t="s">
        <v>44</v>
      </c>
      <c r="B32" s="707" t="s">
        <v>45</v>
      </c>
      <c r="C32" s="707" t="s">
        <v>988</v>
      </c>
      <c r="D32" s="702" t="s">
        <v>989</v>
      </c>
      <c r="E32" s="136">
        <f>L32+M32+N32+R32+S32+T32+X32+Y32+Z32+AD32+AE32+AF32</f>
        <v>1</v>
      </c>
      <c r="F32" s="247" t="s">
        <v>934</v>
      </c>
      <c r="G32" s="259" t="s">
        <v>990</v>
      </c>
      <c r="H32" s="705" t="s">
        <v>923</v>
      </c>
      <c r="I32" s="276">
        <f t="shared" si="12"/>
        <v>4.8213820215878261E-3</v>
      </c>
      <c r="J32" s="965"/>
      <c r="K32" s="271">
        <v>10</v>
      </c>
      <c r="L32" s="270"/>
      <c r="M32" s="270"/>
      <c r="N32" s="270"/>
      <c r="O32" s="270"/>
      <c r="P32" s="270"/>
      <c r="Q32" s="270"/>
      <c r="R32" s="270"/>
      <c r="S32" s="270"/>
      <c r="T32" s="270">
        <v>1</v>
      </c>
      <c r="U32" s="270"/>
      <c r="V32" s="270"/>
      <c r="W32" s="270">
        <v>1000</v>
      </c>
      <c r="X32" s="270"/>
      <c r="Y32" s="270"/>
      <c r="Z32" s="270"/>
      <c r="AA32" s="270"/>
      <c r="AB32" s="270"/>
      <c r="AC32" s="270"/>
      <c r="AD32" s="270"/>
      <c r="AE32" s="270"/>
      <c r="AF32" s="270"/>
      <c r="AG32" s="270"/>
      <c r="AH32" s="270"/>
      <c r="AI32" s="270"/>
      <c r="AJ32" s="23">
        <f>+(O32+P32+Q32)+(U32+V32+W32)+(AA32+AB32+AC32)+(AG32+AH32+AI32)</f>
        <v>1000</v>
      </c>
      <c r="AK32" s="253"/>
      <c r="AL32" s="270"/>
      <c r="AM32" s="270"/>
      <c r="AN32" s="270"/>
      <c r="AO32" s="270">
        <f>AJ32</f>
        <v>1000</v>
      </c>
      <c r="AP32" s="968"/>
      <c r="AQ32" s="971"/>
      <c r="AR32" s="973"/>
    </row>
    <row r="33" spans="1:44" ht="48" customHeight="1">
      <c r="A33" s="707" t="s">
        <v>44</v>
      </c>
      <c r="B33" s="707" t="s">
        <v>45</v>
      </c>
      <c r="C33" s="707" t="s">
        <v>991</v>
      </c>
      <c r="D33" s="702" t="s">
        <v>992</v>
      </c>
      <c r="E33" s="136">
        <f t="shared" si="11"/>
        <v>2</v>
      </c>
      <c r="F33" s="275" t="s">
        <v>213</v>
      </c>
      <c r="G33" s="268" t="s">
        <v>993</v>
      </c>
      <c r="H33" s="705" t="s">
        <v>923</v>
      </c>
      <c r="I33" s="276">
        <f t="shared" si="12"/>
        <v>1.3982007862604697E-2</v>
      </c>
      <c r="J33" s="965"/>
      <c r="K33" s="271">
        <v>30</v>
      </c>
      <c r="L33" s="270"/>
      <c r="M33" s="270"/>
      <c r="N33" s="270"/>
      <c r="O33" s="270"/>
      <c r="P33" s="270"/>
      <c r="Q33" s="270"/>
      <c r="R33" s="270"/>
      <c r="S33" s="270"/>
      <c r="T33" s="270">
        <v>1</v>
      </c>
      <c r="U33" s="270"/>
      <c r="V33" s="270"/>
      <c r="W33" s="270">
        <v>1000</v>
      </c>
      <c r="X33" s="270"/>
      <c r="Y33" s="270"/>
      <c r="Z33" s="270"/>
      <c r="AA33" s="270"/>
      <c r="AB33" s="270"/>
      <c r="AC33" s="270"/>
      <c r="AD33" s="270">
        <v>1</v>
      </c>
      <c r="AE33" s="270"/>
      <c r="AF33" s="270"/>
      <c r="AG33" s="270">
        <v>1000</v>
      </c>
      <c r="AH33" s="270"/>
      <c r="AI33" s="270">
        <v>900</v>
      </c>
      <c r="AJ33" s="23">
        <f t="shared" si="13"/>
        <v>2900</v>
      </c>
      <c r="AK33" s="253"/>
      <c r="AL33" s="270"/>
      <c r="AM33" s="270"/>
      <c r="AN33" s="270"/>
      <c r="AO33" s="270">
        <f t="shared" si="14"/>
        <v>2900</v>
      </c>
      <c r="AP33" s="968"/>
      <c r="AQ33" s="971"/>
      <c r="AR33" s="973"/>
    </row>
    <row r="34" spans="1:44" ht="66.75" customHeight="1">
      <c r="A34" s="707" t="s">
        <v>44</v>
      </c>
      <c r="B34" s="707" t="s">
        <v>45</v>
      </c>
      <c r="C34" s="707" t="s">
        <v>994</v>
      </c>
      <c r="D34" s="702" t="s">
        <v>995</v>
      </c>
      <c r="E34" s="693">
        <f t="shared" si="11"/>
        <v>2</v>
      </c>
      <c r="F34" s="275" t="s">
        <v>171</v>
      </c>
      <c r="G34" s="268" t="s">
        <v>996</v>
      </c>
      <c r="H34" s="705" t="s">
        <v>923</v>
      </c>
      <c r="I34" s="276">
        <f t="shared" si="12"/>
        <v>9.6427640431756521E-3</v>
      </c>
      <c r="J34" s="965"/>
      <c r="K34" s="271">
        <v>20</v>
      </c>
      <c r="L34" s="270"/>
      <c r="M34" s="270"/>
      <c r="N34" s="270"/>
      <c r="O34" s="270"/>
      <c r="P34" s="270"/>
      <c r="Q34" s="270"/>
      <c r="R34" s="270">
        <v>1</v>
      </c>
      <c r="S34" s="270"/>
      <c r="T34" s="270"/>
      <c r="U34" s="270">
        <v>1000</v>
      </c>
      <c r="V34" s="270"/>
      <c r="W34" s="270"/>
      <c r="X34" s="270"/>
      <c r="Y34" s="270"/>
      <c r="Z34" s="270">
        <v>1</v>
      </c>
      <c r="AA34" s="270"/>
      <c r="AB34" s="270"/>
      <c r="AC34" s="270">
        <v>1000</v>
      </c>
      <c r="AD34" s="270"/>
      <c r="AE34" s="270"/>
      <c r="AF34" s="270"/>
      <c r="AG34" s="270"/>
      <c r="AH34" s="270"/>
      <c r="AI34" s="270"/>
      <c r="AJ34" s="23">
        <f t="shared" si="13"/>
        <v>2000</v>
      </c>
      <c r="AK34" s="253"/>
      <c r="AL34" s="270"/>
      <c r="AM34" s="270"/>
      <c r="AN34" s="270"/>
      <c r="AO34" s="270">
        <f t="shared" si="14"/>
        <v>2000</v>
      </c>
      <c r="AP34" s="968"/>
      <c r="AQ34" s="971"/>
      <c r="AR34" s="973"/>
    </row>
    <row r="35" spans="1:44" ht="68.25" customHeight="1">
      <c r="A35" s="974" t="s">
        <v>44</v>
      </c>
      <c r="B35" s="974" t="s">
        <v>45</v>
      </c>
      <c r="C35" s="974" t="s">
        <v>997</v>
      </c>
      <c r="D35" s="970" t="s">
        <v>998</v>
      </c>
      <c r="E35" s="136">
        <f t="shared" si="11"/>
        <v>1</v>
      </c>
      <c r="F35" s="247" t="s">
        <v>999</v>
      </c>
      <c r="G35" s="705" t="s">
        <v>1000</v>
      </c>
      <c r="H35" s="259" t="s">
        <v>923</v>
      </c>
      <c r="I35" s="249">
        <f t="shared" si="12"/>
        <v>7.23207303238174E-3</v>
      </c>
      <c r="J35" s="965"/>
      <c r="K35" s="271">
        <v>10</v>
      </c>
      <c r="L35" s="270"/>
      <c r="M35" s="270"/>
      <c r="N35" s="270"/>
      <c r="O35" s="270"/>
      <c r="P35" s="270"/>
      <c r="Q35" s="270"/>
      <c r="R35" s="270"/>
      <c r="S35" s="270"/>
      <c r="T35" s="270">
        <v>1</v>
      </c>
      <c r="U35" s="270"/>
      <c r="V35" s="270"/>
      <c r="W35" s="270">
        <v>1500</v>
      </c>
      <c r="X35" s="270"/>
      <c r="Y35" s="270"/>
      <c r="Z35" s="270"/>
      <c r="AA35" s="270"/>
      <c r="AB35" s="270"/>
      <c r="AC35" s="270"/>
      <c r="AD35" s="270"/>
      <c r="AE35" s="270"/>
      <c r="AF35" s="270"/>
      <c r="AG35" s="270"/>
      <c r="AH35" s="270"/>
      <c r="AI35" s="270"/>
      <c r="AJ35" s="23">
        <f t="shared" si="13"/>
        <v>1500</v>
      </c>
      <c r="AK35" s="253"/>
      <c r="AL35" s="270"/>
      <c r="AM35" s="270"/>
      <c r="AN35" s="270"/>
      <c r="AO35" s="270">
        <f t="shared" si="14"/>
        <v>1500</v>
      </c>
      <c r="AP35" s="968"/>
      <c r="AQ35" s="971"/>
      <c r="AR35" s="973"/>
    </row>
    <row r="36" spans="1:44" ht="51.75" customHeight="1">
      <c r="A36" s="975"/>
      <c r="B36" s="975"/>
      <c r="C36" s="975"/>
      <c r="D36" s="972"/>
      <c r="E36" s="693">
        <f t="shared" si="11"/>
        <v>1</v>
      </c>
      <c r="F36" s="247" t="s">
        <v>168</v>
      </c>
      <c r="G36" s="705" t="s">
        <v>1001</v>
      </c>
      <c r="H36" s="259" t="s">
        <v>923</v>
      </c>
      <c r="I36" s="276">
        <f t="shared" si="12"/>
        <v>2.892829212952696E-2</v>
      </c>
      <c r="J36" s="966"/>
      <c r="K36" s="271">
        <v>5</v>
      </c>
      <c r="L36" s="270"/>
      <c r="M36" s="270"/>
      <c r="N36" s="270"/>
      <c r="O36" s="270"/>
      <c r="P36" s="270"/>
      <c r="Q36" s="270"/>
      <c r="R36" s="270"/>
      <c r="S36" s="270"/>
      <c r="T36" s="270"/>
      <c r="U36" s="270"/>
      <c r="V36" s="270"/>
      <c r="W36" s="270"/>
      <c r="X36" s="270"/>
      <c r="Y36" s="270"/>
      <c r="Z36" s="270"/>
      <c r="AA36" s="270"/>
      <c r="AB36" s="270"/>
      <c r="AC36" s="270"/>
      <c r="AD36" s="270"/>
      <c r="AE36" s="270"/>
      <c r="AF36" s="270">
        <v>1</v>
      </c>
      <c r="AG36" s="270"/>
      <c r="AH36" s="270"/>
      <c r="AI36" s="270">
        <v>6000</v>
      </c>
      <c r="AJ36" s="23">
        <f t="shared" si="13"/>
        <v>6000</v>
      </c>
      <c r="AK36" s="270">
        <f t="shared" si="5"/>
        <v>6000</v>
      </c>
      <c r="AL36" s="270"/>
      <c r="AM36" s="270"/>
      <c r="AN36" s="270"/>
      <c r="AO36" s="270"/>
      <c r="AP36" s="969"/>
      <c r="AQ36" s="972"/>
      <c r="AR36" s="268"/>
    </row>
    <row r="37" spans="1:44" ht="47.25">
      <c r="A37" s="277" t="s">
        <v>44</v>
      </c>
      <c r="B37" s="277" t="s">
        <v>1002</v>
      </c>
      <c r="C37" s="277" t="s">
        <v>1003</v>
      </c>
      <c r="D37" s="278" t="s">
        <v>1004</v>
      </c>
      <c r="E37" s="279"/>
      <c r="F37" s="152"/>
      <c r="G37" s="131"/>
      <c r="H37" s="280"/>
      <c r="I37" s="281">
        <f t="shared" si="12"/>
        <v>0.34713950555432349</v>
      </c>
      <c r="J37" s="282"/>
      <c r="K37" s="283">
        <f>K38+K39+K40</f>
        <v>100</v>
      </c>
      <c r="L37" s="135"/>
      <c r="M37" s="135"/>
      <c r="N37" s="135"/>
      <c r="O37" s="135">
        <f t="shared" ref="O37:P37" si="15">O38+O39+O40+O41</f>
        <v>6000</v>
      </c>
      <c r="P37" s="135">
        <f t="shared" si="15"/>
        <v>6000</v>
      </c>
      <c r="Q37" s="135">
        <f>Q38+Q39+Q40+Q41</f>
        <v>6000</v>
      </c>
      <c r="R37" s="135"/>
      <c r="S37" s="135"/>
      <c r="T37" s="135"/>
      <c r="U37" s="135">
        <f t="shared" ref="U37:W37" si="16">U38+U39+U40+U41</f>
        <v>6000</v>
      </c>
      <c r="V37" s="135">
        <f t="shared" si="16"/>
        <v>6000</v>
      </c>
      <c r="W37" s="135">
        <f t="shared" si="16"/>
        <v>6000</v>
      </c>
      <c r="X37" s="135"/>
      <c r="Y37" s="135"/>
      <c r="Z37" s="135"/>
      <c r="AA37" s="135">
        <f t="shared" ref="AA37:AC37" si="17">AA38+AA39+AA40+AA41</f>
        <v>6000</v>
      </c>
      <c r="AB37" s="135">
        <f t="shared" si="17"/>
        <v>6000</v>
      </c>
      <c r="AC37" s="135">
        <f t="shared" si="17"/>
        <v>6000</v>
      </c>
      <c r="AD37" s="135"/>
      <c r="AE37" s="135"/>
      <c r="AF37" s="135"/>
      <c r="AG37" s="135">
        <f t="shared" ref="AG37:AJ37" si="18">AG38+AG39+AG40+AG41</f>
        <v>6000</v>
      </c>
      <c r="AH37" s="135">
        <f t="shared" si="18"/>
        <v>6000</v>
      </c>
      <c r="AI37" s="135">
        <f t="shared" si="18"/>
        <v>6000</v>
      </c>
      <c r="AJ37" s="135">
        <f t="shared" si="18"/>
        <v>72000</v>
      </c>
      <c r="AK37" s="135">
        <f>AJ37</f>
        <v>72000</v>
      </c>
      <c r="AL37" s="135"/>
      <c r="AM37" s="135"/>
      <c r="AN37" s="135"/>
      <c r="AO37" s="135"/>
      <c r="AP37" s="131"/>
      <c r="AQ37" s="284"/>
      <c r="AR37" s="245"/>
    </row>
    <row r="38" spans="1:44" ht="54.75" customHeight="1">
      <c r="A38" s="285" t="s">
        <v>44</v>
      </c>
      <c r="B38" s="285" t="s">
        <v>1002</v>
      </c>
      <c r="C38" s="285" t="s">
        <v>1005</v>
      </c>
      <c r="D38" s="286" t="s">
        <v>1006</v>
      </c>
      <c r="E38" s="136">
        <f>L38+M38+N38+R38+S38+T38+X38+Y38+Z38+AD38+AE38+AF38</f>
        <v>460</v>
      </c>
      <c r="F38" s="258" t="s">
        <v>144</v>
      </c>
      <c r="G38" s="286" t="s">
        <v>1007</v>
      </c>
      <c r="H38" s="259" t="s">
        <v>923</v>
      </c>
      <c r="I38" s="249">
        <f t="shared" si="12"/>
        <v>0.15428422469081043</v>
      </c>
      <c r="J38" s="955">
        <v>5</v>
      </c>
      <c r="K38" s="272">
        <v>33</v>
      </c>
      <c r="L38" s="270">
        <v>38</v>
      </c>
      <c r="M38" s="270">
        <v>38</v>
      </c>
      <c r="N38" s="270">
        <v>38</v>
      </c>
      <c r="O38" s="270">
        <v>3000</v>
      </c>
      <c r="P38" s="270">
        <v>3000</v>
      </c>
      <c r="Q38" s="270">
        <v>2000</v>
      </c>
      <c r="R38" s="270">
        <v>38</v>
      </c>
      <c r="S38" s="270">
        <v>38</v>
      </c>
      <c r="T38" s="270">
        <v>38</v>
      </c>
      <c r="U38" s="270">
        <v>3000</v>
      </c>
      <c r="V38" s="270">
        <v>3000</v>
      </c>
      <c r="W38" s="270">
        <v>2000</v>
      </c>
      <c r="X38" s="270">
        <v>38</v>
      </c>
      <c r="Y38" s="270">
        <v>38</v>
      </c>
      <c r="Z38" s="270">
        <v>39</v>
      </c>
      <c r="AA38" s="270">
        <v>3000</v>
      </c>
      <c r="AB38" s="270">
        <v>3000</v>
      </c>
      <c r="AC38" s="270">
        <v>2000</v>
      </c>
      <c r="AD38" s="270">
        <v>39</v>
      </c>
      <c r="AE38" s="270">
        <v>39</v>
      </c>
      <c r="AF38" s="270">
        <v>39</v>
      </c>
      <c r="AG38" s="270">
        <v>3000</v>
      </c>
      <c r="AH38" s="270">
        <v>3000</v>
      </c>
      <c r="AI38" s="270">
        <v>2000</v>
      </c>
      <c r="AJ38" s="23">
        <f>+(O38+P38+Q38)+(U38+V38+W38)+(AA38+AB38+AC38)+(AG38+AH38+AI38)</f>
        <v>32000</v>
      </c>
      <c r="AK38" s="254">
        <f>AJ38</f>
        <v>32000</v>
      </c>
      <c r="AL38" s="23"/>
      <c r="AM38" s="23"/>
      <c r="AN38" s="23"/>
      <c r="AO38" s="23"/>
      <c r="AP38" s="944" t="s">
        <v>924</v>
      </c>
      <c r="AQ38" s="937" t="s">
        <v>1008</v>
      </c>
      <c r="AR38" s="948"/>
    </row>
    <row r="39" spans="1:44" ht="60.75" customHeight="1">
      <c r="A39" s="958" t="s">
        <v>44</v>
      </c>
      <c r="B39" s="958" t="s">
        <v>1002</v>
      </c>
      <c r="C39" s="958" t="s">
        <v>1009</v>
      </c>
      <c r="D39" s="961" t="s">
        <v>1010</v>
      </c>
      <c r="E39" s="136">
        <f>L39+M39+N39+R39+S39+T39+X39+Y39+Z39+AD39+AE39+AF39</f>
        <v>460</v>
      </c>
      <c r="F39" s="258" t="s">
        <v>144</v>
      </c>
      <c r="G39" s="286" t="s">
        <v>1011</v>
      </c>
      <c r="H39" s="259" t="s">
        <v>923</v>
      </c>
      <c r="I39" s="249">
        <f t="shared" si="12"/>
        <v>0.15428422469081043</v>
      </c>
      <c r="J39" s="956"/>
      <c r="K39" s="272">
        <v>33</v>
      </c>
      <c r="L39" s="270">
        <v>38</v>
      </c>
      <c r="M39" s="270">
        <v>38</v>
      </c>
      <c r="N39" s="270">
        <v>38</v>
      </c>
      <c r="O39" s="270">
        <v>3000</v>
      </c>
      <c r="P39" s="270">
        <v>3000</v>
      </c>
      <c r="Q39" s="270">
        <v>2000</v>
      </c>
      <c r="R39" s="270">
        <v>38</v>
      </c>
      <c r="S39" s="270">
        <v>38</v>
      </c>
      <c r="T39" s="270">
        <v>38</v>
      </c>
      <c r="U39" s="270">
        <v>3000</v>
      </c>
      <c r="V39" s="270">
        <v>3000</v>
      </c>
      <c r="W39" s="270">
        <v>2000</v>
      </c>
      <c r="X39" s="270">
        <v>38</v>
      </c>
      <c r="Y39" s="270">
        <v>38</v>
      </c>
      <c r="Z39" s="270">
        <v>39</v>
      </c>
      <c r="AA39" s="270">
        <v>3000</v>
      </c>
      <c r="AB39" s="270">
        <v>3000</v>
      </c>
      <c r="AC39" s="270">
        <v>2000</v>
      </c>
      <c r="AD39" s="270">
        <v>39</v>
      </c>
      <c r="AE39" s="270">
        <v>39</v>
      </c>
      <c r="AF39" s="270">
        <v>39</v>
      </c>
      <c r="AG39" s="270">
        <v>3000</v>
      </c>
      <c r="AH39" s="270">
        <v>3000</v>
      </c>
      <c r="AI39" s="270">
        <v>2000</v>
      </c>
      <c r="AJ39" s="23">
        <f>+(O39+P39+Q39)+(U39+V39+W39)+(AA39+AB39+AC39)+(AG39+AH39+AI39)</f>
        <v>32000</v>
      </c>
      <c r="AK39" s="254">
        <f>AJ39</f>
        <v>32000</v>
      </c>
      <c r="AL39" s="23"/>
      <c r="AM39" s="23"/>
      <c r="AN39" s="23"/>
      <c r="AO39" s="23"/>
      <c r="AP39" s="946"/>
      <c r="AQ39" s="938"/>
      <c r="AR39" s="948"/>
    </row>
    <row r="40" spans="1:44" ht="60.75" customHeight="1">
      <c r="A40" s="959"/>
      <c r="B40" s="959"/>
      <c r="C40" s="959"/>
      <c r="D40" s="962"/>
      <c r="E40" s="136">
        <f>L40+M40+N40+R40+S40+T40+X40+Y40+Z40+AD40+AE40+AF40</f>
        <v>4</v>
      </c>
      <c r="F40" s="287" t="s">
        <v>168</v>
      </c>
      <c r="G40" s="288" t="s">
        <v>1012</v>
      </c>
      <c r="H40" s="288" t="s">
        <v>1013</v>
      </c>
      <c r="I40" s="249">
        <f t="shared" si="12"/>
        <v>1.9285528086351304E-2</v>
      </c>
      <c r="J40" s="957"/>
      <c r="K40" s="289">
        <v>34</v>
      </c>
      <c r="L40" s="290"/>
      <c r="M40" s="290"/>
      <c r="N40" s="290">
        <v>1</v>
      </c>
      <c r="O40" s="290"/>
      <c r="P40" s="290"/>
      <c r="Q40" s="290">
        <v>1000</v>
      </c>
      <c r="R40" s="290"/>
      <c r="S40" s="290"/>
      <c r="T40" s="290">
        <v>1</v>
      </c>
      <c r="U40" s="290"/>
      <c r="V40" s="290"/>
      <c r="W40" s="290">
        <v>1000</v>
      </c>
      <c r="X40" s="290"/>
      <c r="Y40" s="290"/>
      <c r="Z40" s="290">
        <v>1</v>
      </c>
      <c r="AA40" s="290"/>
      <c r="AB40" s="290"/>
      <c r="AC40" s="290">
        <v>1000</v>
      </c>
      <c r="AD40" s="290"/>
      <c r="AE40" s="290"/>
      <c r="AF40" s="290">
        <v>1</v>
      </c>
      <c r="AG40" s="290"/>
      <c r="AH40" s="290"/>
      <c r="AI40" s="290">
        <v>1000</v>
      </c>
      <c r="AJ40" s="23">
        <f>+(O40+P40+Q40)+(U40+V40+W40)+(AA40+AB40+AC40)+(AG40+AH40+AI40)</f>
        <v>4000</v>
      </c>
      <c r="AK40" s="254">
        <f>AJ40</f>
        <v>4000</v>
      </c>
      <c r="AL40" s="23"/>
      <c r="AM40" s="23"/>
      <c r="AN40" s="23"/>
      <c r="AO40" s="23"/>
      <c r="AP40" s="944" t="s">
        <v>924</v>
      </c>
      <c r="AQ40" s="937" t="s">
        <v>1008</v>
      </c>
      <c r="AR40" s="706"/>
    </row>
    <row r="41" spans="1:44" ht="60.75" customHeight="1">
      <c r="A41" s="960"/>
      <c r="B41" s="960"/>
      <c r="C41" s="960"/>
      <c r="D41" s="963"/>
      <c r="E41" s="136">
        <f>L41+M41+N41+R41+S41+T41+X41+Y41+Z41+AD41+AE41+AF41</f>
        <v>4</v>
      </c>
      <c r="F41" s="287" t="s">
        <v>168</v>
      </c>
      <c r="G41" s="288" t="s">
        <v>1014</v>
      </c>
      <c r="H41" s="288" t="s">
        <v>1013</v>
      </c>
      <c r="I41" s="249"/>
      <c r="J41" s="704"/>
      <c r="K41" s="289"/>
      <c r="L41" s="290"/>
      <c r="M41" s="290"/>
      <c r="N41" s="290">
        <v>1</v>
      </c>
      <c r="O41" s="290"/>
      <c r="P41" s="290"/>
      <c r="Q41" s="290">
        <v>1000</v>
      </c>
      <c r="R41" s="290"/>
      <c r="S41" s="290"/>
      <c r="T41" s="290">
        <v>1</v>
      </c>
      <c r="U41" s="290"/>
      <c r="V41" s="290"/>
      <c r="W41" s="290">
        <v>1000</v>
      </c>
      <c r="X41" s="290"/>
      <c r="Y41" s="290"/>
      <c r="Z41" s="290">
        <v>1</v>
      </c>
      <c r="AA41" s="290"/>
      <c r="AB41" s="290"/>
      <c r="AC41" s="290">
        <v>1000</v>
      </c>
      <c r="AD41" s="290"/>
      <c r="AE41" s="290"/>
      <c r="AF41" s="290">
        <v>1</v>
      </c>
      <c r="AG41" s="290"/>
      <c r="AH41" s="290"/>
      <c r="AI41" s="290">
        <v>1000</v>
      </c>
      <c r="AJ41" s="23">
        <f>+(O41+P41+Q41)+(U41+V41+W41)+(AA41+AB41+AC41)+(AG41+AH41+AI41)</f>
        <v>4000</v>
      </c>
      <c r="AK41" s="254">
        <f>AJ41</f>
        <v>4000</v>
      </c>
      <c r="AL41" s="23"/>
      <c r="AM41" s="23"/>
      <c r="AN41" s="23"/>
      <c r="AO41" s="23"/>
      <c r="AP41" s="946"/>
      <c r="AQ41" s="938"/>
      <c r="AR41" s="706"/>
    </row>
    <row r="42" spans="1:44" ht="117" customHeight="1">
      <c r="A42" s="152" t="s">
        <v>44</v>
      </c>
      <c r="B42" s="152" t="s">
        <v>676</v>
      </c>
      <c r="C42" s="152" t="s">
        <v>1015</v>
      </c>
      <c r="D42" s="245" t="s">
        <v>1016</v>
      </c>
      <c r="E42" s="134"/>
      <c r="F42" s="130"/>
      <c r="G42" s="245"/>
      <c r="H42" s="245"/>
      <c r="I42" s="133">
        <f>SUM(I43:I45)</f>
        <v>0.59302998865530254</v>
      </c>
      <c r="J42" s="134">
        <f>SUM(J43:J45)</f>
        <v>9</v>
      </c>
      <c r="K42" s="134">
        <f>SUM(K43:K45)</f>
        <v>99.999999999999901</v>
      </c>
      <c r="L42" s="135"/>
      <c r="M42" s="135"/>
      <c r="N42" s="135"/>
      <c r="O42" s="135">
        <f>O43+O44+O45</f>
        <v>8000</v>
      </c>
      <c r="P42" s="135">
        <f>P43+P44+P45</f>
        <v>11000</v>
      </c>
      <c r="Q42" s="135">
        <f>Q43+Q44+Q45</f>
        <v>11000</v>
      </c>
      <c r="R42" s="135"/>
      <c r="S42" s="135"/>
      <c r="T42" s="135"/>
      <c r="U42" s="135">
        <f>U43+U44+U45</f>
        <v>12000</v>
      </c>
      <c r="V42" s="135">
        <f>V43+V44+V45</f>
        <v>11500</v>
      </c>
      <c r="W42" s="135">
        <f>W43+W44+W45</f>
        <v>11500</v>
      </c>
      <c r="X42" s="135"/>
      <c r="Y42" s="135"/>
      <c r="Z42" s="135"/>
      <c r="AA42" s="135">
        <f>AA43+AA44+AA45</f>
        <v>9500</v>
      </c>
      <c r="AB42" s="135">
        <f>AB43+AB44+AB45</f>
        <v>10500</v>
      </c>
      <c r="AC42" s="135">
        <f>AC43+AC44+AC45</f>
        <v>11000</v>
      </c>
      <c r="AD42" s="135"/>
      <c r="AE42" s="135"/>
      <c r="AF42" s="135"/>
      <c r="AG42" s="135">
        <f>AG43+AG44+AG45</f>
        <v>12000</v>
      </c>
      <c r="AH42" s="135">
        <f>AH43+AH44+AH45</f>
        <v>9200</v>
      </c>
      <c r="AI42" s="135">
        <f>AI43+AI44+AI45</f>
        <v>5800</v>
      </c>
      <c r="AJ42" s="135">
        <f>AJ43+AJ44+AJ45</f>
        <v>123000</v>
      </c>
      <c r="AK42" s="135">
        <f t="shared" ref="AK42:AK49" si="19">AJ42</f>
        <v>123000</v>
      </c>
      <c r="AL42" s="135"/>
      <c r="AM42" s="135"/>
      <c r="AN42" s="135"/>
      <c r="AO42" s="135"/>
      <c r="AP42" s="274"/>
      <c r="AQ42" s="245"/>
      <c r="AR42" s="245"/>
    </row>
    <row r="43" spans="1:44" ht="76.5" customHeight="1">
      <c r="A43" s="258" t="s">
        <v>44</v>
      </c>
      <c r="B43" s="258" t="s">
        <v>676</v>
      </c>
      <c r="C43" s="258" t="s">
        <v>1017</v>
      </c>
      <c r="D43" s="706" t="s">
        <v>1018</v>
      </c>
      <c r="E43" s="250">
        <f>L43+M43+N43+R43+S43+T43+X43+Y43+Z43+AD43+AE43+AF43</f>
        <v>2249</v>
      </c>
      <c r="F43" s="291" t="s">
        <v>168</v>
      </c>
      <c r="G43" s="706" t="s">
        <v>1019</v>
      </c>
      <c r="H43" s="221" t="s">
        <v>923</v>
      </c>
      <c r="I43" s="249">
        <f>AJ43/AJ$58*100</f>
        <v>0.22226571119519878</v>
      </c>
      <c r="J43" s="949">
        <v>9</v>
      </c>
      <c r="K43" s="292">
        <f>0.333333333333333*100</f>
        <v>33.3333333333333</v>
      </c>
      <c r="L43" s="253">
        <v>150</v>
      </c>
      <c r="M43" s="253">
        <v>220</v>
      </c>
      <c r="N43" s="253">
        <v>219</v>
      </c>
      <c r="O43" s="253">
        <v>3000</v>
      </c>
      <c r="P43" s="253">
        <v>4000</v>
      </c>
      <c r="Q43" s="253">
        <v>4000</v>
      </c>
      <c r="R43" s="253">
        <v>195</v>
      </c>
      <c r="S43" s="253">
        <v>195</v>
      </c>
      <c r="T43" s="253">
        <v>195</v>
      </c>
      <c r="U43" s="253">
        <v>4000</v>
      </c>
      <c r="V43" s="253">
        <v>4000</v>
      </c>
      <c r="W43" s="253">
        <v>4000</v>
      </c>
      <c r="X43" s="253">
        <v>195</v>
      </c>
      <c r="Y43" s="253">
        <v>195</v>
      </c>
      <c r="Z43" s="253">
        <v>195</v>
      </c>
      <c r="AA43" s="253">
        <v>4000</v>
      </c>
      <c r="AB43" s="253">
        <v>4000</v>
      </c>
      <c r="AC43" s="253">
        <v>4000</v>
      </c>
      <c r="AD43" s="253">
        <v>195</v>
      </c>
      <c r="AE43" s="253">
        <v>195</v>
      </c>
      <c r="AF43" s="253">
        <v>100</v>
      </c>
      <c r="AG43" s="253">
        <v>4000</v>
      </c>
      <c r="AH43" s="253">
        <v>4000</v>
      </c>
      <c r="AI43" s="253">
        <f>2500+600</f>
        <v>3100</v>
      </c>
      <c r="AJ43" s="23">
        <f>+(O43+P43+Q43)+(U43+V43+W43)+(AA43+AB43+AC43)+(AG43+AH43+AI43)</f>
        <v>46100</v>
      </c>
      <c r="AK43" s="254">
        <f t="shared" si="19"/>
        <v>46100</v>
      </c>
      <c r="AL43" s="254"/>
      <c r="AM43" s="254"/>
      <c r="AN43" s="254"/>
      <c r="AO43" s="254"/>
      <c r="AP43" s="944" t="s">
        <v>924</v>
      </c>
      <c r="AQ43" s="937" t="s">
        <v>1020</v>
      </c>
      <c r="AR43" s="948"/>
    </row>
    <row r="44" spans="1:44" ht="76.5" customHeight="1">
      <c r="A44" s="258" t="s">
        <v>44</v>
      </c>
      <c r="B44" s="258" t="s">
        <v>676</v>
      </c>
      <c r="C44" s="258" t="s">
        <v>1021</v>
      </c>
      <c r="D44" s="706" t="s">
        <v>1022</v>
      </c>
      <c r="E44" s="250">
        <f>L44+M44+N44+R44+S44+T44+X44+Y44+Z44+AD44+AE44+AF44</f>
        <v>1012</v>
      </c>
      <c r="F44" s="291" t="s">
        <v>168</v>
      </c>
      <c r="G44" s="706" t="s">
        <v>1019</v>
      </c>
      <c r="H44" s="221" t="s">
        <v>923</v>
      </c>
      <c r="I44" s="249">
        <f>AJ44/AJ$58*100</f>
        <v>0.2049087359174826</v>
      </c>
      <c r="J44" s="950"/>
      <c r="K44" s="292">
        <f>0.333333333333333*100</f>
        <v>33.3333333333333</v>
      </c>
      <c r="L44" s="253">
        <v>85</v>
      </c>
      <c r="M44" s="253">
        <v>100</v>
      </c>
      <c r="N44" s="253">
        <v>100</v>
      </c>
      <c r="O44" s="253">
        <v>3000</v>
      </c>
      <c r="P44" s="253">
        <v>4000</v>
      </c>
      <c r="Q44" s="253">
        <v>4000</v>
      </c>
      <c r="R44" s="253">
        <v>100</v>
      </c>
      <c r="S44" s="253">
        <v>75</v>
      </c>
      <c r="T44" s="253">
        <v>75</v>
      </c>
      <c r="U44" s="253">
        <v>4000</v>
      </c>
      <c r="V44" s="253">
        <v>3500</v>
      </c>
      <c r="W44" s="253">
        <v>3500</v>
      </c>
      <c r="X44" s="253">
        <v>75</v>
      </c>
      <c r="Y44" s="253">
        <v>75</v>
      </c>
      <c r="Z44" s="253">
        <v>100</v>
      </c>
      <c r="AA44" s="253">
        <v>3500</v>
      </c>
      <c r="AB44" s="253">
        <v>3500</v>
      </c>
      <c r="AC44" s="253">
        <v>4000</v>
      </c>
      <c r="AD44" s="253">
        <v>100</v>
      </c>
      <c r="AE44" s="253">
        <v>100</v>
      </c>
      <c r="AF44" s="253">
        <v>27</v>
      </c>
      <c r="AG44" s="253">
        <v>4000</v>
      </c>
      <c r="AH44" s="253">
        <v>4000</v>
      </c>
      <c r="AI44" s="253">
        <v>1500</v>
      </c>
      <c r="AJ44" s="23">
        <f>+(O44+P44+Q44)+(U44+V44+W44)+(AA44+AB44+AC44)+(AG44+AH44+AI44)</f>
        <v>42500</v>
      </c>
      <c r="AK44" s="254">
        <f t="shared" si="19"/>
        <v>42500</v>
      </c>
      <c r="AL44" s="254"/>
      <c r="AM44" s="254"/>
      <c r="AN44" s="254"/>
      <c r="AO44" s="254"/>
      <c r="AP44" s="945"/>
      <c r="AQ44" s="947"/>
      <c r="AR44" s="948"/>
    </row>
    <row r="45" spans="1:44" ht="72" customHeight="1">
      <c r="A45" s="258" t="s">
        <v>44</v>
      </c>
      <c r="B45" s="258" t="s">
        <v>676</v>
      </c>
      <c r="C45" s="258" t="s">
        <v>1023</v>
      </c>
      <c r="D45" s="706" t="s">
        <v>1024</v>
      </c>
      <c r="E45" s="250">
        <f>L45+M45+N45+R45+S45+T45+X45+Y45+Z45+AD45+AE45+AF45</f>
        <v>24</v>
      </c>
      <c r="F45" s="258" t="s">
        <v>168</v>
      </c>
      <c r="G45" s="221" t="s">
        <v>1025</v>
      </c>
      <c r="H45" s="221" t="s">
        <v>923</v>
      </c>
      <c r="I45" s="249">
        <f>AJ45/AJ$58*100</f>
        <v>0.16585554154262122</v>
      </c>
      <c r="J45" s="951"/>
      <c r="K45" s="292">
        <f>0.333333333333333*100</f>
        <v>33.3333333333333</v>
      </c>
      <c r="L45" s="253">
        <v>1</v>
      </c>
      <c r="M45" s="253">
        <v>2</v>
      </c>
      <c r="N45" s="253">
        <v>2</v>
      </c>
      <c r="O45" s="253">
        <v>2000</v>
      </c>
      <c r="P45" s="253">
        <v>3000</v>
      </c>
      <c r="Q45" s="253">
        <v>3000</v>
      </c>
      <c r="R45" s="253">
        <v>3</v>
      </c>
      <c r="S45" s="253">
        <v>3</v>
      </c>
      <c r="T45" s="253">
        <v>3</v>
      </c>
      <c r="U45" s="253">
        <v>4000</v>
      </c>
      <c r="V45" s="253">
        <v>4000</v>
      </c>
      <c r="W45" s="253">
        <v>4000</v>
      </c>
      <c r="X45" s="253">
        <v>1</v>
      </c>
      <c r="Y45" s="253">
        <v>2</v>
      </c>
      <c r="Z45" s="253">
        <v>2</v>
      </c>
      <c r="AA45" s="253">
        <v>2000</v>
      </c>
      <c r="AB45" s="253">
        <v>3000</v>
      </c>
      <c r="AC45" s="253">
        <v>3000</v>
      </c>
      <c r="AD45" s="253">
        <v>3</v>
      </c>
      <c r="AE45" s="253">
        <v>1</v>
      </c>
      <c r="AF45" s="253">
        <v>1</v>
      </c>
      <c r="AG45" s="253">
        <v>4000</v>
      </c>
      <c r="AH45" s="253">
        <v>1200</v>
      </c>
      <c r="AI45" s="253">
        <v>1200</v>
      </c>
      <c r="AJ45" s="23">
        <f>+(O45+P45+Q45)+(U45+V45+W45)+(AA45+AB45+AC45)+(AG45+AH45+AI45)</f>
        <v>34400</v>
      </c>
      <c r="AK45" s="254">
        <f t="shared" si="19"/>
        <v>34400</v>
      </c>
      <c r="AL45" s="254"/>
      <c r="AM45" s="254"/>
      <c r="AN45" s="254"/>
      <c r="AO45" s="254"/>
      <c r="AP45" s="946"/>
      <c r="AQ45" s="938"/>
      <c r="AR45" s="948"/>
    </row>
    <row r="46" spans="1:44" ht="51" customHeight="1">
      <c r="A46" s="152" t="s">
        <v>44</v>
      </c>
      <c r="B46" s="152" t="s">
        <v>676</v>
      </c>
      <c r="C46" s="152" t="s">
        <v>1026</v>
      </c>
      <c r="D46" s="245" t="s">
        <v>1027</v>
      </c>
      <c r="E46" s="134"/>
      <c r="F46" s="130"/>
      <c r="G46" s="245"/>
      <c r="H46" s="245"/>
      <c r="I46" s="133"/>
      <c r="J46" s="134">
        <f>J47</f>
        <v>6</v>
      </c>
      <c r="K46" s="134">
        <f>K47+K48</f>
        <v>100</v>
      </c>
      <c r="L46" s="135"/>
      <c r="M46" s="135"/>
      <c r="N46" s="135"/>
      <c r="O46" s="135"/>
      <c r="P46" s="135"/>
      <c r="Q46" s="135"/>
      <c r="R46" s="135"/>
      <c r="S46" s="135"/>
      <c r="T46" s="135"/>
      <c r="U46" s="135">
        <f t="shared" ref="U46:W46" si="20">U47+U48</f>
        <v>2500</v>
      </c>
      <c r="V46" s="135"/>
      <c r="W46" s="135">
        <f t="shared" si="20"/>
        <v>2500</v>
      </c>
      <c r="X46" s="135"/>
      <c r="Y46" s="135"/>
      <c r="Z46" s="135"/>
      <c r="AA46" s="135"/>
      <c r="AB46" s="135">
        <f t="shared" ref="AB46:AC46" si="21">AB47+AB48</f>
        <v>2500</v>
      </c>
      <c r="AC46" s="135">
        <f t="shared" si="21"/>
        <v>2500</v>
      </c>
      <c r="AD46" s="135"/>
      <c r="AE46" s="135"/>
      <c r="AF46" s="135"/>
      <c r="AG46" s="135"/>
      <c r="AH46" s="135"/>
      <c r="AI46" s="135"/>
      <c r="AJ46" s="135">
        <f t="shared" ref="AJ46:AK46" si="22">AJ47+AJ48</f>
        <v>10000</v>
      </c>
      <c r="AK46" s="135">
        <f t="shared" si="22"/>
        <v>5000</v>
      </c>
      <c r="AL46" s="135"/>
      <c r="AM46" s="135"/>
      <c r="AN46" s="135"/>
      <c r="AO46" s="135">
        <f>AO47+AO48</f>
        <v>5000</v>
      </c>
      <c r="AP46" s="245"/>
      <c r="AQ46" s="245"/>
      <c r="AR46" s="245"/>
    </row>
    <row r="47" spans="1:44" s="296" customFormat="1" ht="82.5" customHeight="1">
      <c r="A47" s="258" t="s">
        <v>44</v>
      </c>
      <c r="B47" s="258" t="s">
        <v>676</v>
      </c>
      <c r="C47" s="258" t="s">
        <v>1028</v>
      </c>
      <c r="D47" s="293" t="s">
        <v>1029</v>
      </c>
      <c r="E47" s="136">
        <f t="shared" ref="E47:E48" si="23">L47+M47+N47+R47+S47+T47+X47+Y47+Z47+AD47+AE47+AF47</f>
        <v>2</v>
      </c>
      <c r="F47" s="258" t="s">
        <v>942</v>
      </c>
      <c r="G47" s="221" t="s">
        <v>1030</v>
      </c>
      <c r="H47" s="221" t="s">
        <v>923</v>
      </c>
      <c r="I47" s="249">
        <f>AJ47/AJ$58*100</f>
        <v>2.4106910107939132E-2</v>
      </c>
      <c r="J47" s="952">
        <v>6</v>
      </c>
      <c r="K47" s="294">
        <v>50</v>
      </c>
      <c r="L47" s="295"/>
      <c r="M47" s="295"/>
      <c r="N47" s="295"/>
      <c r="O47" s="295"/>
      <c r="P47" s="254"/>
      <c r="Q47" s="254"/>
      <c r="R47" s="254">
        <v>1</v>
      </c>
      <c r="S47" s="254"/>
      <c r="T47" s="254"/>
      <c r="U47" s="254">
        <v>2500</v>
      </c>
      <c r="V47" s="254"/>
      <c r="W47" s="254"/>
      <c r="X47" s="254"/>
      <c r="Y47" s="254">
        <v>1</v>
      </c>
      <c r="Z47" s="254"/>
      <c r="AA47" s="254"/>
      <c r="AB47" s="254">
        <v>2500</v>
      </c>
      <c r="AC47" s="254"/>
      <c r="AD47" s="254"/>
      <c r="AE47" s="254"/>
      <c r="AF47" s="254"/>
      <c r="AG47" s="254"/>
      <c r="AH47" s="254"/>
      <c r="AI47" s="254"/>
      <c r="AJ47" s="254">
        <f>+(O47+P47+Q47)+(U47+V47+W47)+(AA47+AB47+AC47)+(AG47+AH47+AI47)</f>
        <v>5000</v>
      </c>
      <c r="AK47" s="254">
        <f>AJ47</f>
        <v>5000</v>
      </c>
      <c r="AL47" s="254"/>
      <c r="AM47" s="254"/>
      <c r="AN47" s="254"/>
      <c r="AO47" s="254"/>
      <c r="AP47" s="939" t="s">
        <v>924</v>
      </c>
      <c r="AQ47" s="939" t="s">
        <v>954</v>
      </c>
      <c r="AR47" s="694"/>
    </row>
    <row r="48" spans="1:44" s="296" customFormat="1" ht="108" customHeight="1">
      <c r="A48" s="700" t="s">
        <v>44</v>
      </c>
      <c r="B48" s="700" t="s">
        <v>676</v>
      </c>
      <c r="C48" s="700" t="s">
        <v>1031</v>
      </c>
      <c r="D48" s="297" t="s">
        <v>1032</v>
      </c>
      <c r="E48" s="136">
        <f t="shared" si="23"/>
        <v>2</v>
      </c>
      <c r="F48" s="258" t="s">
        <v>196</v>
      </c>
      <c r="G48" s="221" t="s">
        <v>1033</v>
      </c>
      <c r="H48" s="221" t="s">
        <v>923</v>
      </c>
      <c r="I48" s="249">
        <f>AJ48/AJ$58*100</f>
        <v>2.4106910107939132E-2</v>
      </c>
      <c r="J48" s="953"/>
      <c r="K48" s="294">
        <v>50</v>
      </c>
      <c r="L48" s="295"/>
      <c r="M48" s="295"/>
      <c r="N48" s="295"/>
      <c r="O48" s="295"/>
      <c r="P48" s="254"/>
      <c r="Q48" s="254"/>
      <c r="R48" s="254"/>
      <c r="S48" s="254"/>
      <c r="T48" s="254">
        <v>1</v>
      </c>
      <c r="U48" s="254"/>
      <c r="V48" s="254"/>
      <c r="W48" s="254">
        <v>2500</v>
      </c>
      <c r="X48" s="254"/>
      <c r="Y48" s="254"/>
      <c r="Z48" s="254">
        <v>1</v>
      </c>
      <c r="AA48" s="254"/>
      <c r="AB48" s="254"/>
      <c r="AC48" s="254">
        <v>2500</v>
      </c>
      <c r="AD48" s="254"/>
      <c r="AE48" s="254"/>
      <c r="AF48" s="254"/>
      <c r="AG48" s="254"/>
      <c r="AH48" s="254"/>
      <c r="AI48" s="254"/>
      <c r="AJ48" s="254">
        <f>+(O48+P48+Q48)+(U48+V48+W48)+(AA48+AB48+AC48)+(AG48+AH48+AI48)</f>
        <v>5000</v>
      </c>
      <c r="AK48" s="254"/>
      <c r="AL48" s="254"/>
      <c r="AM48" s="254"/>
      <c r="AN48" s="254"/>
      <c r="AO48" s="254">
        <f>AJ48</f>
        <v>5000</v>
      </c>
      <c r="AP48" s="954"/>
      <c r="AQ48" s="954"/>
      <c r="AR48" s="221" t="s">
        <v>1034</v>
      </c>
    </row>
    <row r="49" spans="1:44" ht="31.5">
      <c r="A49" s="152" t="s">
        <v>44</v>
      </c>
      <c r="B49" s="152" t="s">
        <v>687</v>
      </c>
      <c r="C49" s="152" t="s">
        <v>1035</v>
      </c>
      <c r="D49" s="245" t="s">
        <v>1036</v>
      </c>
      <c r="E49" s="134"/>
      <c r="F49" s="130"/>
      <c r="G49" s="245"/>
      <c r="H49" s="245"/>
      <c r="I49" s="133">
        <f>SUM(I50:I52)</f>
        <v>0.79384054985443564</v>
      </c>
      <c r="J49" s="134">
        <f>SUM(J50:J52)</f>
        <v>10</v>
      </c>
      <c r="K49" s="134"/>
      <c r="L49" s="135"/>
      <c r="M49" s="135"/>
      <c r="N49" s="135"/>
      <c r="O49" s="135">
        <f>O50+O51+O52</f>
        <v>14000</v>
      </c>
      <c r="P49" s="135">
        <f>P50+P51+P52</f>
        <v>14000</v>
      </c>
      <c r="Q49" s="135">
        <f>Q50+Q51+Q52</f>
        <v>14000</v>
      </c>
      <c r="R49" s="135"/>
      <c r="S49" s="135"/>
      <c r="T49" s="135"/>
      <c r="U49" s="135">
        <f>U50+U51+U52</f>
        <v>13500</v>
      </c>
      <c r="V49" s="135">
        <f>V50+V51+V52</f>
        <v>13500</v>
      </c>
      <c r="W49" s="135">
        <f>W50+W51+W52</f>
        <v>13500</v>
      </c>
      <c r="X49" s="135"/>
      <c r="Y49" s="135"/>
      <c r="Z49" s="135"/>
      <c r="AA49" s="135">
        <f>AA50+AA51+AA52</f>
        <v>13500</v>
      </c>
      <c r="AB49" s="135">
        <f>AB50+AB51+AB52</f>
        <v>13500</v>
      </c>
      <c r="AC49" s="135">
        <f>AC50+AC51+AC52</f>
        <v>13500</v>
      </c>
      <c r="AD49" s="135"/>
      <c r="AE49" s="135"/>
      <c r="AF49" s="135"/>
      <c r="AG49" s="135">
        <f>AG50+AG51+AG52</f>
        <v>14000</v>
      </c>
      <c r="AH49" s="135">
        <f>AH50+AH51+AH52</f>
        <v>14000</v>
      </c>
      <c r="AI49" s="135">
        <f>AI50+AI51+AI52</f>
        <v>13650</v>
      </c>
      <c r="AJ49" s="135">
        <f>AJ50+AJ51+AJ52</f>
        <v>164650</v>
      </c>
      <c r="AK49" s="135">
        <f t="shared" si="19"/>
        <v>164650</v>
      </c>
      <c r="AL49" s="135"/>
      <c r="AM49" s="135"/>
      <c r="AN49" s="135"/>
      <c r="AO49" s="135"/>
      <c r="AP49" s="245"/>
      <c r="AQ49" s="245"/>
      <c r="AR49" s="245"/>
    </row>
    <row r="50" spans="1:44" ht="90" customHeight="1">
      <c r="A50" s="258" t="s">
        <v>44</v>
      </c>
      <c r="B50" s="258" t="s">
        <v>687</v>
      </c>
      <c r="C50" s="258" t="s">
        <v>1037</v>
      </c>
      <c r="D50" s="706" t="s">
        <v>1038</v>
      </c>
      <c r="E50" s="136">
        <f>L50+M50+N50+R50+S50+T50+X50+Y50+Z50+AD50+AE50+AF50</f>
        <v>460</v>
      </c>
      <c r="F50" s="258" t="s">
        <v>168</v>
      </c>
      <c r="G50" s="221" t="s">
        <v>1039</v>
      </c>
      <c r="H50" s="221" t="s">
        <v>923</v>
      </c>
      <c r="I50" s="249">
        <f>AJ50/AJ$58*100</f>
        <v>0.26806884040028311</v>
      </c>
      <c r="J50" s="941">
        <v>10</v>
      </c>
      <c r="K50" s="298">
        <f>0.5*100</f>
        <v>50</v>
      </c>
      <c r="L50" s="299">
        <v>40</v>
      </c>
      <c r="M50" s="299">
        <v>50</v>
      </c>
      <c r="N50" s="299">
        <v>50</v>
      </c>
      <c r="O50" s="299">
        <v>5000</v>
      </c>
      <c r="P50" s="299">
        <v>5000</v>
      </c>
      <c r="Q50" s="299">
        <v>5000</v>
      </c>
      <c r="R50" s="299">
        <v>35</v>
      </c>
      <c r="S50" s="299">
        <v>30</v>
      </c>
      <c r="T50" s="299">
        <v>30</v>
      </c>
      <c r="U50" s="299">
        <v>4500</v>
      </c>
      <c r="V50" s="299">
        <v>4500</v>
      </c>
      <c r="W50" s="299">
        <v>4500</v>
      </c>
      <c r="X50" s="299">
        <v>35</v>
      </c>
      <c r="Y50" s="299">
        <v>35</v>
      </c>
      <c r="Z50" s="299">
        <v>35</v>
      </c>
      <c r="AA50" s="299">
        <v>4500</v>
      </c>
      <c r="AB50" s="299">
        <v>4500</v>
      </c>
      <c r="AC50" s="299">
        <v>4500</v>
      </c>
      <c r="AD50" s="299">
        <v>40</v>
      </c>
      <c r="AE50" s="299">
        <v>40</v>
      </c>
      <c r="AF50" s="299">
        <v>40</v>
      </c>
      <c r="AG50" s="299">
        <v>4500</v>
      </c>
      <c r="AH50" s="299">
        <v>4500</v>
      </c>
      <c r="AI50" s="299">
        <f>4500+100</f>
        <v>4600</v>
      </c>
      <c r="AJ50" s="270">
        <f>SUM(O50+P50+Q50+U50+V50+W50+AA50+AB50+AC50+AG50+AH50+AI50)</f>
        <v>55600</v>
      </c>
      <c r="AK50" s="299">
        <f>AJ50</f>
        <v>55600</v>
      </c>
      <c r="AL50" s="254"/>
      <c r="AM50" s="254"/>
      <c r="AN50" s="254"/>
      <c r="AO50" s="254"/>
      <c r="AP50" s="944" t="s">
        <v>924</v>
      </c>
      <c r="AQ50" s="937" t="s">
        <v>1020</v>
      </c>
      <c r="AR50" s="948"/>
    </row>
    <row r="51" spans="1:44" ht="78" customHeight="1">
      <c r="A51" s="258" t="s">
        <v>44</v>
      </c>
      <c r="B51" s="258" t="s">
        <v>687</v>
      </c>
      <c r="C51" s="258" t="s">
        <v>1040</v>
      </c>
      <c r="D51" s="706" t="s">
        <v>1041</v>
      </c>
      <c r="E51" s="136">
        <f>L51+M51+N51+R51+S51+T51+X51+Y51+Z51+AD51+AE51+AF51</f>
        <v>190</v>
      </c>
      <c r="F51" s="258" t="s">
        <v>168</v>
      </c>
      <c r="G51" s="221" t="s">
        <v>1042</v>
      </c>
      <c r="H51" s="221" t="s">
        <v>923</v>
      </c>
      <c r="I51" s="249">
        <f>AJ51/AJ$58*100</f>
        <v>0.26517601118733042</v>
      </c>
      <c r="J51" s="942"/>
      <c r="K51" s="298">
        <f>0.25*100</f>
        <v>25</v>
      </c>
      <c r="L51" s="299">
        <v>15</v>
      </c>
      <c r="M51" s="299">
        <v>15</v>
      </c>
      <c r="N51" s="299">
        <v>15</v>
      </c>
      <c r="O51" s="299">
        <v>4500</v>
      </c>
      <c r="P51" s="299">
        <v>4500</v>
      </c>
      <c r="Q51" s="299">
        <v>4500</v>
      </c>
      <c r="R51" s="299">
        <v>20</v>
      </c>
      <c r="S51" s="299">
        <v>20</v>
      </c>
      <c r="T51" s="299">
        <v>20</v>
      </c>
      <c r="U51" s="299">
        <v>4500</v>
      </c>
      <c r="V51" s="299">
        <v>4500</v>
      </c>
      <c r="W51" s="299">
        <v>4500</v>
      </c>
      <c r="X51" s="299">
        <v>10</v>
      </c>
      <c r="Y51" s="299">
        <v>10</v>
      </c>
      <c r="Z51" s="299">
        <v>10</v>
      </c>
      <c r="AA51" s="299">
        <v>4500</v>
      </c>
      <c r="AB51" s="299">
        <v>4500</v>
      </c>
      <c r="AC51" s="299">
        <v>4500</v>
      </c>
      <c r="AD51" s="299">
        <v>25</v>
      </c>
      <c r="AE51" s="299">
        <v>25</v>
      </c>
      <c r="AF51" s="299">
        <v>5</v>
      </c>
      <c r="AG51" s="299">
        <v>5000</v>
      </c>
      <c r="AH51" s="299">
        <v>5000</v>
      </c>
      <c r="AI51" s="299">
        <v>4500</v>
      </c>
      <c r="AJ51" s="270">
        <f>SUM(O51+P51+Q51+U51+V51+W51+AA51+AB51+AC51+AG51+AH51+AI51)</f>
        <v>55000</v>
      </c>
      <c r="AK51" s="299">
        <f>AJ51</f>
        <v>55000</v>
      </c>
      <c r="AL51" s="254"/>
      <c r="AM51" s="254"/>
      <c r="AN51" s="254"/>
      <c r="AO51" s="254"/>
      <c r="AP51" s="945"/>
      <c r="AQ51" s="947"/>
      <c r="AR51" s="948"/>
    </row>
    <row r="52" spans="1:44" ht="79.5" customHeight="1">
      <c r="A52" s="258" t="s">
        <v>44</v>
      </c>
      <c r="B52" s="258" t="s">
        <v>687</v>
      </c>
      <c r="C52" s="258" t="s">
        <v>1043</v>
      </c>
      <c r="D52" s="706" t="s">
        <v>1044</v>
      </c>
      <c r="E52" s="136">
        <f>L52+M52+N52+R52+S52+T52+X52+Y52+Z52+AD52+AE52+AF52</f>
        <v>100</v>
      </c>
      <c r="F52" s="291" t="s">
        <v>942</v>
      </c>
      <c r="G52" s="706" t="s">
        <v>1045</v>
      </c>
      <c r="H52" s="706" t="s">
        <v>923</v>
      </c>
      <c r="I52" s="249">
        <f>AJ52/AJ$58*100</f>
        <v>0.260595698266822</v>
      </c>
      <c r="J52" s="943"/>
      <c r="K52" s="136">
        <f>0.25*100</f>
        <v>25</v>
      </c>
      <c r="L52" s="299">
        <v>5</v>
      </c>
      <c r="M52" s="299">
        <v>10</v>
      </c>
      <c r="N52" s="299">
        <v>10</v>
      </c>
      <c r="O52" s="299">
        <v>4500</v>
      </c>
      <c r="P52" s="299">
        <v>4500</v>
      </c>
      <c r="Q52" s="299">
        <v>4500</v>
      </c>
      <c r="R52" s="299">
        <v>5</v>
      </c>
      <c r="S52" s="299">
        <v>10</v>
      </c>
      <c r="T52" s="299">
        <v>10</v>
      </c>
      <c r="U52" s="299">
        <v>4500</v>
      </c>
      <c r="V52" s="299">
        <v>4500</v>
      </c>
      <c r="W52" s="299">
        <v>4500</v>
      </c>
      <c r="X52" s="299">
        <v>5</v>
      </c>
      <c r="Y52" s="299">
        <v>10</v>
      </c>
      <c r="Z52" s="299">
        <v>10</v>
      </c>
      <c r="AA52" s="299">
        <v>4500</v>
      </c>
      <c r="AB52" s="299">
        <v>4500</v>
      </c>
      <c r="AC52" s="299">
        <v>4500</v>
      </c>
      <c r="AD52" s="299">
        <v>10</v>
      </c>
      <c r="AE52" s="299">
        <v>10</v>
      </c>
      <c r="AF52" s="299">
        <v>5</v>
      </c>
      <c r="AG52" s="299">
        <v>4500</v>
      </c>
      <c r="AH52" s="299">
        <v>4500</v>
      </c>
      <c r="AI52" s="299">
        <f>4500+50</f>
        <v>4550</v>
      </c>
      <c r="AJ52" s="270">
        <f>SUM(O52+P52+Q52+U52+V52+W52+AA52+AB52+AC52+AG52+AH52+AI52)</f>
        <v>54050</v>
      </c>
      <c r="AK52" s="299">
        <f>AJ52</f>
        <v>54050</v>
      </c>
      <c r="AL52" s="254"/>
      <c r="AM52" s="254"/>
      <c r="AN52" s="254"/>
      <c r="AO52" s="254"/>
      <c r="AP52" s="946"/>
      <c r="AQ52" s="938"/>
      <c r="AR52" s="948"/>
    </row>
    <row r="53" spans="1:44" ht="54.75" customHeight="1">
      <c r="A53" s="152" t="s">
        <v>513</v>
      </c>
      <c r="B53" s="152" t="s">
        <v>1046</v>
      </c>
      <c r="C53" s="152" t="s">
        <v>1047</v>
      </c>
      <c r="D53" s="245" t="s">
        <v>1048</v>
      </c>
      <c r="E53" s="134"/>
      <c r="F53" s="130"/>
      <c r="G53" s="245"/>
      <c r="H53" s="245"/>
      <c r="I53" s="133">
        <f>SUM(I54:I57)</f>
        <v>92.343857538741304</v>
      </c>
      <c r="J53" s="134">
        <f>SUM(J54:J57)</f>
        <v>40</v>
      </c>
      <c r="K53" s="134">
        <f>SUM(K54:K57)</f>
        <v>78</v>
      </c>
      <c r="L53" s="135"/>
      <c r="M53" s="135"/>
      <c r="N53" s="135"/>
      <c r="O53" s="135"/>
      <c r="P53" s="135"/>
      <c r="Q53" s="135"/>
      <c r="R53" s="135"/>
      <c r="S53" s="135"/>
      <c r="T53" s="135"/>
      <c r="U53" s="135">
        <f>U55+U56</f>
        <v>19149985</v>
      </c>
      <c r="V53" s="135"/>
      <c r="W53" s="135">
        <f>SUM(W54:W57)</f>
        <v>1500</v>
      </c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35">
        <f>SUM(AH54:AH57)</f>
        <v>1500</v>
      </c>
      <c r="AI53" s="135"/>
      <c r="AJ53" s="135">
        <f>SUM(AJ54:AJ57)</f>
        <v>19152985</v>
      </c>
      <c r="AK53" s="135">
        <f>SUM(AK54:AK57)</f>
        <v>19152985</v>
      </c>
      <c r="AL53" s="135"/>
      <c r="AM53" s="135"/>
      <c r="AN53" s="135"/>
      <c r="AO53" s="135"/>
      <c r="AP53" s="245"/>
      <c r="AQ53" s="245"/>
      <c r="AR53" s="245" t="s">
        <v>1049</v>
      </c>
    </row>
    <row r="54" spans="1:44" ht="63">
      <c r="A54" s="258" t="s">
        <v>184</v>
      </c>
      <c r="B54" s="258" t="s">
        <v>1046</v>
      </c>
      <c r="C54" s="258" t="s">
        <v>1050</v>
      </c>
      <c r="D54" s="706" t="s">
        <v>1051</v>
      </c>
      <c r="E54" s="136">
        <f t="shared" ref="E54:E57" si="24">L54+M54+N54+R54+S54+T54+X54+Y54+Z54+AD54+AE54+AF54</f>
        <v>1</v>
      </c>
      <c r="F54" s="291" t="s">
        <v>168</v>
      </c>
      <c r="G54" s="706" t="s">
        <v>1052</v>
      </c>
      <c r="H54" s="706" t="s">
        <v>1053</v>
      </c>
      <c r="I54" s="249">
        <f>AJ54/AJ$58*100</f>
        <v>7.23207303238174E-3</v>
      </c>
      <c r="J54" s="949">
        <v>40</v>
      </c>
      <c r="K54" s="292">
        <f>0.5/40*100</f>
        <v>1.25</v>
      </c>
      <c r="L54" s="254"/>
      <c r="M54" s="254"/>
      <c r="N54" s="254"/>
      <c r="O54" s="254"/>
      <c r="P54" s="254"/>
      <c r="Q54" s="254"/>
      <c r="R54" s="254"/>
      <c r="S54" s="254"/>
      <c r="T54" s="254">
        <v>1</v>
      </c>
      <c r="U54" s="254"/>
      <c r="V54" s="254"/>
      <c r="W54" s="254">
        <v>1500</v>
      </c>
      <c r="X54" s="254"/>
      <c r="Y54" s="254"/>
      <c r="Z54" s="254"/>
      <c r="AA54" s="254"/>
      <c r="AB54" s="254"/>
      <c r="AC54" s="254"/>
      <c r="AD54" s="254"/>
      <c r="AE54" s="254"/>
      <c r="AF54" s="254"/>
      <c r="AG54" s="254"/>
      <c r="AH54" s="254"/>
      <c r="AI54" s="254"/>
      <c r="AJ54" s="23">
        <f>+(O54+P54+Q54)+(U54+V54+W54)+(AA54+AB54+AC54)+(AG54+AH54+AI54)</f>
        <v>1500</v>
      </c>
      <c r="AK54" s="254">
        <f>AJ54</f>
        <v>1500</v>
      </c>
      <c r="AL54" s="254"/>
      <c r="AM54" s="254"/>
      <c r="AN54" s="254"/>
      <c r="AO54" s="254"/>
      <c r="AP54" s="937" t="s">
        <v>924</v>
      </c>
      <c r="AQ54" s="937" t="s">
        <v>1054</v>
      </c>
      <c r="AR54" s="948"/>
    </row>
    <row r="55" spans="1:44" ht="50.25" customHeight="1">
      <c r="A55" s="935" t="s">
        <v>184</v>
      </c>
      <c r="B55" s="935" t="s">
        <v>1046</v>
      </c>
      <c r="C55" s="935" t="s">
        <v>1055</v>
      </c>
      <c r="D55" s="937" t="s">
        <v>1056</v>
      </c>
      <c r="E55" s="136">
        <f t="shared" si="24"/>
        <v>244000</v>
      </c>
      <c r="F55" s="291" t="s">
        <v>131</v>
      </c>
      <c r="G55" s="939" t="s">
        <v>1057</v>
      </c>
      <c r="H55" s="939" t="s">
        <v>1053</v>
      </c>
      <c r="I55" s="249">
        <f>AJ55/AJ$58*100</f>
        <v>60.554962313693949</v>
      </c>
      <c r="J55" s="950"/>
      <c r="K55" s="292">
        <f>0.525*100</f>
        <v>52.5</v>
      </c>
      <c r="L55" s="254"/>
      <c r="M55" s="254"/>
      <c r="N55" s="254"/>
      <c r="O55" s="254"/>
      <c r="P55" s="254"/>
      <c r="Q55" s="254"/>
      <c r="R55" s="254">
        <f>244000*0.75+61000</f>
        <v>244000</v>
      </c>
      <c r="S55" s="254"/>
      <c r="T55" s="254"/>
      <c r="U55" s="254">
        <f>12311669+15000+183000+50000</f>
        <v>12559669</v>
      </c>
      <c r="V55" s="254"/>
      <c r="W55" s="254"/>
      <c r="X55" s="254"/>
      <c r="Y55" s="254"/>
      <c r="Z55" s="254"/>
      <c r="AA55" s="254"/>
      <c r="AB55" s="254"/>
      <c r="AC55" s="254"/>
      <c r="AD55" s="254"/>
      <c r="AE55" s="254"/>
      <c r="AF55" s="254"/>
      <c r="AG55" s="254"/>
      <c r="AH55" s="254"/>
      <c r="AI55" s="254"/>
      <c r="AJ55" s="23">
        <f>+(O55+P55+Q55)+(U55+V55+W55)+(AA55+AB55+AC55)+(AG55+AH55+AI55)</f>
        <v>12559669</v>
      </c>
      <c r="AK55" s="254">
        <f>AJ55</f>
        <v>12559669</v>
      </c>
      <c r="AL55" s="254"/>
      <c r="AM55" s="254"/>
      <c r="AN55" s="254"/>
      <c r="AO55" s="254"/>
      <c r="AP55" s="947"/>
      <c r="AQ55" s="947"/>
      <c r="AR55" s="948"/>
    </row>
    <row r="56" spans="1:44" ht="50.25" customHeight="1">
      <c r="A56" s="936"/>
      <c r="B56" s="936"/>
      <c r="C56" s="936"/>
      <c r="D56" s="938"/>
      <c r="E56" s="136">
        <f t="shared" si="24"/>
        <v>156000</v>
      </c>
      <c r="F56" s="291" t="s">
        <v>134</v>
      </c>
      <c r="G56" s="940"/>
      <c r="H56" s="940"/>
      <c r="I56" s="249">
        <f>AJ56/AJ$58*100</f>
        <v>31.774431078982595</v>
      </c>
      <c r="J56" s="950"/>
      <c r="K56" s="292">
        <f>9.5/40*100</f>
        <v>23.75</v>
      </c>
      <c r="L56" s="254"/>
      <c r="M56" s="254"/>
      <c r="N56" s="254"/>
      <c r="O56" s="254"/>
      <c r="P56" s="254"/>
      <c r="Q56" s="254"/>
      <c r="R56" s="254">
        <f>156000*0.75+39000</f>
        <v>156000</v>
      </c>
      <c r="S56" s="254"/>
      <c r="T56" s="254"/>
      <c r="U56" s="254">
        <f>6413316+10000+117000+50000</f>
        <v>6590316</v>
      </c>
      <c r="V56" s="254"/>
      <c r="W56" s="254"/>
      <c r="X56" s="254"/>
      <c r="Y56" s="254"/>
      <c r="Z56" s="254"/>
      <c r="AA56" s="254"/>
      <c r="AB56" s="254"/>
      <c r="AC56" s="254"/>
      <c r="AD56" s="254"/>
      <c r="AE56" s="254"/>
      <c r="AF56" s="254"/>
      <c r="AG56" s="254"/>
      <c r="AH56" s="254"/>
      <c r="AI56" s="254"/>
      <c r="AJ56" s="23">
        <f>+(O56+P56+Q56)+(U56+V56+W56)+(AA56+AB56+AC56)+(AG56+AH56+AI56)</f>
        <v>6590316</v>
      </c>
      <c r="AK56" s="254">
        <f>AJ56</f>
        <v>6590316</v>
      </c>
      <c r="AL56" s="254"/>
      <c r="AM56" s="254"/>
      <c r="AN56" s="254"/>
      <c r="AO56" s="254"/>
      <c r="AP56" s="947"/>
      <c r="AQ56" s="947"/>
      <c r="AR56" s="948"/>
    </row>
    <row r="57" spans="1:44" ht="67.5" customHeight="1">
      <c r="A57" s="258" t="s">
        <v>184</v>
      </c>
      <c r="B57" s="258" t="s">
        <v>1046</v>
      </c>
      <c r="C57" s="258" t="s">
        <v>1058</v>
      </c>
      <c r="D57" s="706" t="s">
        <v>1059</v>
      </c>
      <c r="E57" s="136">
        <f t="shared" si="24"/>
        <v>1</v>
      </c>
      <c r="F57" s="291" t="s">
        <v>171</v>
      </c>
      <c r="G57" s="706" t="s">
        <v>1060</v>
      </c>
      <c r="H57" s="706" t="s">
        <v>1053</v>
      </c>
      <c r="I57" s="249">
        <f>AJ57/AJ$58*100</f>
        <v>7.23207303238174E-3</v>
      </c>
      <c r="J57" s="951"/>
      <c r="K57" s="292">
        <f>0.2/40*100</f>
        <v>0.5</v>
      </c>
      <c r="L57" s="254"/>
      <c r="M57" s="254"/>
      <c r="N57" s="254"/>
      <c r="O57" s="254"/>
      <c r="P57" s="254"/>
      <c r="Q57" s="254"/>
      <c r="R57" s="254"/>
      <c r="S57" s="254"/>
      <c r="T57" s="254"/>
      <c r="U57" s="254"/>
      <c r="V57" s="254"/>
      <c r="W57" s="254"/>
      <c r="X57" s="254"/>
      <c r="Y57" s="254"/>
      <c r="Z57" s="254"/>
      <c r="AA57" s="254"/>
      <c r="AB57" s="254"/>
      <c r="AC57" s="254"/>
      <c r="AD57" s="254"/>
      <c r="AE57" s="254">
        <v>1</v>
      </c>
      <c r="AF57" s="254"/>
      <c r="AG57" s="254"/>
      <c r="AH57" s="254">
        <v>1500</v>
      </c>
      <c r="AI57" s="254"/>
      <c r="AJ57" s="23">
        <f>+(O57+P57+Q57)+(U57+V57+W57)+(AA57+AB57+AC57)+(AG57+AH57+AI57)</f>
        <v>1500</v>
      </c>
      <c r="AK57" s="254">
        <f>AJ57</f>
        <v>1500</v>
      </c>
      <c r="AL57" s="254"/>
      <c r="AM57" s="254"/>
      <c r="AN57" s="254"/>
      <c r="AO57" s="254"/>
      <c r="AP57" s="938"/>
      <c r="AQ57" s="938"/>
      <c r="AR57" s="948"/>
    </row>
    <row r="58" spans="1:44">
      <c r="A58" s="300"/>
      <c r="B58" s="300"/>
      <c r="C58" s="300"/>
      <c r="D58" s="301" t="s">
        <v>156</v>
      </c>
      <c r="E58" s="302"/>
      <c r="F58" s="301"/>
      <c r="G58" s="303"/>
      <c r="H58" s="303"/>
      <c r="I58" s="304">
        <f>I10+I19+I23+I42+I46+I49+I53</f>
        <v>99.325488655179868</v>
      </c>
      <c r="J58" s="304">
        <f>J10+J19+J23+J42+J46+J49+J53</f>
        <v>100</v>
      </c>
      <c r="K58" s="304"/>
      <c r="L58" s="305"/>
      <c r="M58" s="305"/>
      <c r="N58" s="305"/>
      <c r="O58" s="305">
        <f>O10+O19+O23+O42+O46+O49+O53+O37+O28</f>
        <v>130880</v>
      </c>
      <c r="P58" s="305">
        <f>P10+P19+P23+P42+P46+P49+P53+P37+P28</f>
        <v>87300</v>
      </c>
      <c r="Q58" s="305">
        <f>Q10+Q19+Q23+Q42+Q46+Q49+Q53+Q37+Q28</f>
        <v>72770</v>
      </c>
      <c r="R58" s="305"/>
      <c r="S58" s="305"/>
      <c r="T58" s="305"/>
      <c r="U58" s="305">
        <f>U10+U19+U23+U42+U46+U49+U53+U37+U28</f>
        <v>19292285</v>
      </c>
      <c r="V58" s="305">
        <f>V10+V19+V23+V42+V46+V49+V53+V37+V28</f>
        <v>94300</v>
      </c>
      <c r="W58" s="305">
        <f>W10+W19+W23+W42+W46+W49+W53+W37+W28</f>
        <v>102780</v>
      </c>
      <c r="X58" s="305"/>
      <c r="Y58" s="305"/>
      <c r="Z58" s="305"/>
      <c r="AA58" s="305">
        <f>AA10+AA19+AA23+AA42+AA46+AA49+AA53+AA37+AA28</f>
        <v>144940</v>
      </c>
      <c r="AB58" s="305">
        <f>AB10+AB19+AB23+AB42+AB46+AB49+AB53+AB37+AB28</f>
        <v>261909</v>
      </c>
      <c r="AC58" s="305">
        <f>AC10+AC19+AC23+AC42+AC46+AC49+AC53+AC37+AC28</f>
        <v>150939</v>
      </c>
      <c r="AD58" s="305"/>
      <c r="AE58" s="305"/>
      <c r="AF58" s="305"/>
      <c r="AG58" s="305">
        <f t="shared" ref="AG58:AL58" si="25">AG10+AG19+AG23+AG42+AG46+AG49+AG53+AG37+AG28</f>
        <v>85939</v>
      </c>
      <c r="AH58" s="305">
        <f t="shared" si="25"/>
        <v>96639</v>
      </c>
      <c r="AI58" s="305">
        <f t="shared" si="25"/>
        <v>220259.99</v>
      </c>
      <c r="AJ58" s="305">
        <f t="shared" si="25"/>
        <v>20740940.989999998</v>
      </c>
      <c r="AK58" s="305">
        <f t="shared" si="25"/>
        <v>20656635</v>
      </c>
      <c r="AL58" s="305">
        <f t="shared" si="25"/>
        <v>52405.99</v>
      </c>
      <c r="AM58" s="305"/>
      <c r="AN58" s="305"/>
      <c r="AO58" s="305">
        <f>AO10+AO19+AO23+AO42+AO46+AO49+AO53+AO37+AO28</f>
        <v>31900</v>
      </c>
      <c r="AP58" s="306"/>
      <c r="AQ58" s="306"/>
      <c r="AR58" s="306"/>
    </row>
    <row r="60" spans="1:44">
      <c r="O60" s="237">
        <v>130880</v>
      </c>
      <c r="P60" s="237">
        <v>87300</v>
      </c>
      <c r="Q60" s="237">
        <v>72770</v>
      </c>
      <c r="U60" s="237">
        <v>19292285</v>
      </c>
      <c r="V60" s="237">
        <v>94300</v>
      </c>
      <c r="W60" s="124">
        <v>102780</v>
      </c>
      <c r="AA60" s="124">
        <v>144940</v>
      </c>
      <c r="AB60" s="124">
        <v>261909</v>
      </c>
      <c r="AC60" s="124">
        <v>150939</v>
      </c>
      <c r="AG60" s="124">
        <v>85939</v>
      </c>
      <c r="AH60" s="124">
        <v>96639</v>
      </c>
      <c r="AI60" s="124">
        <v>220259.99</v>
      </c>
      <c r="AJ60" s="309">
        <v>20740940.989999998</v>
      </c>
      <c r="AK60" s="237">
        <v>20656635</v>
      </c>
    </row>
    <row r="62" spans="1:44">
      <c r="G62" s="136">
        <v>244000</v>
      </c>
      <c r="H62" s="124">
        <f>200000*0.4</f>
        <v>80000</v>
      </c>
      <c r="V62" s="237">
        <v>72000</v>
      </c>
      <c r="W62" s="124">
        <v>48000</v>
      </c>
      <c r="X62" s="237"/>
      <c r="AA62" s="237">
        <f>SUM(V62:Z62)</f>
        <v>120000</v>
      </c>
    </row>
    <row r="63" spans="1:44">
      <c r="G63" s="136">
        <v>156000</v>
      </c>
      <c r="V63" s="237">
        <v>48000</v>
      </c>
      <c r="W63" s="124">
        <v>32000</v>
      </c>
      <c r="X63" s="237"/>
      <c r="AA63" s="237">
        <f>SUM(V63:Z63)</f>
        <v>80000</v>
      </c>
      <c r="AJ63" s="124">
        <v>20740940.989999998</v>
      </c>
    </row>
    <row r="64" spans="1:44">
      <c r="H64" s="124">
        <v>130000</v>
      </c>
      <c r="V64" s="237">
        <f>SUM(V62:V63)</f>
        <v>120000</v>
      </c>
      <c r="W64" s="124">
        <f>SUM(W62:W63)</f>
        <v>80000</v>
      </c>
    </row>
    <row r="65" spans="8:8">
      <c r="H65" s="124">
        <v>70000</v>
      </c>
    </row>
  </sheetData>
  <mergeCells count="103">
    <mergeCell ref="A1:AR1"/>
    <mergeCell ref="A2:AR2"/>
    <mergeCell ref="A6:C6"/>
    <mergeCell ref="D6:D9"/>
    <mergeCell ref="E6:E9"/>
    <mergeCell ref="F6:F9"/>
    <mergeCell ref="G6:G9"/>
    <mergeCell ref="H6:H9"/>
    <mergeCell ref="I6:I9"/>
    <mergeCell ref="J6:J9"/>
    <mergeCell ref="L6:AJ6"/>
    <mergeCell ref="AK6:AO6"/>
    <mergeCell ref="AP6:AP9"/>
    <mergeCell ref="AQ6:AQ9"/>
    <mergeCell ref="AR6:AR9"/>
    <mergeCell ref="AD7:AI7"/>
    <mergeCell ref="AJ7:AJ9"/>
    <mergeCell ref="AK7:AK9"/>
    <mergeCell ref="AL7:AL9"/>
    <mergeCell ref="AR20:AR21"/>
    <mergeCell ref="AG8:AI8"/>
    <mergeCell ref="A11:A16"/>
    <mergeCell ref="B11:B16"/>
    <mergeCell ref="C11:C16"/>
    <mergeCell ref="D11:D16"/>
    <mergeCell ref="J11:J18"/>
    <mergeCell ref="AM7:AM9"/>
    <mergeCell ref="AN7:AN9"/>
    <mergeCell ref="AO7:AO9"/>
    <mergeCell ref="L8:N8"/>
    <mergeCell ref="O8:Q8"/>
    <mergeCell ref="R8:T8"/>
    <mergeCell ref="U8:W8"/>
    <mergeCell ref="X8:Z8"/>
    <mergeCell ref="AA8:AC8"/>
    <mergeCell ref="AD8:AF8"/>
    <mergeCell ref="A7:A9"/>
    <mergeCell ref="B7:B9"/>
    <mergeCell ref="C7:C9"/>
    <mergeCell ref="L7:Q7"/>
    <mergeCell ref="R7:W7"/>
    <mergeCell ref="X7:AC7"/>
    <mergeCell ref="K6:K9"/>
    <mergeCell ref="A21:A22"/>
    <mergeCell ref="B21:B22"/>
    <mergeCell ref="C21:C22"/>
    <mergeCell ref="D21:D22"/>
    <mergeCell ref="G21:G22"/>
    <mergeCell ref="H21:H22"/>
    <mergeCell ref="AP11:AP18"/>
    <mergeCell ref="AQ11:AQ18"/>
    <mergeCell ref="J20:J22"/>
    <mergeCell ref="AP20:AP22"/>
    <mergeCell ref="AQ20:AQ22"/>
    <mergeCell ref="J24:J27"/>
    <mergeCell ref="AP24:AP27"/>
    <mergeCell ref="AQ24:AQ27"/>
    <mergeCell ref="AR24:AR27"/>
    <mergeCell ref="A26:A27"/>
    <mergeCell ref="B26:B27"/>
    <mergeCell ref="C26:C27"/>
    <mergeCell ref="D26:D27"/>
    <mergeCell ref="G26:G27"/>
    <mergeCell ref="H26:H27"/>
    <mergeCell ref="J38:J40"/>
    <mergeCell ref="AP38:AP39"/>
    <mergeCell ref="AQ38:AQ39"/>
    <mergeCell ref="AR38:AR39"/>
    <mergeCell ref="A39:A41"/>
    <mergeCell ref="B39:B41"/>
    <mergeCell ref="C39:C41"/>
    <mergeCell ref="D39:D41"/>
    <mergeCell ref="J29:J36"/>
    <mergeCell ref="AP29:AP36"/>
    <mergeCell ref="AQ29:AQ36"/>
    <mergeCell ref="AR29:AR35"/>
    <mergeCell ref="A35:A36"/>
    <mergeCell ref="B35:B36"/>
    <mergeCell ref="C35:C36"/>
    <mergeCell ref="D35:D36"/>
    <mergeCell ref="AP40:AP41"/>
    <mergeCell ref="AQ40:AQ41"/>
    <mergeCell ref="AR50:AR52"/>
    <mergeCell ref="J54:J57"/>
    <mergeCell ref="AP54:AP57"/>
    <mergeCell ref="AQ54:AQ57"/>
    <mergeCell ref="AR54:AR57"/>
    <mergeCell ref="J43:J45"/>
    <mergeCell ref="AP43:AP45"/>
    <mergeCell ref="AQ43:AQ45"/>
    <mergeCell ref="AR43:AR45"/>
    <mergeCell ref="J47:J48"/>
    <mergeCell ref="AP47:AP48"/>
    <mergeCell ref="AQ47:AQ48"/>
    <mergeCell ref="A55:A56"/>
    <mergeCell ref="B55:B56"/>
    <mergeCell ref="C55:C56"/>
    <mergeCell ref="D55:D56"/>
    <mergeCell ref="G55:G56"/>
    <mergeCell ref="H55:H56"/>
    <mergeCell ref="J50:J52"/>
    <mergeCell ref="AP50:AP52"/>
    <mergeCell ref="AQ50:AQ52"/>
  </mergeCells>
  <printOptions horizontalCentered="1"/>
  <pageMargins left="0.98425196850393704" right="0.78740157480314965" top="0.98425196850393704" bottom="0.78740157480314965" header="0.15748031496062992" footer="0.15748031496062992"/>
  <pageSetup paperSize="5" scale="35" fitToHeight="2" orientation="landscape" r:id="rId1"/>
  <headerFooter alignWithMargins="0">
    <oddFooter>Página &amp;P</oddFooter>
  </headerFooter>
  <rowBreaks count="2" manualBreakCount="2">
    <brk id="28" max="43" man="1"/>
    <brk id="46" max="4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32</vt:i4>
      </vt:variant>
    </vt:vector>
  </HeadingPairs>
  <TitlesOfParts>
    <vt:vector size="48" baseType="lpstr">
      <vt:lpstr>PAO 2016 OPPS</vt:lpstr>
      <vt:lpstr>PAO 2016 OCDA</vt:lpstr>
      <vt:lpstr>POA 2016 OAJ</vt:lpstr>
      <vt:lpstr>POA 2016 ODC</vt:lpstr>
      <vt:lpstr>PAO 2016 OACI</vt:lpstr>
      <vt:lpstr>PAO 2016 OFI</vt:lpstr>
      <vt:lpstr>PAO 2016 OGA</vt:lpstr>
      <vt:lpstr>POA 2016 OIR</vt:lpstr>
      <vt:lpstr>PAO 2016 DGEA</vt:lpstr>
      <vt:lpstr>PAO 2016 DGSV</vt:lpstr>
      <vt:lpstr> POA 2016 DGG</vt:lpstr>
      <vt:lpstr>PAO 2016 DGFCR</vt:lpstr>
      <vt:lpstr>POA 2016 CENDEPESCA</vt:lpstr>
      <vt:lpstr>PAO 2016 DGDR</vt:lpstr>
      <vt:lpstr>POA 2016 CENTA</vt:lpstr>
      <vt:lpstr>PAO 2016 ENA</vt:lpstr>
      <vt:lpstr>' POA 2016 DGG'!Área_de_impresión</vt:lpstr>
      <vt:lpstr>'PAO 2016 DGDR'!Área_de_impresión</vt:lpstr>
      <vt:lpstr>'PAO 2016 DGEA'!Área_de_impresión</vt:lpstr>
      <vt:lpstr>'PAO 2016 DGFCR'!Área_de_impresión</vt:lpstr>
      <vt:lpstr>'PAO 2016 DGSV'!Área_de_impresión</vt:lpstr>
      <vt:lpstr>'PAO 2016 ENA'!Área_de_impresión</vt:lpstr>
      <vt:lpstr>'PAO 2016 OACI'!Área_de_impresión</vt:lpstr>
      <vt:lpstr>'PAO 2016 OCDA'!Área_de_impresión</vt:lpstr>
      <vt:lpstr>'PAO 2016 OFI'!Área_de_impresión</vt:lpstr>
      <vt:lpstr>'PAO 2016 OGA'!Área_de_impresión</vt:lpstr>
      <vt:lpstr>'PAO 2016 OPPS'!Área_de_impresión</vt:lpstr>
      <vt:lpstr>'POA 2016 CENDEPESCA'!Área_de_impresión</vt:lpstr>
      <vt:lpstr>'POA 2016 CENTA'!Área_de_impresión</vt:lpstr>
      <vt:lpstr>'POA 2016 OAJ'!Área_de_impresión</vt:lpstr>
      <vt:lpstr>'POA 2016 ODC'!Área_de_impresión</vt:lpstr>
      <vt:lpstr>'POA 2016 OIR'!Área_de_impresión</vt:lpstr>
      <vt:lpstr>' POA 2016 DGG'!Títulos_a_imprimir</vt:lpstr>
      <vt:lpstr>'PAO 2016 DGDR'!Títulos_a_imprimir</vt:lpstr>
      <vt:lpstr>'PAO 2016 DGEA'!Títulos_a_imprimir</vt:lpstr>
      <vt:lpstr>'PAO 2016 DGFCR'!Títulos_a_imprimir</vt:lpstr>
      <vt:lpstr>'PAO 2016 DGSV'!Títulos_a_imprimir</vt:lpstr>
      <vt:lpstr>'PAO 2016 ENA'!Títulos_a_imprimir</vt:lpstr>
      <vt:lpstr>'PAO 2016 OACI'!Títulos_a_imprimir</vt:lpstr>
      <vt:lpstr>'PAO 2016 OCDA'!Títulos_a_imprimir</vt:lpstr>
      <vt:lpstr>'PAO 2016 OFI'!Títulos_a_imprimir</vt:lpstr>
      <vt:lpstr>'PAO 2016 OGA'!Títulos_a_imprimir</vt:lpstr>
      <vt:lpstr>'PAO 2016 OPPS'!Títulos_a_imprimir</vt:lpstr>
      <vt:lpstr>'POA 2016 CENDEPESCA'!Títulos_a_imprimir</vt:lpstr>
      <vt:lpstr>'POA 2016 CENTA'!Títulos_a_imprimir</vt:lpstr>
      <vt:lpstr>'POA 2016 OAJ'!Títulos_a_imprimir</vt:lpstr>
      <vt:lpstr>'POA 2016 ODC'!Títulos_a_imprimir</vt:lpstr>
      <vt:lpstr>'POA 2016 OIR'!Títulos_a_imprimir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elias.saca</dc:creator>
  <cp:lastModifiedBy>elias.saca</cp:lastModifiedBy>
  <cp:lastPrinted>2016-02-24T16:49:16Z</cp:lastPrinted>
  <dcterms:created xsi:type="dcterms:W3CDTF">2016-02-11T15:54:54Z</dcterms:created>
  <dcterms:modified xsi:type="dcterms:W3CDTF">2016-02-24T16:56:00Z</dcterms:modified>
</cp:coreProperties>
</file>